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580" tabRatio="889" activeTab="6"/>
  </bookViews>
  <sheets>
    <sheet name="zał.1" sheetId="1" r:id="rId1"/>
    <sheet name="zał.2 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 " sheetId="8" r:id="rId8"/>
    <sheet name="zał.9" sheetId="9" r:id="rId9"/>
    <sheet name="zał.10A" sheetId="10" r:id="rId10"/>
    <sheet name="zał.10B" sheetId="11" r:id="rId11"/>
    <sheet name="zał.11" sheetId="12" r:id="rId12"/>
    <sheet name="zał.12" sheetId="13" r:id="rId13"/>
    <sheet name="zał.13" sheetId="14" r:id="rId14"/>
  </sheets>
  <definedNames>
    <definedName name="_xlnm.Print_Area" localSheetId="0">'zał.1'!$A$1:$P$46</definedName>
    <definedName name="_xlnm.Print_Area" localSheetId="12">'zał.12'!$A$1:$F$43</definedName>
    <definedName name="_xlnm.Print_Area" localSheetId="1">'zał.2 '!$A$1:$D$253</definedName>
    <definedName name="_xlnm.Print_Area" localSheetId="3">'zał.4'!$A$1:$D$1516</definedName>
    <definedName name="_xlnm.Print_Area" localSheetId="4">'zał.5'!$A$1:$D$55</definedName>
    <definedName name="_xlnm.Print_Titles" localSheetId="0">'zał.1'!$7:$11</definedName>
    <definedName name="_xlnm.Print_Titles" localSheetId="9">'zał.10A'!$8:$11</definedName>
    <definedName name="_xlnm.Print_Titles" localSheetId="11">'zał.11'!$14:$16</definedName>
    <definedName name="_xlnm.Print_Titles" localSheetId="12">'zał.12'!$12:$14</definedName>
    <definedName name="_xlnm.Print_Titles" localSheetId="13">'zał.13'!$9:$11</definedName>
    <definedName name="_xlnm.Print_Titles" localSheetId="1">'zał.2 '!$8:$9</definedName>
    <definedName name="_xlnm.Print_Titles" localSheetId="2">'zał.3'!$8:$12</definedName>
    <definedName name="_xlnm.Print_Titles" localSheetId="3">'zał.4'!$8:$9</definedName>
    <definedName name="_xlnm.Print_Titles" localSheetId="5">'zał.6'!$7:$13</definedName>
    <definedName name="_xlnm.Print_Titles" localSheetId="6">'zał.7'!$7:$13</definedName>
    <definedName name="_xlnm.Print_Titles" localSheetId="7">'zał.8 '!$8:$12</definedName>
    <definedName name="_xlnm.Print_Titles" localSheetId="8">'zał.9'!$7:$10</definedName>
  </definedNames>
  <calcPr fullCalcOnLoad="1"/>
</workbook>
</file>

<file path=xl/sharedStrings.xml><?xml version="1.0" encoding="utf-8"?>
<sst xmlns="http://schemas.openxmlformats.org/spreadsheetml/2006/main" count="6092" uniqueCount="1173">
  <si>
    <t>11</t>
  </si>
  <si>
    <t>12</t>
  </si>
  <si>
    <t>13</t>
  </si>
  <si>
    <t>14</t>
  </si>
  <si>
    <t>0970</t>
  </si>
  <si>
    <t>Wpływy z różnych dochodów</t>
  </si>
  <si>
    <t>4</t>
  </si>
  <si>
    <t>Fundusz Gwarantowanych Świadczeń Pracowniczych</t>
  </si>
  <si>
    <t>852</t>
  </si>
  <si>
    <t>854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</si>
  <si>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</si>
  <si>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</si>
  <si>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</si>
  <si>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</si>
  <si>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</si>
  <si>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</si>
  <si>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</si>
  <si>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</si>
  <si>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</si>
  <si>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</si>
  <si>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</si>
  <si>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</si>
  <si>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</si>
  <si>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</si>
  <si>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</si>
  <si>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</si>
  <si>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</si>
  <si>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</si>
  <si>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</si>
  <si>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</si>
  <si>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</si>
  <si>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</si>
  <si>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</si>
  <si>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</si>
  <si>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</si>
  <si>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</si>
  <si>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</si>
  <si>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</si>
  <si>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</si>
  <si>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</si>
  <si>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</si>
  <si>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</si>
  <si>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</si>
  <si>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</si>
  <si>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</si>
  <si>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</si>
  <si>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</si>
  <si>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</si>
  <si>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</si>
  <si>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</si>
  <si>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</si>
  <si>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</si>
  <si>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ROLNICTWO I ŁOWIECTWO</t>
  </si>
  <si>
    <t>Urzędy marszałkowskie</t>
  </si>
  <si>
    <t>Szkoły podstawowe specjalne</t>
  </si>
  <si>
    <t>Licea ogólnokształcące specjalne</t>
  </si>
  <si>
    <t>Szkoły zawodowe specjalne</t>
  </si>
  <si>
    <t>Dokształcanie i doskonalenie nauczycieli</t>
  </si>
  <si>
    <t>Biblioteki pedagogiczne</t>
  </si>
  <si>
    <t>Składki na ubezpieczenie zdrowotne oraz świadczenia dla osób nieobjętych obowiązkiem ubezpieczenia zdrowotnego</t>
  </si>
  <si>
    <t>Regionalne ośrodki polityki społecznej</t>
  </si>
  <si>
    <t>POZOSTAŁE ZADANIA W ZAKRESIE POLITYKI SPOŁECZNEJ</t>
  </si>
  <si>
    <t>Państwowy Fundusz Rehabilitacji Osób Niepełnosprawnych</t>
  </si>
  <si>
    <t>Wojewódzkie urzędy pracy</t>
  </si>
  <si>
    <t>Specjalne ośrodki szkolno-wychowawcze</t>
  </si>
  <si>
    <t>Placówki wychowania pozaszkolnego</t>
  </si>
  <si>
    <t>Ochrona powietrza atmosferycznego i klimatu</t>
  </si>
  <si>
    <t>Zmniejszenie hałasu i wibracji</t>
  </si>
  <si>
    <t>Wpływy i wydatki związane z gromadzeniem środków z opłat produktowych</t>
  </si>
  <si>
    <t>Domy i ośrodki kultury, świetlice i kluby</t>
  </si>
  <si>
    <t>Biblioteki</t>
  </si>
  <si>
    <t>Parki krajobrazowe</t>
  </si>
  <si>
    <t>01041</t>
  </si>
  <si>
    <t>Pozostała działalność</t>
  </si>
  <si>
    <t>0690</t>
  </si>
  <si>
    <t>Wpływy z różnych opłat</t>
  </si>
  <si>
    <t>05011</t>
  </si>
  <si>
    <t>Krajowe pasażerskie przewozy kolejowe</t>
  </si>
  <si>
    <t>Krajowe pasażerskie przewozy autobusowe</t>
  </si>
  <si>
    <t>Drogi publiczne wojewódzkie</t>
  </si>
  <si>
    <t>Gospodarka gruntami i nieruchomościami</t>
  </si>
  <si>
    <t>Biura planowania przestrzennego</t>
  </si>
  <si>
    <t>Prace geologiczne (nieinwestycyjne)</t>
  </si>
  <si>
    <t>01042</t>
  </si>
  <si>
    <t>Wyłączenie z produkcji gruntów rolnych</t>
  </si>
  <si>
    <t>01095</t>
  </si>
  <si>
    <t>Zadania w zakresie przeciwdziałania przemocy w rodzinie</t>
  </si>
  <si>
    <t>Wczesne wspomaganie rozwoju dziecka</t>
  </si>
  <si>
    <t>Zadania z zakresu geodezji i kartografii</t>
  </si>
  <si>
    <t>855</t>
  </si>
  <si>
    <t>RODZINA</t>
  </si>
  <si>
    <t>150</t>
  </si>
  <si>
    <t>PRZETWÓRSTWO PRZEMYSŁOWE</t>
  </si>
  <si>
    <t>Program Operacyjny Zrównoważony rozwój sektora rybołówstwa i nadbrzeżnych obszarów rybackich 2007-2013 oraz Program Operacyjny Rybactwo i Morze 2014-2020</t>
  </si>
  <si>
    <t>Promocja jednostek samorządu terytorialnego</t>
  </si>
  <si>
    <t>Funkcjonowanie wojewódzkich rad dialogu społecznego</t>
  </si>
  <si>
    <t>Działalność ośrodków adopcyjnych</t>
  </si>
  <si>
    <t>630</t>
  </si>
  <si>
    <t>TURYSTYKA</t>
  </si>
  <si>
    <t>Infrastruktura kolejowa</t>
  </si>
  <si>
    <t>Szkoły policealne</t>
  </si>
  <si>
    <t>Kwalifikacyjne kursy zawodowe</t>
  </si>
  <si>
    <t>Wpływy i wydatki związane z gromadzeniem środków z opłat i kar za korzystanie ze środowiska</t>
  </si>
  <si>
    <t>15</t>
  </si>
  <si>
    <t>16</t>
  </si>
  <si>
    <t>Zadania w zakresie upowszechniania turystyki</t>
  </si>
  <si>
    <t>Pozostałe działania związane z gospodarką odpadami</t>
  </si>
  <si>
    <t>Pozostałe zadania w zakresie kultury</t>
  </si>
  <si>
    <t>Załącznik nr 3 do Uchwały budżetowej</t>
  </si>
  <si>
    <t>Wydatki budżetu Województwa Kujawsko-Pomorskiego wg grup wydatków</t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</si>
  <si>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</si>
  <si>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</si>
  <si>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</si>
  <si>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</si>
  <si>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</si>
  <si>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</si>
  <si>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</si>
  <si>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</si>
  <si>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</si>
  <si>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</si>
  <si>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Zakup i objęcie akcji i udziałów</t>
  </si>
  <si>
    <t>Wynagrodzenia z pochodnymi</t>
  </si>
  <si>
    <t>Zadania statutowe</t>
  </si>
  <si>
    <t>OGÓŁEM</t>
  </si>
  <si>
    <t>01009</t>
  </si>
  <si>
    <t>Spółki wodne</t>
  </si>
  <si>
    <t xml:space="preserve">Program Rozwoju Obszarów Wiejskich                                             </t>
  </si>
  <si>
    <t>15011</t>
  </si>
  <si>
    <t>Rozwój  przedsiębiorczości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</si>
  <si>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</si>
  <si>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</si>
  <si>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</si>
  <si>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</si>
  <si>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</si>
  <si>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</si>
  <si>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</si>
  <si>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</si>
  <si>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60002</t>
  </si>
  <si>
    <t>60003</t>
  </si>
  <si>
    <t>60013</t>
  </si>
  <si>
    <t>60014</t>
  </si>
  <si>
    <t>Drogi publiczne powiatowe</t>
  </si>
  <si>
    <t>60016</t>
  </si>
  <si>
    <t>Drogi publiczne gminne</t>
  </si>
  <si>
    <t>60095</t>
  </si>
  <si>
    <t>63003</t>
  </si>
  <si>
    <t>63095</t>
  </si>
  <si>
    <t>70005</t>
  </si>
  <si>
    <t>71003</t>
  </si>
  <si>
    <t>71004</t>
  </si>
  <si>
    <t>Plany zagospodarowania przestrzennego</t>
  </si>
  <si>
    <t>71005</t>
  </si>
  <si>
    <t>71012</t>
  </si>
  <si>
    <t>72095</t>
  </si>
  <si>
    <t>75017</t>
  </si>
  <si>
    <t>Samorządowe sejmiki województw</t>
  </si>
  <si>
    <t>75018</t>
  </si>
  <si>
    <t>75058</t>
  </si>
  <si>
    <t>Działalność informacyjna i kulturalna prowadzona za granicą</t>
  </si>
  <si>
    <t>75075</t>
  </si>
  <si>
    <t>75084</t>
  </si>
  <si>
    <t>75095</t>
  </si>
  <si>
    <t>75212</t>
  </si>
  <si>
    <t>Pozostałe wydatki obronne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</si>
  <si>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</si>
  <si>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</si>
  <si>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</si>
  <si>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</si>
  <si>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</si>
  <si>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</si>
  <si>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</si>
  <si>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</si>
  <si>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</si>
  <si>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</si>
  <si>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</si>
  <si>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80105</t>
  </si>
  <si>
    <t>Przedszkola specjalne</t>
  </si>
  <si>
    <t>80113</t>
  </si>
  <si>
    <t>Dowożenie uczniów do szkół</t>
  </si>
  <si>
    <t>80116</t>
  </si>
  <si>
    <t>80121</t>
  </si>
  <si>
    <t>80134</t>
  </si>
  <si>
    <t>80140</t>
  </si>
  <si>
    <t>80146</t>
  </si>
  <si>
    <t>80147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</si>
  <si>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</si>
  <si>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</si>
  <si>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80151</t>
  </si>
  <si>
    <t>80195</t>
  </si>
  <si>
    <t>Szpitale ogólne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</si>
  <si>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</si>
  <si>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</si>
  <si>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</si>
  <si>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</si>
  <si>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</si>
  <si>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</si>
  <si>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Usługi opiekuńcze i specjalistyczne usługi opiekuńcze</t>
  </si>
  <si>
    <t>Rehabilitacja zawodowa i społeczna osób niepełnosprawnych</t>
  </si>
  <si>
    <t xml:space="preserve">EDUKACYJNA OPIEKA WYCHOWAWCZA </t>
  </si>
  <si>
    <t>Internaty i bursy szkolne</t>
  </si>
  <si>
    <t>Pomoc materialna dla uczniów o charakterze socjalnym</t>
  </si>
  <si>
    <t>Pomoc materialna dla uczniów o charakterze motywacyjnym</t>
  </si>
  <si>
    <t>Wpływy i wydatki związane z wprowadzaniem do obrotu baterii i akumulatorów</t>
  </si>
  <si>
    <t>Teatry</t>
  </si>
  <si>
    <t>Filharmonie, orkiestry, chóry i kapele</t>
  </si>
  <si>
    <t>Galerie i biura wystaw artystycznych</t>
  </si>
  <si>
    <t>Centra kultury i sztuki</t>
  </si>
  <si>
    <t>Muzea</t>
  </si>
  <si>
    <t>Ochrona zabytków i opieka nad zabytkami</t>
  </si>
  <si>
    <t xml:space="preserve">KULTURA FIZYCZNA </t>
  </si>
  <si>
    <t>Zadania w zakresie kultury fizycznej</t>
  </si>
  <si>
    <t>926</t>
  </si>
  <si>
    <t>KULTURA FIZYCZNA</t>
  </si>
  <si>
    <t>Wyszczególnienie</t>
  </si>
  <si>
    <t>Okres realizacji</t>
  </si>
  <si>
    <t>x</t>
  </si>
  <si>
    <t>Wydatki na zadania inwestycyjne</t>
  </si>
  <si>
    <t>Lp</t>
  </si>
  <si>
    <t>Rozdział</t>
  </si>
  <si>
    <t>Nazwa zadania inwestycyjnego</t>
  </si>
  <si>
    <t>Ogólny koszt zadania</t>
  </si>
  <si>
    <t>Planowane wydatki</t>
  </si>
  <si>
    <t>Jednostka organizacyjna realizująca zadanie lub koordynująca wykonanie zadania</t>
  </si>
  <si>
    <t>z tego źródła finansowania:</t>
  </si>
  <si>
    <t>środki własne Województwa</t>
  </si>
  <si>
    <t>dotacje</t>
  </si>
  <si>
    <t>I</t>
  </si>
  <si>
    <t>Inwestycje jednoroczne</t>
  </si>
  <si>
    <t>Urząd Marszałkowski w Toruniu</t>
  </si>
  <si>
    <t>Modernizacja dróg</t>
  </si>
  <si>
    <t>Zarząd Dróg Wojewódzkich w Bydgoszczy</t>
  </si>
  <si>
    <t>Wykup gruntu</t>
  </si>
  <si>
    <t>Przebudowa mostu w ciągu drogi wojewódzkiej Nr 243 w km 18+808 w m. Byszewo</t>
  </si>
  <si>
    <t>Zakupy inwestycyjne</t>
  </si>
  <si>
    <t>Kujawsko-Pomorskie Centrum Edukacji Nauczycieli w Bydgoszczy</t>
  </si>
  <si>
    <t>85217</t>
  </si>
  <si>
    <t>Regionalny Ośrodek Polityki Społecznej w Toruniu</t>
  </si>
  <si>
    <t>85332</t>
  </si>
  <si>
    <t>Wojewódzki Urząd Pracy w Toruniu</t>
  </si>
  <si>
    <t>85403</t>
  </si>
  <si>
    <t>92106</t>
  </si>
  <si>
    <t>Teatr im. W. Horzycy w Toruniu</t>
  </si>
  <si>
    <t>92109</t>
  </si>
  <si>
    <t>Pałac Lubostroń w Lubostroniu</t>
  </si>
  <si>
    <t>92118</t>
  </si>
  <si>
    <t>Muzeum Ziemi Kujawskiej i Dobrzyńskiej we Włocławku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</si>
  <si>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</si>
  <si>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</si>
  <si>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</si>
  <si>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</si>
  <si>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</si>
  <si>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Budowa wiaduktów i przystanków kolejowych w bydgosko-toruńskim obszarze metropolitalnym - uzyskanie certyfikatów zgodności dla podsystemów i składników interoperacyjności WE w kolejnictwie</t>
  </si>
  <si>
    <t>Modernizacja dróg wojewódzkich, grupa III - Kujawsko-pomorskiego planu spójności komunikacji drogowej i kolejowej 2014-2020</t>
  </si>
  <si>
    <t>2017-2020</t>
  </si>
  <si>
    <t xml:space="preserve">Zarząd Dróg Wojewódzkich w Bydgoszczy </t>
  </si>
  <si>
    <t>Roboty dodatkowe i uzupełniające związane z realizacją inwestycji drogowych w ramach grupy I RPO</t>
  </si>
  <si>
    <t>2018-2020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</si>
  <si>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</si>
  <si>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</si>
  <si>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Modernizacja nieruchomości w Toruniu przy ul. Św. Jakuba 3-5, Wola Zamkowa 8-10, 10A i 12A (rozliczenie z użytkownikiem)</t>
  </si>
  <si>
    <t>2016-2031</t>
  </si>
  <si>
    <t>Nabycie nieruchomości położonej w Toruniu przy ul. Kopernika 4</t>
  </si>
  <si>
    <t>Kultura w zasięgu 2.0 - wkład własny wojewódzkich jednostek organizacyjnych</t>
  </si>
  <si>
    <t>Rozbudowa budynku Urzędu Marszałkowskiego</t>
  </si>
  <si>
    <t>85111</t>
  </si>
  <si>
    <t>85141</t>
  </si>
  <si>
    <t>Zakup ambulansów w formie leasingu przez Wojewódzką Stację Pogotowia Ratunkowego w Bydgoszczy</t>
  </si>
  <si>
    <t>2016-2020</t>
  </si>
  <si>
    <t>Wojewódzka Stacja Pogotowia Ratunkowego w Bydgoszczy</t>
  </si>
  <si>
    <t>90005</t>
  </si>
  <si>
    <t>Opera Nova w Bydgoszczy</t>
  </si>
  <si>
    <t>Nadbudowa i rozbudowa dawnego budynku kinoteatru Grunwald usytuowanego przy ul. Warszawskiej 11 w Toruniu z przeznaczeniem na teatr - Utworzenie "DUŻEJ SCENY" Kujawsko-Pomorskiego Impresaryjnego Teatru Muzycznego w Toruniu</t>
  </si>
  <si>
    <t>2019-2029</t>
  </si>
  <si>
    <t>Kujawsko-Pomorski Impresaryjny Teatr Muzyczny w Toruniu</t>
  </si>
  <si>
    <t>Przebudowa i remont konserwatorski budynku Pałacu Dąmbskich w Toruniu</t>
  </si>
  <si>
    <t>2015-2022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</si>
  <si>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</si>
  <si>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</si>
  <si>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</si>
  <si>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</si>
  <si>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</si>
  <si>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Załącznik nr 8 do Uchwały budżetowej</t>
  </si>
  <si>
    <t>Wojewódzka i Miejska Biblioteka Publiczna w Bydgoszczy</t>
  </si>
  <si>
    <t>92116</t>
  </si>
  <si>
    <t>Muzeum Etnograficzne w Toruniu</t>
  </si>
  <si>
    <t>85195</t>
  </si>
  <si>
    <t>90095</t>
  </si>
  <si>
    <t>85509</t>
  </si>
  <si>
    <t xml:space="preserve">Zadania z zakresu administracji rządowej zlecone ustawami Samorządowi Województwa </t>
  </si>
  <si>
    <t xml:space="preserve">Dział Rozdział
 </t>
  </si>
  <si>
    <t>ZADANIE - RYBACTWO ŚRÓDLĄDOWE</t>
  </si>
  <si>
    <t>Dotacje na zadania bieżące</t>
  </si>
  <si>
    <t>ZADANIE - KRAJOWE PASAŻERSKIE PRZEWOZY AUTOBUSOWE</t>
  </si>
  <si>
    <t>ZADANIE - UPRAWNIENIA KOMUNIKACYJNE</t>
  </si>
  <si>
    <t>Pozostałe wydatki bieżące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</si>
  <si>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</si>
  <si>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</si>
  <si>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</si>
  <si>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</si>
  <si>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</si>
  <si>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85156</t>
  </si>
  <si>
    <t>ZADANIE - UBEZPIECZENIE ZDROWOTNE UCZNIÓW</t>
  </si>
  <si>
    <t>ZADANIE - OCHRONA ZDROWIA PSYCHICZNEGO</t>
  </si>
  <si>
    <t>ZADANIE - SŁUŻBA ZASTĘPCZA</t>
  </si>
  <si>
    <t>ZADANIE - GRANTY - WSPIERANIE DZIAŁAŃ Z ZAKRESU OPIEKI ADOPCYJNO-OPIEKUŃCZEJ</t>
  </si>
  <si>
    <t>ZADANIE - KUJAWSKO-POMORSKI OŚRODEK ADOPCYJNY W TORUNIU - UTRZYMANIE JEDNOSTKI</t>
  </si>
  <si>
    <t>ZADANIE - PROGRAMY OCHRONY POWIETRZA</t>
  </si>
  <si>
    <t>90007</t>
  </si>
  <si>
    <t>ZADANIE - PROGRAMY OCHRONY PRZED HAŁASEM</t>
  </si>
  <si>
    <t>ZADANIE - OCHRONA ŚRODOWISKA</t>
  </si>
  <si>
    <t>wynagrodzenia z pochodnymi</t>
  </si>
  <si>
    <t>wydatki bieżące</t>
  </si>
  <si>
    <t xml:space="preserve">Plan dochodów uzyskiwanych w realizacji zadań zleconych </t>
  </si>
  <si>
    <t>Dział           Rozdział
§</t>
  </si>
  <si>
    <t>Zadanie</t>
  </si>
  <si>
    <t>w tym należne do:</t>
  </si>
  <si>
    <t>Budżetu Państwa</t>
  </si>
  <si>
    <t>Budżetu Województwa</t>
  </si>
  <si>
    <t>4a</t>
  </si>
  <si>
    <t>4b</t>
  </si>
  <si>
    <t>Opłaty z tytułu wydawania zaświadczeń ADR i ich wtórników</t>
  </si>
  <si>
    <t>Opłaty związane z zaszeregowaniem obiektu hotelarskiego do określonego rodzaju i kategorii</t>
  </si>
  <si>
    <t>Wynagrodzenie z tytułu ustanowienia użytkowania górniczego</t>
  </si>
  <si>
    <t>75046</t>
  </si>
  <si>
    <t>Opłaty za przeprowadzenie egzaminu w zakresie gospodarowania odpadami</t>
  </si>
  <si>
    <t>Dotacje Budżetu Państwa</t>
  </si>
  <si>
    <t>730</t>
  </si>
  <si>
    <t>SZKOLNICTWO WYŻSZE I NAUKA</t>
  </si>
  <si>
    <t>73095</t>
  </si>
  <si>
    <t>92110</t>
  </si>
  <si>
    <t xml:space="preserve">Przygotowanie dokumentacji na zadania drogowe planowane do realizacji w ramach Funduszu Dróg Samorządowych </t>
  </si>
  <si>
    <t>2019-2020</t>
  </si>
  <si>
    <t>Opracowanie dokumentacji Studium Techniczno-Ekonomiczno-Środowiskowego dla połączenia Miasta Bydgoszczy z węzłem drogowym na trasie szybkiego ruchu S5 i S10 w miejscowości Białe Błota - wsparcie finansowe</t>
  </si>
  <si>
    <t>73014</t>
  </si>
  <si>
    <t>Działalność dydaktyczna i badawcza</t>
  </si>
  <si>
    <t>Wydatki inwestycyjne</t>
  </si>
  <si>
    <t>Podniesienie jakości usług zdrowotnych oraz zwiększenie dostępu do usług medycznych w WSS we Włocławku - modernizacja pomieszczeń w budynkach szpitalnych</t>
  </si>
  <si>
    <t>Podniesienie jakości usług zdrowotnych oraz zwiększenie dostępu do usług medycznych w WSS we Włocławku - zakup sprzętu i wyposażenia</t>
  </si>
  <si>
    <t>Muzeum Archeologiczne w Biskupinie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</si>
  <si>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</si>
  <si>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2019-2021</t>
  </si>
  <si>
    <t>Rewaloryzacja i adaptacja zabytkowego spichlerza dworskiego w Kłóbce</t>
  </si>
  <si>
    <t>Lokalny transport zbiorowy</t>
  </si>
  <si>
    <t>Lecznictwo psychiatryczne</t>
  </si>
  <si>
    <t>85120</t>
  </si>
  <si>
    <t>Dostosowanie budynku do wymogów ppoż.</t>
  </si>
  <si>
    <t>Wojewódzki Szpital dla Nerwowo i Psychicznie Chorych w Świeciu</t>
  </si>
  <si>
    <t>Wojewódzka Biblioteka Publiczna - Książnica Kopernikańska w Toruniu</t>
  </si>
  <si>
    <t>2018-2022</t>
  </si>
  <si>
    <t>Modernizacja I i II balkonu w budynku głównym Teatru im. W. Horzycy w Toruniu</t>
  </si>
  <si>
    <t>Termomodernizacja zabytkowego budynku stajni-wozowni w Lubostroniu na potrzeby użytku publicznego</t>
  </si>
  <si>
    <t>Plan na 2020 rok</t>
  </si>
  <si>
    <t>Placówki kształcenia ustawicznego i centra kształcenia zawodowego</t>
  </si>
  <si>
    <t>Przewidywane nakłady poniesione do końca 2019 r.</t>
  </si>
  <si>
    <t>na rok budżetowy 2020</t>
  </si>
  <si>
    <t>Rozbudowa kampusu UTP w Bydgoszczy w Fordonie (partycypacja do 30 % wysokości dotacji ministerialnej)</t>
  </si>
  <si>
    <t>z zakresu administracji rządowej na 2020 rok</t>
  </si>
  <si>
    <t>Plan na 2020 r.</t>
  </si>
  <si>
    <t>Drogowa Inicjatywa Samorządowa</t>
  </si>
  <si>
    <t>Zakup kserokopiarki</t>
  </si>
  <si>
    <t>Wsparcie dla Policji</t>
  </si>
  <si>
    <r>
      <t>Zakup i instalacja klimatyzatorów do sal i pomieszczeń biurowych</t>
    </r>
    <r>
      <rPr>
        <i/>
        <sz val="10"/>
        <rFont val="Times New Roman CE"/>
        <family val="0"/>
      </rPr>
      <t xml:space="preserve"> </t>
    </r>
  </si>
  <si>
    <t xml:space="preserve">Zakup rozszerzenia licencji oprogramowania pakietu biurowego </t>
  </si>
  <si>
    <t xml:space="preserve">Kujawsko-Pomorski Specjalny Ośrodek Szkolno-Wychowawczy nr 1 dla Dzieci i Młodzieży Słabo Widzącej i Niewidomej im. Louisa Braille'a w Bydgoszczy </t>
  </si>
  <si>
    <t xml:space="preserve">Kujawsko-Pomorski Specjalny Ośrodek Szkolno-Wychowawczy nr 2 dla Dzieci i Młodzieży Słabo Słyszącej i Niesłyszącej im. gen. Stanisława Maczka w Bydgoszczy </t>
  </si>
  <si>
    <t>Modernizacja monitoringu</t>
  </si>
  <si>
    <t>Zakup zintegrowanego systemu finansowo-kadrowo-płacowego oraz oprogramowania do ewidencji środków trwałych</t>
  </si>
  <si>
    <t>Termomodernizacja oraz poprawa efektywności energetycznej w budynku zabytkowego Teatru im. W. Horzycy w Toruniu</t>
  </si>
  <si>
    <t>Dostosowanie istniejących pomieszczeń sanitarnych dla potrzeb osób niepełnosprawnych w Galerii i Ośrodku Plastycznej Twórczości Dziecka w Toruniu</t>
  </si>
  <si>
    <t>Galeria i Ośrodek Plastycznej Twórczości Dziecka w Toruniu</t>
  </si>
  <si>
    <t>Wykonanie izolacji stropodachu w budynku Książnicy przy ul. Słowackiego 8</t>
  </si>
  <si>
    <t>Dostosowanie wejścia dla potrzeb osób niepełnosprawnych w budynku Wojewódzkiej i Miejskiej Biblioteki Publicznej w Bydgoszczy</t>
  </si>
  <si>
    <t>Modernizacja sieci wodociągowej przeciwpożarowej na terenie Muzeum Etnograficznego w Toruniu</t>
  </si>
  <si>
    <t>Odbudowa-modernizacja rekonstrukcji wału obronnego z wieżą oraz pomostem</t>
  </si>
  <si>
    <t>Modernizacja parteru widowni dużej sceny Teatru im. Wilama Horzycy w Toruniu</t>
  </si>
  <si>
    <t xml:space="preserve">Zakupy inwestycyjne </t>
  </si>
  <si>
    <t>925</t>
  </si>
  <si>
    <t>92502</t>
  </si>
  <si>
    <t>Termomodernizacja siedziby Zespołu Parków Krajobrazowych nad Dolną Wisłą</t>
  </si>
  <si>
    <t>Zespół Parków Krajobrazowych nad Dolną Wisłą</t>
  </si>
  <si>
    <t>Budowa obwodnicy Więcborka - opracowanie studium techniczno-ekonomiczno-środowiskowego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</si>
  <si>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</si>
  <si>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2009-2020</t>
  </si>
  <si>
    <t>2020-2023</t>
  </si>
  <si>
    <t>05095</t>
  </si>
  <si>
    <t xml:space="preserve">Dotacje celowe </t>
  </si>
  <si>
    <t>Dotacje celowe</t>
  </si>
  <si>
    <t>dotacje celowe</t>
  </si>
  <si>
    <t>Plan wydatków</t>
  </si>
  <si>
    <t>Fundusze celowe</t>
  </si>
  <si>
    <t>Plan dochodów</t>
  </si>
  <si>
    <t>Przebudowa drogi wojewódzkiej Nr 251 od km 45+145 do km 46+800, odc. Młodocin-Pturek wraz z przebudową przepustu w km 46+216</t>
  </si>
  <si>
    <t>Zakup i montaż nowego szlabanu na działce Ośrodka oraz przebudowa szlabanu na parkingu Ośrodka</t>
  </si>
  <si>
    <t>Wojewódzki Szpital Specjalistyczny im. bł. ks. Jerzego Popiełuszki we Włocławku</t>
  </si>
  <si>
    <t>KPCEN we Włocławku - Rozbudowa budynku</t>
  </si>
  <si>
    <t>Inwestycje i zakupy inwestycyjne                   (w tym dotacje)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</si>
  <si>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</si>
  <si>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</si>
  <si>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</si>
  <si>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</si>
  <si>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</si>
  <si>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</si>
  <si>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</si>
  <si>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</si>
  <si>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</si>
  <si>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</si>
  <si>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</si>
  <si>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</si>
  <si>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Kujawsko-Pomorskie Centrum Kultury w Bydgoszczy</t>
  </si>
  <si>
    <t>Ośrodek Chopinowski w Szafarni</t>
  </si>
  <si>
    <t>Wojewódzki Ośrodek Animacji Kultury w Toruniu</t>
  </si>
  <si>
    <t>Kujawsko-Pomorskie Centrum Kształcenia Zawodowego w Bydgoszczy</t>
  </si>
  <si>
    <t>Budowa i modernizacja dróg dojazdowych do gruntów rolnych, rekultywacja i poprawa jakości gruntów rolnych oraz odtworzenie możliwości retencjonowania wody</t>
  </si>
  <si>
    <t>Modernizacja dróg na terenie Miasta Inowrocławia - wsparcie finansowe do 25 % wartości inwestycji przewidzianych do realizacji w ramach Funduszu Dróg Samorządowych - wsparcie finansowe</t>
  </si>
  <si>
    <t>Obsługa papierów wartościowych, kredytów i pożyczek oraz innych zobowiązań jednostek samorządu terytorialnego zaliczanych do tytułu dłużnego - kredyty i pożyczki</t>
  </si>
  <si>
    <t>Załącznik nr 1 do Uchwały budżetowej</t>
  </si>
  <si>
    <t xml:space="preserve">Uchwała Nr    /   /19 Sejmiku </t>
  </si>
  <si>
    <t xml:space="preserve">Województwa z dnia   .12.2019 r.       </t>
  </si>
  <si>
    <t>Dochody budżetu Województwa Kujawsko-Pomorskiego wg źródeł pochodzenia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</si>
  <si>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</si>
  <si>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</si>
  <si>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</si>
  <si>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</si>
  <si>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</si>
  <si>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</si>
  <si>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</si>
  <si>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</si>
  <si>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</si>
  <si>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</si>
  <si>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 xml:space="preserve"> z pozostałych źródeł </t>
  </si>
  <si>
    <t xml:space="preserve">z budżetu państwa </t>
  </si>
  <si>
    <t>na finansowanie części unijnej</t>
  </si>
  <si>
    <t>na finansowanie części krajowej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</si>
  <si>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</si>
  <si>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</si>
  <si>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</si>
  <si>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</si>
  <si>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</si>
  <si>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</si>
  <si>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</si>
  <si>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Dochody budżetu Województwa Kujawsko - Pomorskiego wg klasyfikacji budżetowej</t>
  </si>
  <si>
    <t>Dział
Rozdział</t>
  </si>
  <si>
    <t>§</t>
  </si>
  <si>
    <t>Kwota</t>
  </si>
  <si>
    <t>DOCHODY OGÓŁEM</t>
  </si>
  <si>
    <t xml:space="preserve"> </t>
  </si>
  <si>
    <t>Program Rozwoju Obszarów Wiejskich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</si>
  <si>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</si>
  <si>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</si>
  <si>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0910</t>
  </si>
  <si>
    <t>Wpływy z odsetek od nieterminowych wpłat z tytułu podatków i opłat</t>
  </si>
  <si>
    <t>Dotacje celowe otrzymane z budżetu państwa na zadania bieżące z zakresu administracji rządowej oraz inne zadania zlecone ustawami realizowane przez samorząd województwa</t>
  </si>
  <si>
    <t>Rozwój przedsiębiorczości</t>
  </si>
  <si>
    <t>Środki otrzymane od pozostałych jednostek zaliczanych do sektora finansów publicznych na realizacje zadań bieżących jednostek zaliczanych do sektora finansów publicznych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</si>
  <si>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</si>
  <si>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</si>
  <si>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od samorządu województwa na zadania bieżące realizowane na podstawie porozumień (umów) między jednostkami samorządu terytorialnego</t>
  </si>
  <si>
    <t>Dotacje otrzymane z państwowych funduszy celowych na realizację zadań bieżących jednostek sektora finansów publicznych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</si>
  <si>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</si>
  <si>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</si>
  <si>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</si>
  <si>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</si>
  <si>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0870</t>
  </si>
  <si>
    <t>Wpływy ze sprzedaży składników majątkowych</t>
  </si>
  <si>
    <t>0920</t>
  </si>
  <si>
    <t>Wpływy z pozostałych odsetek</t>
  </si>
  <si>
    <t>0940</t>
  </si>
  <si>
    <t>Wpływy z rozliczeń/zwrotów z lat ubiegłych</t>
  </si>
  <si>
    <t>0950</t>
  </si>
  <si>
    <t>Wpływy z tytułu kar i odszkodowań wynikających z umów</t>
  </si>
  <si>
    <t>Dotacja celowa otrzymana z tytułu pomocy finansowej udzielanej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</si>
  <si>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</si>
  <si>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</si>
  <si>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Dochody jednostek samorządu terytorialnego związane z realizacją zadań z zakresu administracji rządowej oraz innych zadań zleconych ustawami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</si>
  <si>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</si>
  <si>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</si>
  <si>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</si>
  <si>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</si>
  <si>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</si>
  <si>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</si>
  <si>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</si>
  <si>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</si>
  <si>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</si>
  <si>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</si>
  <si>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</si>
  <si>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powiatów (związków gmin, związków powiatowo-gminnych, związków powiatów), samorządów województw, pozyskane z innych źródeł</t>
  </si>
  <si>
    <t>0830</t>
  </si>
  <si>
    <t>Wpływy z usług</t>
  </si>
  <si>
    <t>Dotacje celowe otrzymane z budżetu państwa na realizację bieżących zadań własnych samorządu województwa</t>
  </si>
  <si>
    <t>Komisje egzaminacyjne</t>
  </si>
  <si>
    <t>Pozostałe wydatki  obronne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</si>
  <si>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</si>
  <si>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</si>
  <si>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</si>
  <si>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Wpływy z opłat za zezwolenia na sprzedaż napojów alkoholowych</t>
  </si>
  <si>
    <t>0610</t>
  </si>
  <si>
    <t>Wpływy z opłat egzaminacyjnych oraz opłat za wydawanie świadectw, dyplomów, zaświadczeń, certyfikatów i ich duplikatów</t>
  </si>
  <si>
    <t>Udziały województw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</si>
  <si>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</si>
  <si>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</si>
  <si>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</si>
  <si>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</si>
  <si>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</si>
  <si>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</si>
  <si>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</si>
  <si>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województw</t>
  </si>
  <si>
    <t>Część wyrównawcza subwencji ogólnej dla województw</t>
  </si>
  <si>
    <t>Różne rozliczenia finansowe</t>
  </si>
  <si>
    <t>Część regionalna subwencji ogólnej dla województw</t>
  </si>
  <si>
    <t>Regionalne Programy Operacyjne 2014-2020 finansowane z udziałem środków Europejskiego Funduszu Rozwoju Regionalnego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</si>
  <si>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</si>
  <si>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</si>
  <si>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</si>
  <si>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Realizacja zadań wymagających stosowania specjalnej organizacji nauki i metod pracy dla dzieci w przedszkolach, oddziałach przedszkolnych w szkołach podstawowych i innych  formach wychowania przedszkolnego</t>
  </si>
  <si>
    <t>Wpływy z wpłat gmin i powiatów na rzecz innych jednostek samorządu terytorialnego oraz związków gmin, związków powiatowo-gminnych, związków powiatów, związków metropolitalnych na dofinansowanie zadań bieżących</t>
  </si>
  <si>
    <t>0400</t>
  </si>
  <si>
    <t>Wpływy z opłaty produktowej</t>
  </si>
  <si>
    <t>Wpływy i wydatki związane z wprowadzeniem do obrotu baterii i akumulatorów</t>
  </si>
  <si>
    <t>0240</t>
  </si>
  <si>
    <t>Wpływy z opłaty recyklingowej</t>
  </si>
  <si>
    <t>Dotacja celowa otrzymana z tytułu pomocy finansowej udzielanej między jednostkami samorządu terytorialnego na dofinansowanie własnych zadań bieżących</t>
  </si>
  <si>
    <t xml:space="preserve">                                                                                             Załącznik nr 2 do Uchwały budżetowej </t>
  </si>
  <si>
    <t xml:space="preserve">                                                                                            Uchwała Nr    /   /19 Sejmiku Województwa</t>
  </si>
  <si>
    <t xml:space="preserve">                                                                                             Uchwała Nr    /   /19 Sejmiku Województwa</t>
  </si>
  <si>
    <t xml:space="preserve">                                                                                             z dnia    .12.2019 r.</t>
  </si>
  <si>
    <t xml:space="preserve">                                                                                                                                                                            w złotych</t>
  </si>
  <si>
    <t>Wydatki budżetu Województwa Kujawsko - Pomorskiego wg klasyfikacji budżetowej</t>
  </si>
  <si>
    <t>WYDATKI OGÓŁEM</t>
  </si>
  <si>
    <t>Dotacja celowa z budżetu na finansowanie lub dofinansowanie zadań zleconych do realizacji pozostałym jednostkom nie zaliczanym do sektora finansów publicznych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</si>
  <si>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</si>
  <si>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dotacji oraz płatności wykorzystanych niezgodnie z przeznaczeniem lub wykorzystanych z naruszeniem procedur, o których mowa w art. 184 ustawy, pobranych nienależnie lub w nadmiernej wysokości</t>
  </si>
  <si>
    <t>Wynagrodzenia osobowe pracowników</t>
  </si>
  <si>
    <t>Dodatkowe wynagrodzenie roczne</t>
  </si>
  <si>
    <t>Składki na ubezpieczenia społeczne</t>
  </si>
  <si>
    <t>Składki na Fundusz Pracy oraz Solidarnościowy Fundusz Wsparcia Osób Niepełnosprawnych</t>
  </si>
  <si>
    <t>Wynagrodzenia bezosobowe</t>
  </si>
  <si>
    <t>Nagrody konkursowe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</si>
  <si>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</si>
  <si>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</si>
  <si>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</si>
  <si>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</si>
  <si>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</si>
  <si>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Opłaty z tytułu zakupu usług telekomunikacyjnych</t>
  </si>
  <si>
    <t>Zakup usług obejmujących tłumaczenia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</si>
  <si>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</si>
  <si>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</si>
  <si>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</si>
  <si>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</si>
  <si>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Szkolenia pracowników niebędących członkami korpusu służby cywilnej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</si>
  <si>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</si>
  <si>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Koszty postępowania sądowego i prokuratorskiego</t>
  </si>
  <si>
    <t>Dotacje celowe przekazane gminie na inwestycje i zakupy inwestycyjne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</si>
  <si>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</si>
  <si>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Podatek od towarów i usług (VAT).</t>
  </si>
  <si>
    <t>Składki do organizacji międzynarodowych</t>
  </si>
  <si>
    <t>Dotacja celowa z budżetu dla pozostałych jednostek zaliczanych do sektora finansów publicznych</t>
  </si>
  <si>
    <t>Różne wydatki na rzecz osób fizycznych</t>
  </si>
  <si>
    <t>Zakup usług obejmujących wykonanie ekspertyz, analiz i opinii</t>
  </si>
  <si>
    <t>Dotacje celowe przekazane do samorządu województwa na zadania bieżące realizowane na podstawie porozumień (umów) między jednostkami samorządu terytorialnego</t>
  </si>
  <si>
    <t>Dotacja przedmiotowa z budżetu dla jednostek niezaliczanych do sektora finansów publicznych</t>
  </si>
  <si>
    <t>Wydatki inwestycyjne jednostek budżetowych</t>
  </si>
  <si>
    <t>Wydatki osobowe niezaliczone do wynagrodzeń</t>
  </si>
  <si>
    <t>Wpłaty na Państwowy Fundusz Rehabilitacji Osób Niepełnosprawnych</t>
  </si>
  <si>
    <t>Zakup usług zdrowotnych</t>
  </si>
  <si>
    <t>Odpisy na zakładowy fundusz świadczeń socjalnych</t>
  </si>
  <si>
    <t>Podatek od nieruchomości</t>
  </si>
  <si>
    <t>Pozostałe podatki na rzecz budżetów jednostek samorządu terytorialnego</t>
  </si>
  <si>
    <t>Opłaty na rzecz budżetu państwa</t>
  </si>
  <si>
    <t>Opłaty na rzecz budżetów jednostek samorządu terytorialnego</t>
  </si>
  <si>
    <t>Wydatki na zakupy inwestycyjne jednostek budżetowych</t>
  </si>
  <si>
    <t>Dotacje celowe przekazane dla powiatu na inwestycje i zakupy inwestycyjne realizowane na podstawie porozumień (umów) między jednostkami samorządu terytorialnego</t>
  </si>
  <si>
    <t>Dotacja celowa na pomoc finansową udzielaną między jednostkami samorządu terytorialnego na dofinansowanie własnych zadań inwestycyjnych i zakupów inwestycyjnych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</si>
  <si>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</si>
  <si>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Wydatki na zakup i objęcie akcji i udziałów</t>
  </si>
  <si>
    <t>6069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</si>
  <si>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</si>
  <si>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Dotacje celowe z budżetu na finansowanie lub dofinansowanie kosztów realizacji inwestycji i zakupów inwestycyjnych innych jednostek sektora finansów publicznych</t>
  </si>
  <si>
    <t>Nagrody o charakterze szczególnym niezaliczone do wynagrodzeń</t>
  </si>
  <si>
    <t>Wpłaty jednostek na państwowy fundusz celowy na finansowanie lub dofinansowanie zadań inwestycyjnych</t>
  </si>
  <si>
    <t>Odsetki od samorządowych papierów wartościowych lub zaciągniętych przez jednostkę samorządu terytorialnego kredytów i pożyczek</t>
  </si>
  <si>
    <t>Wypłaty z tytułu zagranicznych poręczeń i gwarancji</t>
  </si>
  <si>
    <t>Wypłaty z tytułu krajowych poręczeń i gwarancji</t>
  </si>
  <si>
    <t>Rezerwy</t>
  </si>
  <si>
    <t>Rezerwy na inwestycje i zakupy inwestycyjne</t>
  </si>
  <si>
    <t>Zakup środków dydaktycznych i książek</t>
  </si>
  <si>
    <t>Zakup usług remontowo-konserwatorskich dotyczących obiektów zabytkowych będących w użytkowaniu jednostek budżetowych</t>
  </si>
  <si>
    <t>Dotacja celowa przekazana z budżetu jednostki samorządu terytorialnego na dofinansowanie realizacji zadań w zakresie programów polityki zdrowotnej</t>
  </si>
  <si>
    <t>Składki na ubezpieczenie zdrowotne</t>
  </si>
  <si>
    <t>Dotacje celowe przekazane dla powiatu na zadania bieżące realizowane na podstawie porozumień (umów) między jednostkami samorządu terytorialnego</t>
  </si>
  <si>
    <t>Dotacja celowa z budżetu na finansowanie lub dofinansowanie zadań zleconych do realizacji stowarzyszeniom</t>
  </si>
  <si>
    <t>Stypendia dla uczniów</t>
  </si>
  <si>
    <t>Dotacja celowa z budżetu na finansowanie lub dofinansowanie zadań zleconych do realizacji fundacjom</t>
  </si>
  <si>
    <t>Dotacja podmiotowa z budżetu dla samorządowej instytucji kultury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</si>
  <si>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</si>
  <si>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</si>
  <si>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 przekazane jednostkom zaliczanym do sektora finansów publicznych</t>
  </si>
  <si>
    <t>Stypendia różne</t>
  </si>
  <si>
    <t>Dotacje celowe z budżetu na finansowanie lub dofinansowanie kosztów realizacji inwestycji i zakupów inwestycyjnych jednostek nie zaliczanych do sektora finansów publicznych</t>
  </si>
  <si>
    <t xml:space="preserve">                                                                                            Załącznik nr 4 do Uchwały budżetowej </t>
  </si>
  <si>
    <t>Załącznik nr 5 do Uchwały budżetowej</t>
  </si>
  <si>
    <t xml:space="preserve">Wynik budżetowy i finansowy </t>
  </si>
  <si>
    <t>Dochody</t>
  </si>
  <si>
    <t>1.1</t>
  </si>
  <si>
    <t>dochody bieżące</t>
  </si>
  <si>
    <t>1.2</t>
  </si>
  <si>
    <t>dochody majątkowe</t>
  </si>
  <si>
    <t>Przychody</t>
  </si>
  <si>
    <t>2.1</t>
  </si>
  <si>
    <t>Kredyt krajowy</t>
  </si>
  <si>
    <t>2.1.1</t>
  </si>
  <si>
    <t>Kredyt na spłatę zaciągniętych kredytów</t>
  </si>
  <si>
    <t>2.1.2</t>
  </si>
  <si>
    <t>Kredyt na sfinansowanie planowanego deficytu budżetowego</t>
  </si>
  <si>
    <t>2.2</t>
  </si>
  <si>
    <t>Wolne środki z lat ubiegłych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</si>
  <si>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</si>
  <si>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</si>
  <si>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</si>
  <si>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</si>
  <si>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</si>
  <si>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</si>
  <si>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</si>
  <si>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</si>
  <si>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</si>
  <si>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</si>
  <si>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</si>
  <si>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</si>
  <si>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</si>
  <si>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</si>
  <si>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</si>
  <si>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</si>
  <si>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</si>
  <si>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</si>
  <si>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Kredyty bankowe</t>
  </si>
  <si>
    <t>9.2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</si>
  <si>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</si>
  <si>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</si>
  <si>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</si>
  <si>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</si>
  <si>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</si>
  <si>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</si>
  <si>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</si>
  <si>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</si>
  <si>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</si>
  <si>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</si>
  <si>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</si>
  <si>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</si>
  <si>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</si>
  <si>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>Wynik finansowy budżetu</t>
  </si>
  <si>
    <t xml:space="preserve">Uchwała Nr    /     /19 Sejmiku </t>
  </si>
  <si>
    <t>Województwa z dnia       .12.2019 r.</t>
  </si>
  <si>
    <t xml:space="preserve">Projekty i działania realizowane w ramach Regionalnego Programu Operacyjnego Województwa Kujawsko-Pomorskiego 2014-2020 
Plan na 2020 rok </t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</si>
  <si>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</si>
  <si>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</si>
  <si>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</si>
  <si>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</si>
  <si>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</si>
  <si>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</si>
  <si>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</si>
  <si>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2019 r.</t>
  </si>
  <si>
    <t>Wydatki 2020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</si>
  <si>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</si>
  <si>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</si>
  <si>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</si>
  <si>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</si>
  <si>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</si>
  <si>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</si>
  <si>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</si>
  <si>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</si>
  <si>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</si>
  <si>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</si>
  <si>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</si>
  <si>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</si>
  <si>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</si>
  <si>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</si>
  <si>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</si>
  <si>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</si>
  <si>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</si>
  <si>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</si>
  <si>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</si>
  <si>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</si>
  <si>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</si>
  <si>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</si>
  <si>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</si>
  <si>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</si>
  <si>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</si>
  <si>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</si>
  <si>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</si>
  <si>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</si>
  <si>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</si>
  <si>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Kujawy + Pomorze - promocja potencjału gospodarczego regionu</t>
  </si>
  <si>
    <t>2018 - 2020</t>
  </si>
  <si>
    <t>Wsparcie umiędzynarodowienia kujawsko-pomorskich MŚP oraz promocja potencjału gospodarczego regionu</t>
  </si>
  <si>
    <t>078, 081, 101</t>
  </si>
  <si>
    <t>Infostrada Kujaw i Pomorza 2.0</t>
  </si>
  <si>
    <t>720
72095</t>
  </si>
  <si>
    <t>Budowa kujawsko-pomorskiego systemu udostępniania elektronicznej dokumentacji medycznej - I etap</t>
  </si>
  <si>
    <t>Budowa kujawsko-pomorskiego systemu udostępniania elektronicznej dokumentacji medycznej - II etap</t>
  </si>
  <si>
    <t>2018 - 2022</t>
  </si>
  <si>
    <t>079, 101</t>
  </si>
  <si>
    <t>Kultura w zasięgu 2.0</t>
  </si>
  <si>
    <t>2016 - 2021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</si>
  <si>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</si>
  <si>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</si>
  <si>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</si>
  <si>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</si>
  <si>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</si>
  <si>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2019 - 2020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</si>
  <si>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</si>
  <si>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</si>
  <si>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</si>
  <si>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</si>
  <si>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</si>
  <si>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2017 - 2020</t>
  </si>
  <si>
    <t>3.5.2</t>
  </si>
  <si>
    <t>Poprawa bezpieczeństwa i komfortu życia mieszkańców oraz wsparcie niskoemisyjnego transportu drogowego poprzez wybudowanie dróg dla rowerów (lider: powiat toruński)</t>
  </si>
  <si>
    <t>600
60013</t>
  </si>
  <si>
    <t>Poprawa bezpieczeństwa i komfortu życia mieszkańców oraz wsparcie niskoemisyjnego transportu drogowego poprzez wybudowanie dróg rowerowych na terenie powiatu bydgoskiego (lider: gmina Koronowo, gmina Solec Kujawski, powiat bydgoski)</t>
  </si>
  <si>
    <t>2017 - 2022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</si>
  <si>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</si>
  <si>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</si>
  <si>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</si>
  <si>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017, 018</t>
  </si>
  <si>
    <t>Punkty selektywnego zbierania odpadów komunalnych w województwie kujawsko-pomorskim</t>
  </si>
  <si>
    <t>900
90026</t>
  </si>
  <si>
    <t>2018 - 2021</t>
  </si>
  <si>
    <t>4.4</t>
  </si>
  <si>
    <t>094, 095</t>
  </si>
  <si>
    <t>Kujawsko-Pomorskie - rozwój poprzez kulturę 2019</t>
  </si>
  <si>
    <t>921
92195</t>
  </si>
  <si>
    <t>094</t>
  </si>
  <si>
    <t>Wsparcie opieki nad zabytkami województwa kujawsko-pomorskiego w 2019 roku</t>
  </si>
  <si>
    <t>921
92120</t>
  </si>
  <si>
    <t>4.5</t>
  </si>
  <si>
    <t>085</t>
  </si>
  <si>
    <t>Ochrona czynna i monitoring obszarów Natura 2000 zlokalizowanych w granicach Brodnickiego Parku Krajobrazowego</t>
  </si>
  <si>
    <t>BPK</t>
  </si>
  <si>
    <t>925
92502</t>
  </si>
  <si>
    <t xml:space="preserve">Poprawa różnorodności biologicznej poprzez zarybianie j. Gopło oraz rozbudowa obiektu o część ekspozycji przyrodniczo-historycznej </t>
  </si>
  <si>
    <t>NPT</t>
  </si>
  <si>
    <t>Utworzenie ośrodka edukacji przyrodniczej Krajeńskiego Parku Krajobrazowego</t>
  </si>
  <si>
    <t>KPK</t>
  </si>
  <si>
    <t>Budowa stacji terenowo-badawczej "Podmoście"</t>
  </si>
  <si>
    <t>ZPKnDW</t>
  </si>
  <si>
    <t>Modernizacja zagrody wiejskiej w Dusocinie na potrzeby ośrodka edukacji ekologicznej na terenie Parku Krajobrazowego "Góry Łosiowe" wraz z czynną ochrona przyrody na obszarze Natura 2000</t>
  </si>
  <si>
    <t>034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</si>
  <si>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</si>
  <si>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2016 - 2020</t>
  </si>
  <si>
    <t>Rozbudowa drogi wojewódzkiej Nr 548 Stolno-Wąbrzeźno od km 0+005 do km 29+619 z wyłączeniem węzła autostradowego w m. Lisewo od km 14+144 do km 15+146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</si>
  <si>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</si>
  <si>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</si>
  <si>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Przebudowa i rozbudowa drogi wojewódzkiej Nr 255 Pakość - Strzelno od km 0+005 do km 21+910, Etap I - Rozbudowa drogi wojewódzkiej Nr 255 na odc. od km 0+005 do km 2+220, dł. 2,215 km"</t>
  </si>
  <si>
    <t>Przebudowa i rozbudowa drogi wojewódzkiej Nr 255 Pakość - Strzelno od km 0+005 do km 21+910, Etap II - Przebudowa drogi wojewódzkiej Nr 255 na odc. od km 2+220 do km 21+910, dł. 19,690 km</t>
  </si>
  <si>
    <t>Przebudowa wraz z rozbudową drogi wojewódzkiej Nr 266 Ciechocinek-Służewo-Radziejów-Sompolno-Konin</t>
  </si>
  <si>
    <t>Przebudowa wraz z rozbudową drogi wojewódzkiej Nr 241 Tuchola - Rogoźno od km 0+005 do km 26+360 na odc. Tuchola - Sępólno Krajeńskie</t>
  </si>
  <si>
    <t>Przebudowa wraz z rozbudową drogi wojewódzkiej Nr 254 Brzoza-Łabiszyn-Barcin-Mogilno-Wylatowo (odcinek Brzoza-Barcin)</t>
  </si>
  <si>
    <t>2017 - 2021</t>
  </si>
  <si>
    <t>Przebudowa wraz z rozbudową drogi wojewódzkiej Nr 254 Brzoza-Wylatowo (odcinek Barcin-Wylatowo)</t>
  </si>
  <si>
    <t>Przebudowa wraz z rozbudową drogi wojewódzkiej Nr 534 Grudziądz-Wąbrzeźno-Golub-Dobrzyń-Rypin od km 76+705 do km 81+719</t>
  </si>
  <si>
    <t>Przebudowa wraz z rozbudową drogi wojewódzkiej Nr 270 Brześć Kujawski-Izbica Kujawska-Koło od km 0+000 do km 29+023</t>
  </si>
  <si>
    <t>Przebudowa wraz z rozbudową drogi wojewódzkiej Nr 269 Szczerkowo-Kowal od km 12+170 do km 28+898 oraz od km 33+622 do km 59+194</t>
  </si>
  <si>
    <t>Przebudowa wraz z rozbudową drogi wojewódzkiej Nr 563 Rypin-Żuromin-Mława od km 2+475 do km 16+656</t>
  </si>
  <si>
    <t>Przebudowa drogi wojewódzkiej Nr 249 wraz z uruchomieniem przeprawy promowej przez Wisłę na wysokości Solca Kujawskiego i Czarnowa</t>
  </si>
  <si>
    <t>6.3.1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</si>
  <si>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</si>
  <si>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</si>
  <si>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</si>
  <si>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</si>
  <si>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</si>
  <si>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</si>
  <si>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</si>
  <si>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Medyczne Centrum Przyszłości - utworzenie bazy kształcenia zawodowego dla Medyczno-Społecznego Centrum Kształcenia Zawodowego i Ustawicznego w Toruniu</t>
  </si>
  <si>
    <t>801                 80116</t>
  </si>
  <si>
    <t>Kwalifikacyjne Kursy Zawodowe twoją zawodowa szansą - nowe formy praktycznej nauki zawodu w Kujawsko-Pomorskim Ośrodku Dokształcania i Doskonalenia Zawodowego</t>
  </si>
  <si>
    <t>801                 80140</t>
  </si>
  <si>
    <t>6.5</t>
  </si>
  <si>
    <t>075, 093</t>
  </si>
  <si>
    <t>Utworzenie Centrum Czynnej Ochrony Przyrody Wdeckiego Parku Krajobrazowego</t>
  </si>
  <si>
    <t>WPK</t>
  </si>
  <si>
    <t>8.4.1</t>
  </si>
  <si>
    <t>105</t>
  </si>
  <si>
    <t>Aktywna Mama, aktywny Tata</t>
  </si>
  <si>
    <t>852                 85295</t>
  </si>
  <si>
    <t>2019 - 2021</t>
  </si>
  <si>
    <t>8.6.1</t>
  </si>
  <si>
    <t>107</t>
  </si>
  <si>
    <t>Zdrowi i aktywni w pracy</t>
  </si>
  <si>
    <t>851                 85195</t>
  </si>
  <si>
    <t>Zdrowiej w pracy i po pracy</t>
  </si>
  <si>
    <t>WUP 
w Toruniu</t>
  </si>
  <si>
    <t>853
85332</t>
  </si>
  <si>
    <t>2020 - 2022</t>
  </si>
  <si>
    <t>9.2.2</t>
  </si>
  <si>
    <t>109</t>
  </si>
  <si>
    <t>Wykluczenie - nie ma MOWy!</t>
  </si>
  <si>
    <t>852
85295</t>
  </si>
  <si>
    <t>Trampolina 2</t>
  </si>
  <si>
    <t>9.3.2</t>
  </si>
  <si>
    <t>112</t>
  </si>
  <si>
    <t>Rodzina w Centrum 2</t>
  </si>
  <si>
    <t>Pogodna jesień życia na Kujawach i Pomorzu - projekt pomocy środowiskowej dla seniorów (Lider Kujawsko-Pomorski Oddział Okręgowy Polskiego Czerwonego Krzyża w Bydgoszczy)</t>
  </si>
  <si>
    <t>9.4.2</t>
  </si>
  <si>
    <t>113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</si>
  <si>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</si>
  <si>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</si>
  <si>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</si>
  <si>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</si>
  <si>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</si>
  <si>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</si>
  <si>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2020 - 2021</t>
  </si>
  <si>
    <t>10.2.2</t>
  </si>
  <si>
    <t>Region Nauk Ścisłych II - edukacja przyszłości</t>
  </si>
  <si>
    <t>801
80195</t>
  </si>
  <si>
    <t>Niebo nad Astrobazami - rozwijamy kompetencje kluczowe uczniów</t>
  </si>
  <si>
    <t>10.3.1</t>
  </si>
  <si>
    <t>Prymus Pomorza i Kujaw</t>
  </si>
  <si>
    <t>854
85416</t>
  </si>
  <si>
    <t>Humaniści na start</t>
  </si>
  <si>
    <t>10.3.2</t>
  </si>
  <si>
    <t>118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</si>
  <si>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</si>
  <si>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</si>
  <si>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</si>
  <si>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</si>
  <si>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</si>
  <si>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</si>
  <si>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</si>
  <si>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</si>
  <si>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</si>
  <si>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2018-2020</t>
  </si>
  <si>
    <t>750
75018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</si>
  <si>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</si>
  <si>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</si>
  <si>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</si>
  <si>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</si>
  <si>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3.5.1</t>
  </si>
  <si>
    <t>013, 014</t>
  </si>
  <si>
    <t>Efektywność energetyczna w sektorze publicznym i mieszkaniowym w ramach ZIT</t>
  </si>
  <si>
    <t>X</t>
  </si>
  <si>
    <t>6.1.1</t>
  </si>
  <si>
    <t>053</t>
  </si>
  <si>
    <t>Inwestycje w infrastrukturę zdrowotną</t>
  </si>
  <si>
    <t>851
85111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</si>
  <si>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</si>
  <si>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</si>
  <si>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</si>
  <si>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</si>
  <si>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</si>
  <si>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</si>
  <si>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900
90095</t>
  </si>
  <si>
    <t>6.4.1</t>
  </si>
  <si>
    <t>Rewitalizacja obszarów miejskich i ich obszarów funkcjonalnych w ramach ZIT</t>
  </si>
  <si>
    <t>8.2.1</t>
  </si>
  <si>
    <t>Wsparcie na rzecz podniesienia poziomu aktywności zawodowej osób pozostających bez zatrudnienia</t>
  </si>
  <si>
    <t>853
85395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</si>
  <si>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</si>
  <si>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</si>
  <si>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</si>
  <si>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</si>
  <si>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</si>
  <si>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</si>
  <si>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</si>
  <si>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</si>
  <si>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</si>
  <si>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</si>
  <si>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</si>
  <si>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</si>
  <si>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</si>
  <si>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</si>
  <si>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9.1.2</t>
  </si>
  <si>
    <t>Rozwój usług opiekuńczych w ramach ZIT</t>
  </si>
  <si>
    <t>852            85228</t>
  </si>
  <si>
    <t>Aktywne włączenie społeczne młodzieży objętej sądowym środkiem wychowawczym lub poprawczym</t>
  </si>
  <si>
    <t>852            85295</t>
  </si>
  <si>
    <t>9.3.1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</si>
  <si>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</si>
  <si>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</si>
  <si>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</si>
  <si>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</si>
  <si>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</si>
  <si>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</si>
  <si>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</si>
  <si>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</si>
  <si>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</si>
  <si>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</si>
  <si>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</si>
  <si>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10.2.3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</si>
  <si>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</si>
  <si>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</si>
  <si>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</si>
  <si>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</si>
  <si>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</si>
  <si>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</si>
  <si>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 xml:space="preserve">Uchwała Nr    /      /19 Sejmiku </t>
  </si>
  <si>
    <t>Załącznik nr 6 do Uchwały budżetowej</t>
  </si>
  <si>
    <t>Pozostałe projekty i działania realizowane ze środków zagranicznych 
Plan na 2020 rok</t>
  </si>
  <si>
    <t xml:space="preserve">Program/ Działanie </t>
  </si>
  <si>
    <t>Nazwa Projektu</t>
  </si>
  <si>
    <t>Wydatki całkowite
 w tym:</t>
  </si>
  <si>
    <t>Przewidywane wykonanie do końca 2019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</si>
  <si>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</si>
  <si>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</si>
  <si>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</si>
  <si>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</si>
  <si>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</si>
  <si>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</si>
  <si>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2014 - 2020</t>
  </si>
  <si>
    <t>Wsparcie gmin w przygotowaniu i koordynacji programów rewitalizacji</t>
  </si>
  <si>
    <t>Urząd Marszałkowski w Toruniu /KPBPP we Włocławku</t>
  </si>
  <si>
    <t>2019 - 2022</t>
  </si>
  <si>
    <t>PO PC
Działanie 3.2</t>
  </si>
  <si>
    <t>Buduję, koduję, programuję</t>
  </si>
  <si>
    <t>KPCEN 
w Toruniu</t>
  </si>
  <si>
    <t>PO WER
Działanie 1.2</t>
  </si>
  <si>
    <t>Wsparcie osób młodych na regionalnym rynku pracy - projekty konkursowe</t>
  </si>
  <si>
    <t>WUP
w Toruniu</t>
  </si>
  <si>
    <t>2016 - 2022</t>
  </si>
  <si>
    <t>PO WER
Działanie 2.5</t>
  </si>
  <si>
    <t>Kooperacja - efektywna i skuteczna</t>
  </si>
  <si>
    <t>ROPS
w Toruniu</t>
  </si>
  <si>
    <t>PO WER
Działanie 2.10</t>
  </si>
  <si>
    <t>Toruńska szkoła ćwiczeń dla województwa kujawsko-pomorskiego</t>
  </si>
  <si>
    <t>BP 
w Toruniu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</si>
  <si>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</si>
  <si>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</si>
  <si>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</si>
  <si>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</si>
  <si>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2015 - 2020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</si>
  <si>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</si>
  <si>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</si>
  <si>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</si>
  <si>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</si>
  <si>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</si>
  <si>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</si>
  <si>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</si>
  <si>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</si>
  <si>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</si>
  <si>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2.4</t>
  </si>
  <si>
    <t>Edukacja społeczności zamieszkujących obszary chronione województwa kujawsko-pomorskiego: Lubię tu być na zielonym!</t>
  </si>
  <si>
    <t>PO IŚ
Działanie 8.1</t>
  </si>
  <si>
    <t>Młyn Kultury - Przebudowa, rozbudowa i zmiana sposobu użytkowania budynku magazynowego przy ul. Kościuszki 77 w Toruniu - na budynek o funkcji użyteczności publicznej</t>
  </si>
  <si>
    <t>ERASMUS+</t>
  </si>
  <si>
    <t>Kreatywni nauczyciele dla dzieci i młodzieży z dysfunkcją wzroku</t>
  </si>
  <si>
    <t>KPSOSW Nr 1 w Bydgoszczy</t>
  </si>
  <si>
    <t>INTERREG (Region Morza Bałtyckiego)</t>
  </si>
  <si>
    <t>EMMA Extension</t>
  </si>
  <si>
    <t>600
60095</t>
  </si>
  <si>
    <t>INTERREG (Europa Środkowa)</t>
  </si>
  <si>
    <t>SURFACE</t>
  </si>
  <si>
    <t>HICAPS</t>
  </si>
  <si>
    <t>Combine</t>
  </si>
  <si>
    <t>INTERREG (Europa)</t>
  </si>
  <si>
    <t>Digitourism</t>
  </si>
  <si>
    <t>150
15095</t>
  </si>
  <si>
    <t>2018 - 2023</t>
  </si>
  <si>
    <t>ECO-CICLE</t>
  </si>
  <si>
    <t>630
63095</t>
  </si>
  <si>
    <t>Cult-CreaTE</t>
  </si>
  <si>
    <t>ThreeT</t>
  </si>
  <si>
    <t>Załącznik nr 7 do Uchwały budżetowej</t>
  </si>
  <si>
    <t xml:space="preserve">Uchwała Nr   /     /19 Sejmiku </t>
  </si>
  <si>
    <t>Województwa z dnia     .12.2019 r.</t>
  </si>
  <si>
    <t>Załącznik nr 9 do Uchwały budżetowej</t>
  </si>
  <si>
    <t xml:space="preserve">                                                                                                                             </t>
  </si>
  <si>
    <t>Uchwała Nr     /     /19 Sejmiku Województwa</t>
  </si>
  <si>
    <t xml:space="preserve">z dnia    .12.2019 r.         </t>
  </si>
  <si>
    <t xml:space="preserve"> Dotacje udzielane z budżetu Województwa Kujawsko - Pomorskiego </t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</si>
  <si>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</si>
  <si>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</si>
  <si>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</si>
  <si>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</si>
  <si>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</si>
  <si>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</si>
  <si>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</si>
  <si>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</si>
  <si>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</t>
  </si>
  <si>
    <t xml:space="preserve"> II DOTACJE PODMIOTOWE</t>
  </si>
  <si>
    <t>Dotacje dla instytucji kultury</t>
  </si>
  <si>
    <t xml:space="preserve">Działalność statutowa  </t>
  </si>
  <si>
    <t>Zadanie remontowe - Remont elewacji budynku głównego i budynku Sceny na Zapleczu Teatru im. Wilama Horzycy w Toruniu</t>
  </si>
  <si>
    <t>Zadanie remontowe - Roboty remontowo-konserwatorskie w budynku głównym Teatru im. Wilama Horzycy w Toruniu</t>
  </si>
  <si>
    <t>Kujawsko-Pomorski Impresyjny Teatr Muzyczny w Toruniu</t>
  </si>
  <si>
    <t>Filharmonia Pomorska w Bydgoszczy</t>
  </si>
  <si>
    <t>92108</t>
  </si>
  <si>
    <t xml:space="preserve">Działalność statutowa w tym:  </t>
  </si>
  <si>
    <t xml:space="preserve"> - ze środków własnych Województwa</t>
  </si>
  <si>
    <t xml:space="preserve"> - ze środków Gminy Radomin</t>
  </si>
  <si>
    <t>Galeria Sztuki "Wozownia" w Toruniu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</si>
  <si>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</si>
  <si>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</si>
  <si>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</si>
  <si>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</si>
  <si>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 xml:space="preserve"> - ze środków Miasta Torunia</t>
  </si>
  <si>
    <t>Zadanie remontowe - Remonty</t>
  </si>
  <si>
    <t>Zadanie remontowe - Wymiana pokrycia dachowego na zabytkowym spichrzu przy ul. Bulwary 9 we Włocławku</t>
  </si>
  <si>
    <t xml:space="preserve"> III DOTACJE CELOWE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</si>
  <si>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</si>
  <si>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</si>
  <si>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rowerowych na terenie powiatu bydgoskiego (lider gmina Koronowo, gmina Solec Kujawski, powiat bydgoski)</t>
  </si>
  <si>
    <t>85149</t>
  </si>
  <si>
    <t>Regionalne programy polityki zdrowotnej i profilaktyczne</t>
  </si>
  <si>
    <t>Wsparcie na rzecz wydłużenia aktywności zawodowej mieszkańców</t>
  </si>
  <si>
    <t>85203</t>
  </si>
  <si>
    <t>85228</t>
  </si>
  <si>
    <t>85295</t>
  </si>
  <si>
    <t>85395</t>
  </si>
  <si>
    <t>85595</t>
  </si>
  <si>
    <t>90026</t>
  </si>
  <si>
    <t>92120</t>
  </si>
  <si>
    <t xml:space="preserve"> Na zadania realizowane w ramach Programu Operacyjnego Wiedza Edukacja i Rozwój</t>
  </si>
  <si>
    <t>2.5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</si>
  <si>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</si>
  <si>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</si>
  <si>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</si>
  <si>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</si>
  <si>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Bieżące utrzymanie wód i urządzeń wodnych - konserwacja, naprawa urządzeń melioracji wodnych (spółki wodne)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</si>
  <si>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</si>
  <si>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</si>
  <si>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</si>
  <si>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</si>
  <si>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</si>
  <si>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</si>
  <si>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</si>
  <si>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</si>
  <si>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Modernizacja dróg na terenie Miasta Inowrocławia - wsparcie finansowe do 25 % wartości inwestycji przewidzianych do realizacji w ramach Funduszu Dróg Samorządowych </t>
    </r>
    <r>
      <rPr>
        <b/>
        <i/>
        <sz val="10"/>
        <color indexed="8"/>
        <rFont val="Times New Roman CE"/>
        <family val="0"/>
      </rPr>
      <t>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</si>
  <si>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Times New Roman CE"/>
        <family val="0"/>
      </rPr>
      <t>wsparcie finansowe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</si>
  <si>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</si>
  <si>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</si>
  <si>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t>Laboratorium myśli św. Jana Pawła II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</si>
  <si>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</si>
  <si>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</si>
  <si>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Podniesienie jakości usług zdrowotnych oraz zwiększenie dostępu do usług medycznych w WSS we Włocławku - modernizacja pomieszczeń w budynkach szpitalnych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</si>
  <si>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Podniesienie jakości usług zdrowotnych oraz zwiększenie dostępu do usług medycznych w WSS we Włocławku - zakup sprzętu i wyposażenia
</t>
    </r>
    <r>
      <rPr>
        <i/>
        <sz val="10"/>
        <color indexed="8"/>
        <rFont val="Times New Roman CE"/>
        <family val="0"/>
      </rPr>
      <t>Wojewódzki Szpital Specjalistyczny im. bł. ks. Jerzego Popiełuszki we Włocławku</t>
    </r>
  </si>
  <si>
    <r>
      <t xml:space="preserve">Dostosowanie budynku do wymogów ppoż
</t>
    </r>
    <r>
      <rPr>
        <i/>
        <sz val="10"/>
        <color indexed="8"/>
        <rFont val="Times New Roman CE"/>
        <family val="0"/>
      </rPr>
      <t>Wojewódzki Szpital dla Nerwowo i Psychicznie Chorych w Świeciu</t>
    </r>
  </si>
  <si>
    <r>
      <t xml:space="preserve">Zakup ambulansów w formie leasingu przez Wojewódzką Stację Pogotowia Ratunkowego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Stacja Pogotowia Ratunkowego w Bydgoszczy</t>
    </r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</si>
  <si>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</si>
  <si>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</si>
  <si>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</si>
  <si>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</si>
  <si>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</si>
  <si>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</si>
  <si>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</si>
  <si>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</si>
  <si>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85205</t>
  </si>
  <si>
    <t>Wojewódzki Program przeciwdziałania przemocy w rodzinie dla województwa kujawsko-pomorskiego do roku 2020 - Kujawsko-Pomorska Niebieska Linia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</si>
  <si>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</si>
  <si>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</si>
  <si>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</si>
  <si>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</si>
  <si>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</si>
  <si>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</si>
  <si>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</si>
  <si>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</si>
  <si>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</si>
  <si>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</si>
  <si>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</si>
  <si>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Edukacja społeczności zamieszkujących obszary chronione województwa kujawsko-pomorskiego: Lubię tu być na zielonym! </t>
    </r>
    <r>
      <rPr>
        <b/>
        <i/>
        <sz val="10"/>
        <color indexed="8"/>
        <rFont val="Times New Roman CE"/>
        <family val="0"/>
      </rPr>
      <t>(POIŚ)</t>
    </r>
  </si>
  <si>
    <t>92105</t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</si>
  <si>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</si>
  <si>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</si>
  <si>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</si>
  <si>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</si>
  <si>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rPr>
        <sz val="10"/>
        <color indexed="8"/>
        <rFont val="Times New Roman CE"/>
        <family val="0"/>
      </rPr>
      <t>Zakup zintegrowanego systemu finansowo-kadrowo-płacowego oraz oprogramowania do ewidencji środków trwałych</t>
    </r>
    <r>
      <rPr>
        <i/>
        <sz val="10"/>
        <color indexed="8"/>
        <rFont val="Times New Roman CE"/>
        <family val="0"/>
      </rPr>
      <t xml:space="preserve">
Opera NOVA w Bydgoszczy</t>
    </r>
  </si>
  <si>
    <r>
      <t xml:space="preserve">Modernizacja I i II balkonu w budynku głównym Teatru im. Wilama Horzycy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</si>
  <si>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Termomodernizacja oraz poprawa efektywności energetycznej w budynku zabytkowego Teatru im. Wilama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</si>
  <si>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Modernizacja parteru widowni dużej sceny Teatru im. Wilama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</si>
  <si>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</si>
  <si>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</si>
  <si>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</si>
  <si>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Termomodernizacja zabytkowego budynku stajni-wozowni w Lubostroniu na potrzeby użytku publicznego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</si>
  <si>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</si>
  <si>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family val="0"/>
      </rPr>
      <t>Galeria i Ośrodek Plastycznej Twórczości Dziecka w Toruniu</t>
    </r>
  </si>
  <si>
    <r>
      <t xml:space="preserve">Wykonanie izolacji stropodachu w budynku Książnicy przy ul. Słowackiego 8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</si>
  <si>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Dostosowanie wejścia dla potrzeb osób niepełnosprawnych w budynku Wojewódzkiej i Miejskiej Biblioteki Publicznej w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</si>
  <si>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Zakupy inwestycyjne dla Wojewódzkiej i Miejskiej Biblioteki Publicznej 
w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</si>
  <si>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t>Dofinansowanie Muzeum Ziemi Pałuckiej w Żninie - wsparcie finansowe</t>
  </si>
  <si>
    <r>
      <t xml:space="preserve">Rewaloryzacja i adaptacja zabytkowego spichlerza dworskiego w Kłóbce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</si>
  <si>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Modernizacja sieci wodociągowej przeciwpożarowej na terenie Muzeum Etnograficznego w Toruniu
</t>
    </r>
    <r>
      <rPr>
        <i/>
        <sz val="10"/>
        <color indexed="8"/>
        <rFont val="Times New Roman CE"/>
        <family val="0"/>
      </rPr>
      <t>Muzeum Etnograficzne w Toruniu</t>
    </r>
  </si>
  <si>
    <r>
      <t xml:space="preserve">Odbudowa - modernizacja rekonstrukcji wału obronnego z wieżą oraz pomostem
</t>
    </r>
    <r>
      <rPr>
        <i/>
        <sz val="10"/>
        <color indexed="8"/>
        <rFont val="Times New Roman CE"/>
        <family val="0"/>
      </rPr>
      <t>Muzeum Archeologiczne w Biskupinie</t>
    </r>
  </si>
  <si>
    <t>Ochrona i zachowanie materialnego dziedzictwa kulturowego regionu</t>
  </si>
  <si>
    <t>92195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</si>
  <si>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</si>
  <si>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</si>
  <si>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</si>
  <si>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</si>
  <si>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</si>
  <si>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</si>
  <si>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</si>
  <si>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family val="0"/>
      </rPr>
      <t>wsparcie finansowe</t>
    </r>
  </si>
  <si>
    <t>Objaśnienia:</t>
  </si>
  <si>
    <t>IW - Inwestycje wieloletnie</t>
  </si>
  <si>
    <t>Załącznik nr 10 do Uchwały budżetowej</t>
  </si>
  <si>
    <t>Załącznik nr 11 do Uchwały budżetowej</t>
  </si>
  <si>
    <t xml:space="preserve">Uchwała Nr    /    /19 Sejmiku </t>
  </si>
  <si>
    <t xml:space="preserve">Województwa z dnia   .12.2019 r.                              </t>
  </si>
  <si>
    <t>Dochody i wydatki na zadania wykonywane</t>
  </si>
  <si>
    <t>na mocy porozumień z organami administracji rządowej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</si>
  <si>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</si>
  <si>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</si>
  <si>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</si>
  <si>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</si>
  <si>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</si>
  <si>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</si>
  <si>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</si>
  <si>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</si>
  <si>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</si>
  <si>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Finansów, Inwestycji i Rozwoju</t>
  </si>
  <si>
    <t>Punkty Informacyjne Funduszy Europejskich Województwa Kujawsko-Pomorskiego - Program Operacyjny Pomoc Techniczna</t>
  </si>
  <si>
    <t>Wsparcie gmin w przygotowaniu i koordynacji programów rewitalizacji  - Program Operacyjny Pomoc Techniczna</t>
  </si>
  <si>
    <t xml:space="preserve">                                                                                          </t>
  </si>
  <si>
    <t>Załącznik nr 12 do Uchwały budżetowej</t>
  </si>
  <si>
    <t xml:space="preserve">                                                                                            </t>
  </si>
  <si>
    <t>Uchwała Nr   /    /19 Sejmiku Województwa</t>
  </si>
  <si>
    <t xml:space="preserve">                                                                         </t>
  </si>
  <si>
    <t xml:space="preserve">z dnia    .12.2019 r.    </t>
  </si>
  <si>
    <t>Dochody i wydatki na zadania realizowane w drodze</t>
  </si>
  <si>
    <t>umów i porozumień między jednostkami samorządu terytorialnego</t>
  </si>
  <si>
    <t>Dochody od JST</t>
  </si>
  <si>
    <t>Jednostka Samorządu Terytorialnego</t>
  </si>
  <si>
    <t>Województwo Mazowieckie</t>
  </si>
  <si>
    <t>Województwo Pomorskie</t>
  </si>
  <si>
    <t>Gmina Sępólno Krajeńskie</t>
  </si>
  <si>
    <t>Opracowanie dokumentacji projektowej dla rozbudowy skrzyżowania drogi woj. Nr 241 Tuchola-Sępólno Krajeńskie-Rogoźno (ul. Kościuszki) z ul. Odrodzenia i ul. Ks. Jerzego Popiełuszki w m. Sępólno Krajeńskie</t>
  </si>
  <si>
    <t>Gminy</t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</si>
  <si>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Times New Roman CE"/>
        <family val="0"/>
      </rPr>
      <t xml:space="preserve"> RPO, Dz.3.4</t>
    </r>
  </si>
  <si>
    <t>Gminy
Powiaty</t>
  </si>
  <si>
    <r>
      <t xml:space="preserve">Ograniczenie emisji spalin poprzez rozbudowę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</si>
  <si>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</si>
  <si>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family val="0"/>
      </rPr>
      <t>RPO, Dz.3.5.2</t>
    </r>
  </si>
  <si>
    <r>
      <t>Rozbudowa drogi wojewódzkiej Nr 251 Kaliska-Inowrocław na odcinku od km 19+649 (od granicy województwa kujawsko-pomorskiego) do km 34+200 oraz od km 34+590,30 do km 35+290 wraz z przebudową mostu na rzece Gąsawka w miejscowości Żnin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</si>
  <si>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family val="0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</si>
  <si>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</si>
  <si>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family val="0"/>
      </rPr>
      <t>RPO, Dz.5.1</t>
    </r>
  </si>
  <si>
    <t>Program "Przeciwdziałanie wykluczeniu cyfrowemu osób najuboższych oraz niepełnosprawnych"</t>
  </si>
  <si>
    <r>
      <t xml:space="preserve">Infostrada Kujaw i Pomorza 2.0 - </t>
    </r>
    <r>
      <rPr>
        <b/>
        <i/>
        <sz val="10"/>
        <rFont val="Times New Roman CE"/>
        <family val="0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</si>
  <si>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family val="0"/>
      </rPr>
      <t>RPO, Dz.1.5.2</t>
    </r>
  </si>
  <si>
    <r>
      <t xml:space="preserve">Expressway - promocja terenów inwestycyjnych - </t>
    </r>
    <r>
      <rPr>
        <b/>
        <i/>
        <sz val="10"/>
        <rFont val="Times New Roman CE"/>
        <family val="0"/>
      </rPr>
      <t>RPO, Dz.1.5.2</t>
    </r>
  </si>
  <si>
    <r>
      <t xml:space="preserve">Dokształcanie uczniów
</t>
    </r>
    <r>
      <rPr>
        <i/>
        <sz val="10"/>
        <rFont val="Times New Roman CE"/>
        <family val="0"/>
      </rPr>
      <t>Kujawsko-Pomorskie Centrum Kształcenia Zawodowego w Bydgoszczy</t>
    </r>
  </si>
  <si>
    <t>Kujawsko-Pomorska Niebieska Linia - przeciwdziałanie przemocy w rodzinie</t>
  </si>
  <si>
    <t>92105
92195</t>
  </si>
  <si>
    <t>Miasto Bydgoszcz</t>
  </si>
  <si>
    <t>Bydgoski Festiwal Operowy
Opera NOVA w Bydgoszczy</t>
  </si>
  <si>
    <t>Bydgoski Festiwal Muzyczny
Filharmonia Pomorska w Bydgoszczy</t>
  </si>
  <si>
    <t>92105
92109</t>
  </si>
  <si>
    <t>Kwartalnik Artystyczny, Kujawy i Pomorze
Kujawsko-Pomorskie Centrum Kultury w Bydgoszczy</t>
  </si>
  <si>
    <t>92105
92116</t>
  </si>
  <si>
    <t>Festiwal Książki Obrazkowej dla Dzieci "LiterObrazki"
Wojewódzka i Miejska Biblioteka Publiczna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</si>
  <si>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</si>
  <si>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</si>
  <si>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</si>
  <si>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</si>
  <si>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</si>
  <si>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Miasto Grudziądz</t>
  </si>
  <si>
    <r>
      <t xml:space="preserve">Modernizacja zagrody wiejskiej w Dusocinie na potrzeby ośrodka edukacji ekologicznej na terenie Parku Krajobrazowego "Góry Łosiowe" wraz z czynną ochroną przyrody na obszarze Natura 2000 - </t>
    </r>
    <r>
      <rPr>
        <b/>
        <i/>
        <sz val="10"/>
        <rFont val="Times New Roman CE"/>
        <family val="0"/>
      </rPr>
      <t>RPO, Dz.4.5</t>
    </r>
  </si>
  <si>
    <t>RPO - Regionalny Program Operacyjny Województwa Kujawsko-Pomorskiego</t>
  </si>
  <si>
    <t>Dochody gromadzone na wydzielonych rachunkach oraz wydatki nimi finansowane</t>
  </si>
  <si>
    <t>Jednostka</t>
  </si>
  <si>
    <t>Stan środków pieniężnych na początek okresu</t>
  </si>
  <si>
    <t>Stan środków pieniężnych na koniec okresu</t>
  </si>
  <si>
    <t xml:space="preserve">Biblioteka Pedagogiczna im. gen. bryg. prof. Elżbiety Zawackiej 
w Toruniu </t>
  </si>
  <si>
    <t>Kujawsko-Pomorskie Centrum Edukacji Nauczycieli w Toruniu</t>
  </si>
  <si>
    <t>Kujawsko-Pomorskie Centrum Edukacji Nauczycieli we Włocławku</t>
  </si>
  <si>
    <t>Kujawsko-Pomorski Specjalny Ośrodek Szkolno-Wychowawczy 
im. Janusza Korczaka w Toruniu</t>
  </si>
  <si>
    <t>Kujawsko-Pomorski Specjalny Ośrodek Szkolno-Wychowawczy 
nr 1 dla Dzieci i Młodzieży Słabo Widzącej i Niewidomej im. Louisa Braille'a w Bydgoszczy</t>
  </si>
  <si>
    <t>Kujawsko-Pomorski Specjalny Ośrodek Szkolno-Wychowawczy 
nr 2 dla Dzieci Młodzieży Słabo Słyszącej i Niesłyszącej im. gen. Stanisława Maczka w Bydgoszczy</t>
  </si>
  <si>
    <t>Medyczno-Społeczne Centrum Kształcenia Zawodowego 
i Ustawicznego w Inowrocławiu</t>
  </si>
  <si>
    <t>Medyczno-Społeczne Centrum Kształcenia Zawodowego 
i Ustawicznego w Toruniu</t>
  </si>
  <si>
    <t>Pedagogiczna Biblioteka Wojewódzka im. Mariana Rejewskiego 
w Bydgoszczy</t>
  </si>
  <si>
    <t>Załącznik nr 13 do Uchwały budżetowej</t>
  </si>
  <si>
    <t xml:space="preserve">z dnia   .12.2019 r.           </t>
  </si>
  <si>
    <t>Uchwała Nr    /   /19 Sejmiku Województwa</t>
  </si>
  <si>
    <t>Cześć A załącznika</t>
  </si>
  <si>
    <t>Cześć B załącznika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</si>
</sst>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  <numFmt numFmtId="205" formatCode="#,##0\ &quot;zł&quot;"/>
    <numFmt numFmtId="206" formatCode="#,##0.00000"/>
  </numFmts>
  <fonts count="9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P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4"/>
      <name val="Times New Roman C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i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sz val="12"/>
      <name val="Times New Roman CE"/>
      <family val="0"/>
    </font>
    <font>
      <b/>
      <i/>
      <sz val="10"/>
      <color indexed="8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2"/>
      <name val="Times New Roman"/>
      <family val="1"/>
    </font>
    <font>
      <b/>
      <sz val="16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2"/>
    </font>
    <font>
      <sz val="9"/>
      <name val="Times New Roman CE"/>
      <family val="1"/>
    </font>
    <font>
      <b/>
      <sz val="11"/>
      <color indexed="8"/>
      <name val="Calibri"/>
      <family val="2"/>
    </font>
    <font>
      <b/>
      <sz val="18"/>
      <name val="Times New Roman CE"/>
      <family val="1"/>
    </font>
    <font>
      <b/>
      <sz val="12"/>
      <name val="Arial CE"/>
      <family val="0"/>
    </font>
    <font>
      <sz val="11"/>
      <name val="Times New Roman"/>
      <family val="1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u val="single"/>
      <sz val="11"/>
      <name val="Times New Roman CE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8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1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111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left" wrapText="1"/>
    </xf>
    <xf numFmtId="3" fontId="21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3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8" fillId="0" borderId="0" xfId="0" applyNumberFormat="1" applyFont="1" applyAlignment="1" applyProtection="1">
      <alignment horizontal="left"/>
      <protection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4" fontId="8" fillId="0" borderId="0" xfId="0" applyNumberFormat="1" applyFont="1" applyFill="1" applyAlignment="1">
      <alignment/>
    </xf>
    <xf numFmtId="4" fontId="10" fillId="0" borderId="12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left" wrapText="1"/>
    </xf>
    <xf numFmtId="4" fontId="8" fillId="0" borderId="12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4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vertical="center" wrapText="1"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/>
    </xf>
    <xf numFmtId="0" fontId="21" fillId="0" borderId="12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4" fontId="8" fillId="0" borderId="15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 wrapText="1"/>
    </xf>
    <xf numFmtId="3" fontId="14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3" fontId="34" fillId="0" borderId="0" xfId="0" applyNumberFormat="1" applyFont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97" fillId="0" borderId="12" xfId="0" applyFont="1" applyBorder="1" applyAlignment="1">
      <alignment vertical="top" wrapText="1"/>
    </xf>
    <xf numFmtId="0" fontId="98" fillId="0" borderId="12" xfId="0" applyFont="1" applyBorder="1" applyAlignment="1">
      <alignment vertical="top" wrapText="1"/>
    </xf>
    <xf numFmtId="0" fontId="97" fillId="0" borderId="11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98" fillId="0" borderId="13" xfId="0" applyFont="1" applyBorder="1" applyAlignment="1">
      <alignment vertical="top" wrapText="1"/>
    </xf>
    <xf numFmtId="0" fontId="97" fillId="0" borderId="11" xfId="63" applyFont="1" applyBorder="1" applyAlignment="1">
      <alignment vertical="top" wrapText="1"/>
      <protection/>
    </xf>
    <xf numFmtId="0" fontId="97" fillId="0" borderId="13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3" fontId="3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35" fillId="0" borderId="11" xfId="0" applyNumberFormat="1" applyFont="1" applyBorder="1" applyAlignment="1">
      <alignment horizontal="center" wrapText="1"/>
    </xf>
    <xf numFmtId="49" fontId="9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3" fontId="97" fillId="0" borderId="11" xfId="0" applyNumberFormat="1" applyFont="1" applyBorder="1" applyAlignment="1">
      <alignment/>
    </xf>
    <xf numFmtId="49" fontId="97" fillId="0" borderId="12" xfId="0" applyNumberFormat="1" applyFont="1" applyBorder="1" applyAlignment="1">
      <alignment horizontal="center" vertical="top"/>
    </xf>
    <xf numFmtId="3" fontId="97" fillId="0" borderId="12" xfId="0" applyNumberFormat="1" applyFont="1" applyBorder="1" applyAlignment="1">
      <alignment vertical="top"/>
    </xf>
    <xf numFmtId="49" fontId="98" fillId="0" borderId="12" xfId="0" applyNumberFormat="1" applyFont="1" applyBorder="1" applyAlignment="1">
      <alignment horizontal="center" vertical="top"/>
    </xf>
    <xf numFmtId="3" fontId="98" fillId="0" borderId="12" xfId="0" applyNumberFormat="1" applyFont="1" applyBorder="1" applyAlignment="1">
      <alignment vertical="top"/>
    </xf>
    <xf numFmtId="49" fontId="97" fillId="0" borderId="10" xfId="0" applyNumberFormat="1" applyFont="1" applyBorder="1" applyAlignment="1">
      <alignment horizontal="center" vertical="top"/>
    </xf>
    <xf numFmtId="49" fontId="98" fillId="0" borderId="10" xfId="0" applyNumberFormat="1" applyFont="1" applyBorder="1" applyAlignment="1">
      <alignment horizontal="center" vertical="top"/>
    </xf>
    <xf numFmtId="3" fontId="98" fillId="0" borderId="10" xfId="0" applyNumberFormat="1" applyFont="1" applyBorder="1" applyAlignment="1">
      <alignment vertical="top"/>
    </xf>
    <xf numFmtId="49" fontId="97" fillId="0" borderId="13" xfId="0" applyNumberFormat="1" applyFont="1" applyBorder="1" applyAlignment="1">
      <alignment horizontal="center" vertical="top"/>
    </xf>
    <xf numFmtId="49" fontId="98" fillId="0" borderId="13" xfId="0" applyNumberFormat="1" applyFont="1" applyBorder="1" applyAlignment="1">
      <alignment horizontal="center" vertical="top"/>
    </xf>
    <xf numFmtId="3" fontId="98" fillId="0" borderId="13" xfId="0" applyNumberFormat="1" applyFont="1" applyBorder="1" applyAlignment="1">
      <alignment vertical="top"/>
    </xf>
    <xf numFmtId="49" fontId="97" fillId="0" borderId="11" xfId="0" applyNumberFormat="1" applyFont="1" applyBorder="1" applyAlignment="1">
      <alignment horizontal="center" vertical="top"/>
    </xf>
    <xf numFmtId="3" fontId="97" fillId="0" borderId="11" xfId="0" applyNumberFormat="1" applyFont="1" applyBorder="1" applyAlignment="1">
      <alignment vertical="top"/>
    </xf>
    <xf numFmtId="49" fontId="98" fillId="0" borderId="11" xfId="0" applyNumberFormat="1" applyFont="1" applyBorder="1" applyAlignment="1">
      <alignment horizontal="center" vertical="top"/>
    </xf>
    <xf numFmtId="3" fontId="97" fillId="0" borderId="13" xfId="0" applyNumberFormat="1" applyFont="1" applyBorder="1" applyAlignment="1">
      <alignment vertical="top"/>
    </xf>
    <xf numFmtId="49" fontId="97" fillId="0" borderId="0" xfId="0" applyNumberFormat="1" applyFont="1" applyAlignment="1">
      <alignment horizontal="center"/>
    </xf>
    <xf numFmtId="49" fontId="98" fillId="0" borderId="0" xfId="0" applyNumberFormat="1" applyFont="1" applyAlignment="1">
      <alignment horizontal="center"/>
    </xf>
    <xf numFmtId="0" fontId="98" fillId="0" borderId="0" xfId="0" applyFont="1" applyAlignment="1">
      <alignment/>
    </xf>
    <xf numFmtId="0" fontId="98" fillId="0" borderId="11" xfId="0" applyFont="1" applyBorder="1" applyAlignment="1">
      <alignment vertical="top" wrapText="1"/>
    </xf>
    <xf numFmtId="3" fontId="98" fillId="0" borderId="11" xfId="0" applyNumberFormat="1" applyFont="1" applyBorder="1" applyAlignment="1">
      <alignment vertical="top"/>
    </xf>
    <xf numFmtId="0" fontId="13" fillId="0" borderId="0" xfId="72" applyFont="1" applyFill="1" applyAlignment="1">
      <alignment wrapText="1"/>
      <protection/>
    </xf>
    <xf numFmtId="0" fontId="13" fillId="0" borderId="0" xfId="72" applyFont="1" applyFill="1" applyAlignment="1">
      <alignment horizontal="left" wrapText="1"/>
      <protection/>
    </xf>
    <xf numFmtId="0" fontId="13" fillId="0" borderId="0" xfId="72" applyFont="1" applyAlignment="1">
      <alignment horizontal="left" wrapText="1"/>
      <protection/>
    </xf>
    <xf numFmtId="0" fontId="13" fillId="0" borderId="0" xfId="72" applyFont="1" applyAlignment="1">
      <alignment wrapText="1"/>
      <protection/>
    </xf>
    <xf numFmtId="0" fontId="13" fillId="0" borderId="0" xfId="69" applyFont="1" applyFill="1" applyAlignment="1">
      <alignment horizontal="left" vertical="center" wrapText="1"/>
      <protection/>
    </xf>
    <xf numFmtId="0" fontId="13" fillId="0" borderId="0" xfId="69" applyFont="1" applyAlignment="1">
      <alignment horizontal="left" vertical="center" wrapText="1"/>
      <protection/>
    </xf>
    <xf numFmtId="0" fontId="9" fillId="0" borderId="0" xfId="72" applyFont="1" applyFill="1" applyAlignment="1">
      <alignment horizontal="center" wrapText="1"/>
      <protection/>
    </xf>
    <xf numFmtId="0" fontId="13" fillId="0" borderId="0" xfId="69" applyFont="1" applyAlignment="1">
      <alignment wrapText="1"/>
      <protection/>
    </xf>
    <xf numFmtId="0" fontId="13" fillId="0" borderId="0" xfId="69" applyFont="1" applyFill="1" applyAlignment="1">
      <alignment wrapText="1"/>
      <protection/>
    </xf>
    <xf numFmtId="0" fontId="14" fillId="0" borderId="0" xfId="72" applyFont="1" applyAlignment="1">
      <alignment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0" xfId="72" applyFont="1" applyAlignment="1">
      <alignment wrapText="1"/>
      <protection/>
    </xf>
    <xf numFmtId="0" fontId="36" fillId="0" borderId="0" xfId="72" applyFont="1" applyAlignment="1">
      <alignment wrapText="1"/>
      <protection/>
    </xf>
    <xf numFmtId="0" fontId="37" fillId="0" borderId="0" xfId="72" applyFont="1" applyAlignment="1">
      <alignment wrapText="1"/>
      <protection/>
    </xf>
    <xf numFmtId="0" fontId="13" fillId="0" borderId="0" xfId="72" applyFont="1" applyAlignment="1">
      <alignment vertical="top" wrapText="1"/>
      <protection/>
    </xf>
    <xf numFmtId="0" fontId="16" fillId="0" borderId="0" xfId="72" applyFont="1" applyAlignment="1">
      <alignment wrapText="1"/>
      <protection/>
    </xf>
    <xf numFmtId="0" fontId="36" fillId="0" borderId="0" xfId="72" applyFont="1" applyAlignment="1">
      <alignment wrapText="1"/>
      <protection/>
    </xf>
    <xf numFmtId="0" fontId="17" fillId="0" borderId="0" xfId="72" applyFont="1" applyAlignment="1">
      <alignment wrapText="1"/>
      <protection/>
    </xf>
    <xf numFmtId="0" fontId="13" fillId="0" borderId="18" xfId="72" applyFont="1" applyBorder="1" applyAlignment="1">
      <alignment wrapText="1"/>
      <protection/>
    </xf>
    <xf numFmtId="0" fontId="13" fillId="0" borderId="19" xfId="72" applyFont="1" applyBorder="1" applyAlignment="1">
      <alignment wrapText="1"/>
      <protection/>
    </xf>
    <xf numFmtId="0" fontId="13" fillId="0" borderId="20" xfId="72" applyFont="1" applyBorder="1" applyAlignment="1">
      <alignment wrapText="1"/>
      <protection/>
    </xf>
    <xf numFmtId="0" fontId="13" fillId="0" borderId="21" xfId="72" applyFont="1" applyFill="1" applyBorder="1" applyAlignment="1">
      <alignment wrapText="1"/>
      <protection/>
    </xf>
    <xf numFmtId="0" fontId="15" fillId="0" borderId="11" xfId="72" applyFont="1" applyFill="1" applyBorder="1" applyAlignment="1">
      <alignment horizontal="center" vertical="center" wrapText="1"/>
      <protection/>
    </xf>
    <xf numFmtId="0" fontId="13" fillId="0" borderId="22" xfId="72" applyFont="1" applyFill="1" applyBorder="1" applyAlignment="1">
      <alignment vertical="center" wrapText="1"/>
      <protection/>
    </xf>
    <xf numFmtId="0" fontId="36" fillId="0" borderId="11" xfId="72" applyFont="1" applyFill="1" applyBorder="1" applyAlignment="1">
      <alignment horizontal="center" vertical="center" wrapText="1"/>
      <protection/>
    </xf>
    <xf numFmtId="0" fontId="36" fillId="0" borderId="11" xfId="72" applyFont="1" applyFill="1" applyBorder="1" applyAlignment="1">
      <alignment vertical="center" wrapText="1"/>
      <protection/>
    </xf>
    <xf numFmtId="3" fontId="36" fillId="0" borderId="11" xfId="72" applyNumberFormat="1" applyFont="1" applyFill="1" applyBorder="1" applyAlignment="1">
      <alignment vertical="center" wrapText="1"/>
      <protection/>
    </xf>
    <xf numFmtId="0" fontId="37" fillId="0" borderId="11" xfId="72" applyFont="1" applyFill="1" applyBorder="1" applyAlignment="1">
      <alignment horizontal="center" vertical="center" wrapText="1"/>
      <protection/>
    </xf>
    <xf numFmtId="0" fontId="37" fillId="0" borderId="11" xfId="72" applyFont="1" applyFill="1" applyBorder="1" applyAlignment="1">
      <alignment vertical="center" wrapText="1"/>
      <protection/>
    </xf>
    <xf numFmtId="3" fontId="37" fillId="0" borderId="11" xfId="72" applyNumberFormat="1" applyFont="1" applyFill="1" applyBorder="1" applyAlignment="1">
      <alignment vertical="center" wrapText="1"/>
      <protection/>
    </xf>
    <xf numFmtId="0" fontId="15" fillId="0" borderId="10" xfId="72" applyFont="1" applyFill="1" applyBorder="1" applyAlignment="1">
      <alignment wrapText="1"/>
      <protection/>
    </xf>
    <xf numFmtId="0" fontId="13" fillId="0" borderId="11" xfId="72" applyFont="1" applyFill="1" applyBorder="1" applyAlignment="1">
      <alignment horizontal="center" vertical="center" wrapText="1"/>
      <protection/>
    </xf>
    <xf numFmtId="0" fontId="13" fillId="0" borderId="11" xfId="72" applyFont="1" applyFill="1" applyBorder="1" applyAlignment="1">
      <alignment vertical="center" wrapText="1"/>
      <protection/>
    </xf>
    <xf numFmtId="3" fontId="13" fillId="0" borderId="11" xfId="72" applyNumberFormat="1" applyFont="1" applyFill="1" applyBorder="1" applyAlignment="1">
      <alignment vertical="center" wrapText="1"/>
      <protection/>
    </xf>
    <xf numFmtId="0" fontId="15" fillId="0" borderId="11" xfId="72" applyFont="1" applyFill="1" applyBorder="1" applyAlignment="1">
      <alignment vertical="center" wrapText="1"/>
      <protection/>
    </xf>
    <xf numFmtId="3" fontId="15" fillId="0" borderId="11" xfId="72" applyNumberFormat="1" applyFont="1" applyFill="1" applyBorder="1" applyAlignment="1">
      <alignment vertical="center" wrapText="1"/>
      <protection/>
    </xf>
    <xf numFmtId="0" fontId="16" fillId="0" borderId="11" xfId="72" applyFont="1" applyFill="1" applyBorder="1" applyAlignment="1">
      <alignment horizontal="center" vertical="center" wrapText="1"/>
      <protection/>
    </xf>
    <xf numFmtId="0" fontId="16" fillId="0" borderId="11" xfId="72" applyFont="1" applyFill="1" applyBorder="1" applyAlignment="1">
      <alignment vertical="center" wrapText="1"/>
      <protection/>
    </xf>
    <xf numFmtId="3" fontId="36" fillId="0" borderId="11" xfId="72" applyNumberFormat="1" applyFont="1" applyFill="1" applyBorder="1" applyAlignment="1">
      <alignment vertical="center" wrapText="1"/>
      <protection/>
    </xf>
    <xf numFmtId="0" fontId="13" fillId="0" borderId="0" xfId="72" applyFont="1" applyFill="1" applyBorder="1" applyAlignment="1">
      <alignment horizontal="center" vertical="center" wrapText="1"/>
      <protection/>
    </xf>
    <xf numFmtId="0" fontId="13" fillId="0" borderId="23" xfId="72" applyFont="1" applyFill="1" applyBorder="1" applyAlignment="1">
      <alignment vertical="center" wrapText="1"/>
      <protection/>
    </xf>
    <xf numFmtId="0" fontId="36" fillId="0" borderId="11" xfId="72" applyFont="1" applyFill="1" applyBorder="1" applyAlignment="1">
      <alignment horizontal="center" vertical="center" wrapText="1"/>
      <protection/>
    </xf>
    <xf numFmtId="0" fontId="36" fillId="0" borderId="11" xfId="72" applyFont="1" applyFill="1" applyBorder="1" applyAlignment="1">
      <alignment vertical="center" wrapText="1"/>
      <protection/>
    </xf>
    <xf numFmtId="0" fontId="17" fillId="0" borderId="11" xfId="72" applyFont="1" applyFill="1" applyBorder="1" applyAlignment="1">
      <alignment horizontal="center" vertical="center" wrapText="1"/>
      <protection/>
    </xf>
    <xf numFmtId="0" fontId="17" fillId="0" borderId="11" xfId="72" applyFont="1" applyFill="1" applyBorder="1" applyAlignment="1">
      <alignment vertical="center" wrapText="1"/>
      <protection/>
    </xf>
    <xf numFmtId="3" fontId="17" fillId="0" borderId="11" xfId="72" applyNumberFormat="1" applyFont="1" applyFill="1" applyBorder="1" applyAlignment="1">
      <alignment vertical="center" wrapText="1"/>
      <protection/>
    </xf>
    <xf numFmtId="0" fontId="13" fillId="0" borderId="11" xfId="72" applyFont="1" applyFill="1" applyBorder="1" applyAlignment="1">
      <alignment horizontal="center" vertical="center" wrapText="1"/>
      <protection/>
    </xf>
    <xf numFmtId="0" fontId="13" fillId="0" borderId="11" xfId="72" applyFont="1" applyFill="1" applyBorder="1" applyAlignment="1">
      <alignment vertical="center" wrapText="1"/>
      <protection/>
    </xf>
    <xf numFmtId="0" fontId="16" fillId="0" borderId="0" xfId="72" applyFont="1" applyFill="1" applyBorder="1" applyAlignment="1">
      <alignment horizontal="center" vertical="center" wrapText="1"/>
      <protection/>
    </xf>
    <xf numFmtId="0" fontId="16" fillId="0" borderId="23" xfId="72" applyFont="1" applyFill="1" applyBorder="1" applyAlignment="1">
      <alignment vertical="center" wrapText="1"/>
      <protection/>
    </xf>
    <xf numFmtId="3" fontId="15" fillId="0" borderId="11" xfId="72" applyNumberFormat="1" applyFont="1" applyFill="1" applyBorder="1" applyAlignment="1">
      <alignment vertical="center" wrapText="1"/>
      <protection/>
    </xf>
    <xf numFmtId="0" fontId="36" fillId="0" borderId="13" xfId="72" applyFont="1" applyFill="1" applyBorder="1" applyAlignment="1">
      <alignment horizontal="center" vertical="center" wrapText="1"/>
      <protection/>
    </xf>
    <xf numFmtId="0" fontId="36" fillId="0" borderId="13" xfId="72" applyFont="1" applyFill="1" applyBorder="1" applyAlignment="1">
      <alignment vertical="center" wrapText="1"/>
      <protection/>
    </xf>
    <xf numFmtId="3" fontId="15" fillId="0" borderId="13" xfId="72" applyNumberFormat="1" applyFont="1" applyFill="1" applyBorder="1" applyAlignment="1">
      <alignment vertical="center" wrapText="1"/>
      <protection/>
    </xf>
    <xf numFmtId="0" fontId="13" fillId="0" borderId="12" xfId="72" applyFont="1" applyFill="1" applyBorder="1" applyAlignment="1">
      <alignment horizontal="center" vertical="center" wrapText="1"/>
      <protection/>
    </xf>
    <xf numFmtId="0" fontId="13" fillId="0" borderId="17" xfId="72" applyFont="1" applyFill="1" applyBorder="1" applyAlignment="1">
      <alignment wrapText="1"/>
      <protection/>
    </xf>
    <xf numFmtId="0" fontId="13" fillId="0" borderId="24" xfId="72" applyFont="1" applyFill="1" applyBorder="1" applyAlignment="1">
      <alignment wrapText="1"/>
      <protection/>
    </xf>
    <xf numFmtId="0" fontId="16" fillId="0" borderId="25" xfId="72" applyFont="1" applyFill="1" applyBorder="1" applyAlignment="1">
      <alignment wrapText="1"/>
      <protection/>
    </xf>
    <xf numFmtId="0" fontId="16" fillId="0" borderId="26" xfId="72" applyFont="1" applyFill="1" applyBorder="1" applyAlignment="1">
      <alignment wrapText="1"/>
      <protection/>
    </xf>
    <xf numFmtId="0" fontId="16" fillId="0" borderId="12" xfId="72" applyFont="1" applyFill="1" applyBorder="1" applyAlignment="1">
      <alignment wrapText="1"/>
      <protection/>
    </xf>
    <xf numFmtId="3" fontId="13" fillId="0" borderId="12" xfId="72" applyNumberFormat="1" applyFont="1" applyFill="1" applyBorder="1" applyAlignment="1">
      <alignment wrapText="1"/>
      <protection/>
    </xf>
    <xf numFmtId="3" fontId="16" fillId="0" borderId="12" xfId="72" applyNumberFormat="1" applyFont="1" applyFill="1" applyBorder="1" applyAlignment="1">
      <alignment wrapText="1"/>
      <protection/>
    </xf>
    <xf numFmtId="3" fontId="16" fillId="0" borderId="10" xfId="72" applyNumberFormat="1" applyFont="1" applyFill="1" applyBorder="1" applyAlignment="1">
      <alignment wrapText="1"/>
      <protection/>
    </xf>
    <xf numFmtId="0" fontId="14" fillId="0" borderId="17" xfId="72" applyFont="1" applyFill="1" applyBorder="1" applyAlignment="1">
      <alignment wrapText="1"/>
      <protection/>
    </xf>
    <xf numFmtId="0" fontId="14" fillId="0" borderId="24" xfId="72" applyFont="1" applyFill="1" applyBorder="1" applyAlignment="1">
      <alignment wrapText="1"/>
      <protection/>
    </xf>
    <xf numFmtId="3" fontId="14" fillId="0" borderId="13" xfId="72" applyNumberFormat="1" applyFont="1" applyFill="1" applyBorder="1" applyAlignment="1">
      <alignment wrapText="1"/>
      <protection/>
    </xf>
    <xf numFmtId="3" fontId="14" fillId="0" borderId="12" xfId="72" applyNumberFormat="1" applyFont="1" applyFill="1" applyBorder="1" applyAlignment="1">
      <alignment wrapText="1"/>
      <protection/>
    </xf>
    <xf numFmtId="3" fontId="13" fillId="0" borderId="10" xfId="72" applyNumberFormat="1" applyFont="1" applyFill="1" applyBorder="1" applyAlignment="1">
      <alignment wrapText="1"/>
      <protection/>
    </xf>
    <xf numFmtId="0" fontId="13" fillId="0" borderId="23" xfId="72" applyFont="1" applyFill="1" applyBorder="1" applyAlignment="1">
      <alignment wrapText="1"/>
      <protection/>
    </xf>
    <xf numFmtId="0" fontId="13" fillId="0" borderId="22" xfId="72" applyFont="1" applyFill="1" applyBorder="1" applyAlignment="1">
      <alignment horizontal="center" vertical="center" wrapText="1"/>
      <protection/>
    </xf>
    <xf numFmtId="3" fontId="15" fillId="0" borderId="16" xfId="72" applyNumberFormat="1" applyFont="1" applyFill="1" applyBorder="1" applyAlignment="1">
      <alignment vertical="center" wrapText="1"/>
      <protection/>
    </xf>
    <xf numFmtId="0" fontId="16" fillId="0" borderId="22" xfId="72" applyFont="1" applyFill="1" applyBorder="1" applyAlignment="1">
      <alignment horizontal="center" vertical="center" wrapText="1"/>
      <protection/>
    </xf>
    <xf numFmtId="3" fontId="36" fillId="0" borderId="16" xfId="72" applyNumberFormat="1" applyFont="1" applyFill="1" applyBorder="1" applyAlignment="1">
      <alignment vertical="center" wrapText="1"/>
      <protection/>
    </xf>
    <xf numFmtId="3" fontId="15" fillId="0" borderId="27" xfId="72" applyNumberFormat="1" applyFont="1" applyFill="1" applyBorder="1" applyAlignment="1">
      <alignment vertical="center" wrapText="1"/>
      <protection/>
    </xf>
    <xf numFmtId="0" fontId="13" fillId="0" borderId="0" xfId="69" applyFont="1" applyFill="1" applyAlignment="1">
      <alignment horizontal="center" vertical="center" wrapText="1"/>
      <protection/>
    </xf>
    <xf numFmtId="0" fontId="2" fillId="0" borderId="0" xfId="67" applyFill="1" applyAlignment="1">
      <alignment horizontal="center"/>
      <protection/>
    </xf>
    <xf numFmtId="0" fontId="2" fillId="0" borderId="0" xfId="67" applyFill="1">
      <alignment/>
      <protection/>
    </xf>
    <xf numFmtId="0" fontId="39" fillId="0" borderId="0" xfId="67" applyFont="1" applyFill="1">
      <alignment/>
      <protection/>
    </xf>
    <xf numFmtId="0" fontId="9" fillId="0" borderId="0" xfId="67" applyFont="1" applyFill="1" applyAlignment="1">
      <alignment horizontal="center"/>
      <protection/>
    </xf>
    <xf numFmtId="0" fontId="13" fillId="0" borderId="0" xfId="67" applyFont="1" applyFill="1">
      <alignment/>
      <protection/>
    </xf>
    <xf numFmtId="0" fontId="14" fillId="0" borderId="11" xfId="67" applyFont="1" applyFill="1" applyBorder="1" applyAlignment="1">
      <alignment horizontal="center" vertical="center" wrapText="1"/>
      <protection/>
    </xf>
    <xf numFmtId="0" fontId="43" fillId="0" borderId="11" xfId="67" applyFont="1" applyFill="1" applyBorder="1" applyAlignment="1">
      <alignment horizontal="center"/>
      <protection/>
    </xf>
    <xf numFmtId="0" fontId="43" fillId="0" borderId="0" xfId="67" applyFont="1" applyFill="1" applyAlignment="1">
      <alignment horizontal="center"/>
      <protection/>
    </xf>
    <xf numFmtId="0" fontId="26" fillId="0" borderId="0" xfId="67" applyFont="1" applyFill="1" applyBorder="1" applyAlignment="1">
      <alignment/>
      <protection/>
    </xf>
    <xf numFmtId="0" fontId="26" fillId="0" borderId="0" xfId="67" applyFont="1" applyFill="1" applyBorder="1" applyAlignment="1">
      <alignment horizontal="center"/>
      <protection/>
    </xf>
    <xf numFmtId="3" fontId="13" fillId="0" borderId="11" xfId="67" applyNumberFormat="1" applyFont="1" applyFill="1" applyBorder="1" applyAlignment="1">
      <alignment horizontal="center" vertical="center" wrapText="1"/>
      <protection/>
    </xf>
    <xf numFmtId="0" fontId="24" fillId="0" borderId="0" xfId="66" applyAlignment="1">
      <alignment vertical="center"/>
      <protection/>
    </xf>
    <xf numFmtId="3" fontId="14" fillId="0" borderId="11" xfId="67" applyNumberFormat="1" applyFont="1" applyFill="1" applyBorder="1" applyAlignment="1">
      <alignment horizontal="center" vertical="center"/>
      <protection/>
    </xf>
    <xf numFmtId="0" fontId="45" fillId="0" borderId="0" xfId="66" applyFont="1" applyAlignment="1">
      <alignment vertical="center"/>
      <protection/>
    </xf>
    <xf numFmtId="0" fontId="24" fillId="0" borderId="14" xfId="66" applyBorder="1" applyAlignment="1">
      <alignment horizontal="center"/>
      <protection/>
    </xf>
    <xf numFmtId="0" fontId="24" fillId="0" borderId="28" xfId="66" applyBorder="1" applyAlignment="1">
      <alignment horizontal="center"/>
      <protection/>
    </xf>
    <xf numFmtId="0" fontId="24" fillId="0" borderId="15" xfId="66" applyBorder="1" applyAlignment="1">
      <alignment horizontal="center"/>
      <protection/>
    </xf>
    <xf numFmtId="0" fontId="24" fillId="0" borderId="0" xfId="66">
      <alignment/>
      <protection/>
    </xf>
    <xf numFmtId="3" fontId="4" fillId="0" borderId="11" xfId="66" applyNumberFormat="1" applyFont="1" applyBorder="1" applyAlignment="1">
      <alignment horizontal="right" vertical="center"/>
      <protection/>
    </xf>
    <xf numFmtId="0" fontId="13" fillId="0" borderId="0" xfId="67" applyFont="1" applyFill="1" applyBorder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3" fontId="14" fillId="0" borderId="11" xfId="67" applyNumberFormat="1" applyFont="1" applyFill="1" applyBorder="1" applyAlignment="1">
      <alignment horizontal="right" vertical="center"/>
      <protection/>
    </xf>
    <xf numFmtId="0" fontId="14" fillId="0" borderId="0" xfId="67" applyFont="1" applyFill="1" applyAlignment="1">
      <alignment horizontal="right" vertical="center"/>
      <protection/>
    </xf>
    <xf numFmtId="0" fontId="2" fillId="0" borderId="0" xfId="67" applyFill="1" applyAlignment="1">
      <alignment horizontal="right"/>
      <protection/>
    </xf>
    <xf numFmtId="3" fontId="18" fillId="0" borderId="11" xfId="67" applyNumberFormat="1" applyFont="1" applyFill="1" applyBorder="1" applyAlignment="1">
      <alignment horizontal="center" vertical="center" wrapText="1"/>
      <protection/>
    </xf>
    <xf numFmtId="0" fontId="18" fillId="0" borderId="0" xfId="67" applyFont="1" applyFill="1" applyAlignment="1">
      <alignment horizontal="right" vertical="center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Alignment="1">
      <alignment horizontal="center"/>
      <protection/>
    </xf>
    <xf numFmtId="3" fontId="13" fillId="0" borderId="11" xfId="67" applyNumberFormat="1" applyFont="1" applyFill="1" applyBorder="1" applyAlignment="1">
      <alignment horizontal="right" vertical="center" wrapText="1"/>
      <protection/>
    </xf>
    <xf numFmtId="0" fontId="24" fillId="0" borderId="0" xfId="64" applyAlignment="1">
      <alignment vertical="center"/>
      <protection/>
    </xf>
    <xf numFmtId="0" fontId="45" fillId="0" borderId="0" xfId="64" applyFont="1" applyAlignment="1">
      <alignment vertical="center"/>
      <protection/>
    </xf>
    <xf numFmtId="0" fontId="24" fillId="0" borderId="0" xfId="64">
      <alignment/>
      <protection/>
    </xf>
    <xf numFmtId="0" fontId="13" fillId="0" borderId="0" xfId="71" applyFont="1" applyFill="1" applyAlignment="1">
      <alignment vertical="center"/>
      <protection/>
    </xf>
    <xf numFmtId="3" fontId="13" fillId="0" borderId="0" xfId="71" applyNumberFormat="1" applyFont="1" applyFill="1" applyAlignment="1">
      <alignment horizontal="center" vertical="center" wrapText="1"/>
      <protection/>
    </xf>
    <xf numFmtId="3" fontId="13" fillId="0" borderId="0" xfId="71" applyNumberFormat="1" applyFont="1" applyFill="1" applyAlignment="1">
      <alignment horizontal="center" vertical="center"/>
      <protection/>
    </xf>
    <xf numFmtId="3" fontId="13" fillId="0" borderId="0" xfId="71" applyNumberFormat="1" applyFont="1" applyFill="1" applyAlignment="1">
      <alignment horizontal="left" vertical="center"/>
      <protection/>
    </xf>
    <xf numFmtId="3" fontId="48" fillId="0" borderId="0" xfId="71" applyNumberFormat="1" applyFont="1" applyFill="1" applyAlignment="1">
      <alignment horizontal="left" vertical="center"/>
      <protection/>
    </xf>
    <xf numFmtId="3" fontId="13" fillId="0" borderId="0" xfId="71" applyNumberFormat="1" applyFont="1" applyFill="1" applyAlignment="1">
      <alignment horizontal="left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48" fillId="0" borderId="0" xfId="71" applyFont="1" applyFill="1" applyAlignment="1">
      <alignment vertical="center" wrapText="1"/>
      <protection/>
    </xf>
    <xf numFmtId="3" fontId="36" fillId="0" borderId="28" xfId="71" applyNumberFormat="1" applyFont="1" applyFill="1" applyBorder="1" applyAlignment="1">
      <alignment horizontal="center" vertical="top" wrapText="1"/>
      <protection/>
    </xf>
    <xf numFmtId="3" fontId="36" fillId="0" borderId="15" xfId="71" applyNumberFormat="1" applyFont="1" applyFill="1" applyBorder="1" applyAlignment="1">
      <alignment horizontal="center" vertical="top" wrapText="1"/>
      <protection/>
    </xf>
    <xf numFmtId="0" fontId="14" fillId="0" borderId="0" xfId="71" applyFont="1" applyFill="1" applyAlignment="1">
      <alignment vertical="center"/>
      <protection/>
    </xf>
    <xf numFmtId="0" fontId="36" fillId="0" borderId="13" xfId="71" applyFont="1" applyFill="1" applyBorder="1" applyAlignment="1">
      <alignment horizontal="center" vertical="top" wrapText="1"/>
      <protection/>
    </xf>
    <xf numFmtId="0" fontId="36" fillId="0" borderId="10" xfId="71" applyFont="1" applyFill="1" applyBorder="1" applyAlignment="1">
      <alignment horizontal="center" vertical="top" wrapText="1"/>
      <protection/>
    </xf>
    <xf numFmtId="3" fontId="36" fillId="0" borderId="11" xfId="71" applyNumberFormat="1" applyFont="1" applyFill="1" applyBorder="1" applyAlignment="1">
      <alignment horizontal="center" vertical="top" wrapText="1"/>
      <protection/>
    </xf>
    <xf numFmtId="0" fontId="27" fillId="0" borderId="11" xfId="71" applyFont="1" applyFill="1" applyBorder="1" applyAlignment="1">
      <alignment horizontal="center" vertical="center" wrapText="1"/>
      <protection/>
    </xf>
    <xf numFmtId="3" fontId="27" fillId="0" borderId="11" xfId="71" applyNumberFormat="1" applyFont="1" applyFill="1" applyBorder="1" applyAlignment="1">
      <alignment horizontal="center" vertical="center" wrapText="1"/>
      <protection/>
    </xf>
    <xf numFmtId="0" fontId="27" fillId="0" borderId="0" xfId="71" applyFont="1" applyFill="1" applyAlignment="1">
      <alignment horizontal="center" vertical="center"/>
      <protection/>
    </xf>
    <xf numFmtId="0" fontId="49" fillId="0" borderId="0" xfId="71" applyFont="1" applyFill="1" applyAlignment="1">
      <alignment horizontal="center" vertical="center"/>
      <protection/>
    </xf>
    <xf numFmtId="0" fontId="51" fillId="0" borderId="0" xfId="71" applyFont="1" applyFill="1" applyAlignment="1">
      <alignment horizontal="center" vertical="center"/>
      <protection/>
    </xf>
    <xf numFmtId="0" fontId="49" fillId="0" borderId="0" xfId="71" applyFont="1" applyFill="1" applyAlignment="1">
      <alignment horizontal="center"/>
      <protection/>
    </xf>
    <xf numFmtId="0" fontId="19" fillId="0" borderId="0" xfId="71" applyFont="1" applyFill="1" applyAlignment="1">
      <alignment vertical="center"/>
      <protection/>
    </xf>
    <xf numFmtId="3" fontId="8" fillId="0" borderId="11" xfId="71" applyNumberFormat="1" applyFont="1" applyFill="1" applyBorder="1" applyAlignment="1">
      <alignment vertical="top" wrapText="1"/>
      <protection/>
    </xf>
    <xf numFmtId="3" fontId="52" fillId="0" borderId="11" xfId="71" applyNumberFormat="1" applyFont="1" applyFill="1" applyBorder="1" applyAlignment="1">
      <alignment vertical="top" wrapText="1"/>
      <protection/>
    </xf>
    <xf numFmtId="0" fontId="36" fillId="0" borderId="0" xfId="71" applyFont="1" applyFill="1" applyAlignment="1">
      <alignment vertical="top"/>
      <protection/>
    </xf>
    <xf numFmtId="3" fontId="21" fillId="0" borderId="11" xfId="71" applyNumberFormat="1" applyFont="1" applyFill="1" applyBorder="1" applyAlignment="1">
      <alignment vertical="center" wrapText="1"/>
      <protection/>
    </xf>
    <xf numFmtId="3" fontId="53" fillId="0" borderId="11" xfId="71" applyNumberFormat="1" applyFont="1" applyFill="1" applyBorder="1" applyAlignment="1">
      <alignment vertical="center" wrapText="1"/>
      <protection/>
    </xf>
    <xf numFmtId="0" fontId="16" fillId="0" borderId="0" xfId="71" applyFont="1" applyFill="1" applyAlignment="1">
      <alignment vertical="center"/>
      <protection/>
    </xf>
    <xf numFmtId="49" fontId="54" fillId="0" borderId="14" xfId="71" applyNumberFormat="1" applyFont="1" applyFill="1" applyBorder="1" applyAlignment="1">
      <alignment horizontal="left" vertical="center"/>
      <protection/>
    </xf>
    <xf numFmtId="49" fontId="54" fillId="0" borderId="28" xfId="71" applyNumberFormat="1" applyFont="1" applyFill="1" applyBorder="1" applyAlignment="1">
      <alignment horizontal="left" vertical="center"/>
      <protection/>
    </xf>
    <xf numFmtId="0" fontId="34" fillId="0" borderId="28" xfId="71" applyFont="1" applyFill="1" applyBorder="1" applyAlignment="1">
      <alignment vertical="center" wrapText="1"/>
      <protection/>
    </xf>
    <xf numFmtId="3" fontId="52" fillId="0" borderId="28" xfId="71" applyNumberFormat="1" applyFont="1" applyFill="1" applyBorder="1" applyAlignment="1">
      <alignment vertical="center" wrapText="1"/>
      <protection/>
    </xf>
    <xf numFmtId="3" fontId="52" fillId="0" borderId="15" xfId="71" applyNumberFormat="1" applyFont="1" applyFill="1" applyBorder="1" applyAlignment="1">
      <alignment vertical="center" wrapText="1"/>
      <protection/>
    </xf>
    <xf numFmtId="0" fontId="36" fillId="0" borderId="0" xfId="71" applyFont="1" applyFill="1" applyAlignment="1">
      <alignment vertical="center"/>
      <protection/>
    </xf>
    <xf numFmtId="3" fontId="10" fillId="0" borderId="11" xfId="71" applyNumberFormat="1" applyFont="1" applyFill="1" applyBorder="1" applyAlignment="1">
      <alignment vertical="center" wrapText="1"/>
      <protection/>
    </xf>
    <xf numFmtId="3" fontId="54" fillId="0" borderId="11" xfId="71" applyNumberFormat="1" applyFont="1" applyFill="1" applyBorder="1" applyAlignment="1">
      <alignment vertical="center" wrapText="1"/>
      <protection/>
    </xf>
    <xf numFmtId="0" fontId="52" fillId="0" borderId="15" xfId="71" applyFont="1" applyFill="1" applyBorder="1" applyAlignment="1">
      <alignment horizontal="left" vertical="center" wrapText="1"/>
      <protection/>
    </xf>
    <xf numFmtId="3" fontId="8" fillId="0" borderId="13" xfId="71" applyNumberFormat="1" applyFont="1" applyFill="1" applyBorder="1" applyAlignment="1">
      <alignment vertical="center" wrapText="1"/>
      <protection/>
    </xf>
    <xf numFmtId="3" fontId="52" fillId="0" borderId="13" xfId="71" applyNumberFormat="1" applyFont="1" applyFill="1" applyBorder="1" applyAlignment="1">
      <alignment vertical="center" wrapText="1"/>
      <protection/>
    </xf>
    <xf numFmtId="0" fontId="13" fillId="0" borderId="0" xfId="71" applyFont="1" applyFill="1" applyAlignment="1">
      <alignment vertical="top"/>
      <protection/>
    </xf>
    <xf numFmtId="3" fontId="11" fillId="0" borderId="13" xfId="71" applyNumberFormat="1" applyFont="1" applyFill="1" applyBorder="1" applyAlignment="1">
      <alignment vertical="center" wrapText="1"/>
      <protection/>
    </xf>
    <xf numFmtId="3" fontId="55" fillId="0" borderId="13" xfId="71" applyNumberFormat="1" applyFont="1" applyFill="1" applyBorder="1" applyAlignment="1">
      <alignment vertical="center" wrapText="1"/>
      <protection/>
    </xf>
    <xf numFmtId="0" fontId="15" fillId="0" borderId="0" xfId="71" applyFont="1" applyFill="1" applyAlignment="1">
      <alignment vertical="center"/>
      <protection/>
    </xf>
    <xf numFmtId="3" fontId="11" fillId="0" borderId="11" xfId="71" applyNumberFormat="1" applyFont="1" applyFill="1" applyBorder="1" applyAlignment="1">
      <alignment vertical="center" wrapText="1"/>
      <protection/>
    </xf>
    <xf numFmtId="3" fontId="55" fillId="0" borderId="11" xfId="71" applyNumberFormat="1" applyFont="1" applyFill="1" applyBorder="1" applyAlignment="1">
      <alignment vertical="center" wrapText="1"/>
      <protection/>
    </xf>
    <xf numFmtId="3" fontId="8" fillId="0" borderId="11" xfId="71" applyNumberFormat="1" applyFont="1" applyFill="1" applyBorder="1" applyAlignment="1">
      <alignment vertical="center" wrapText="1"/>
      <protection/>
    </xf>
    <xf numFmtId="3" fontId="52" fillId="0" borderId="11" xfId="71" applyNumberFormat="1" applyFont="1" applyFill="1" applyBorder="1" applyAlignment="1">
      <alignment vertical="center" wrapText="1"/>
      <protection/>
    </xf>
    <xf numFmtId="3" fontId="57" fillId="0" borderId="11" xfId="71" applyNumberFormat="1" applyFont="1" applyFill="1" applyBorder="1" applyAlignment="1">
      <alignment vertical="center" wrapText="1"/>
      <protection/>
    </xf>
    <xf numFmtId="3" fontId="56" fillId="0" borderId="11" xfId="71" applyNumberFormat="1" applyFont="1" applyFill="1" applyBorder="1" applyAlignment="1">
      <alignment vertical="center" wrapText="1"/>
      <protection/>
    </xf>
    <xf numFmtId="0" fontId="37" fillId="0" borderId="0" xfId="71" applyFont="1" applyFill="1" applyAlignment="1">
      <alignment vertical="center"/>
      <protection/>
    </xf>
    <xf numFmtId="49" fontId="54" fillId="0" borderId="17" xfId="71" applyNumberFormat="1" applyFont="1" applyFill="1" applyBorder="1" applyAlignment="1">
      <alignment horizontal="left" vertical="center"/>
      <protection/>
    </xf>
    <xf numFmtId="49" fontId="54" fillId="0" borderId="24" xfId="71" applyNumberFormat="1" applyFont="1" applyFill="1" applyBorder="1" applyAlignment="1">
      <alignment horizontal="left" vertical="center"/>
      <protection/>
    </xf>
    <xf numFmtId="0" fontId="52" fillId="0" borderId="11" xfId="71" applyFont="1" applyFill="1" applyBorder="1" applyAlignment="1">
      <alignment horizontal="center" vertical="center" wrapText="1"/>
      <protection/>
    </xf>
    <xf numFmtId="0" fontId="52" fillId="0" borderId="14" xfId="71" applyFont="1" applyFill="1" applyBorder="1" applyAlignment="1">
      <alignment vertical="center" wrapText="1"/>
      <protection/>
    </xf>
    <xf numFmtId="0" fontId="52" fillId="0" borderId="13" xfId="71" applyFont="1" applyFill="1" applyBorder="1" applyAlignment="1">
      <alignment horizontal="center" vertical="center" wrapText="1"/>
      <protection/>
    </xf>
    <xf numFmtId="0" fontId="52" fillId="0" borderId="10" xfId="71" applyFont="1" applyFill="1" applyBorder="1" applyAlignment="1">
      <alignment horizontal="center" vertical="top" wrapText="1"/>
      <protection/>
    </xf>
    <xf numFmtId="0" fontId="52" fillId="0" borderId="14" xfId="71" applyFont="1" applyFill="1" applyBorder="1" applyAlignment="1">
      <alignment vertical="top" wrapText="1"/>
      <protection/>
    </xf>
    <xf numFmtId="0" fontId="52" fillId="0" borderId="13" xfId="71" applyFont="1" applyFill="1" applyBorder="1" applyAlignment="1">
      <alignment horizontal="center" vertical="top" wrapText="1"/>
      <protection/>
    </xf>
    <xf numFmtId="0" fontId="52" fillId="0" borderId="12" xfId="71" applyFont="1" applyFill="1" applyBorder="1" applyAlignment="1">
      <alignment horizontal="center" vertical="top" wrapText="1"/>
      <protection/>
    </xf>
    <xf numFmtId="0" fontId="52" fillId="0" borderId="12" xfId="71" applyFont="1" applyFill="1" applyBorder="1" applyAlignment="1">
      <alignment horizontal="center" vertical="center" wrapText="1"/>
      <protection/>
    </xf>
    <xf numFmtId="3" fontId="8" fillId="0" borderId="13" xfId="71" applyNumberFormat="1" applyFont="1" applyFill="1" applyBorder="1" applyAlignment="1">
      <alignment vertical="top" wrapText="1"/>
      <protection/>
    </xf>
    <xf numFmtId="3" fontId="52" fillId="0" borderId="13" xfId="71" applyNumberFormat="1" applyFont="1" applyFill="1" applyBorder="1" applyAlignment="1">
      <alignment vertical="top" wrapText="1"/>
      <protection/>
    </xf>
    <xf numFmtId="0" fontId="52" fillId="0" borderId="10" xfId="71" applyFont="1" applyFill="1" applyBorder="1" applyAlignment="1">
      <alignment horizontal="center" vertical="center" wrapText="1"/>
      <protection/>
    </xf>
    <xf numFmtId="0" fontId="52" fillId="0" borderId="11" xfId="71" applyFont="1" applyFill="1" applyBorder="1" applyAlignment="1">
      <alignment vertical="center" wrapText="1"/>
      <protection/>
    </xf>
    <xf numFmtId="0" fontId="52" fillId="0" borderId="25" xfId="71" applyFont="1" applyFill="1" applyBorder="1" applyAlignment="1">
      <alignment vertical="center" wrapText="1"/>
      <protection/>
    </xf>
    <xf numFmtId="0" fontId="52" fillId="0" borderId="11" xfId="71" applyFont="1" applyFill="1" applyBorder="1" applyAlignment="1">
      <alignment horizontal="center" vertical="top" wrapText="1"/>
      <protection/>
    </xf>
    <xf numFmtId="0" fontId="19" fillId="0" borderId="0" xfId="71" applyFont="1" applyFill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3" fillId="0" borderId="0" xfId="71" applyFont="1" applyFill="1" applyBorder="1" applyAlignment="1">
      <alignment vertical="center" wrapText="1"/>
      <protection/>
    </xf>
    <xf numFmtId="0" fontId="48" fillId="0" borderId="0" xfId="71" applyFont="1" applyFill="1" applyBorder="1" applyAlignment="1">
      <alignment vertical="center" wrapText="1"/>
      <protection/>
    </xf>
    <xf numFmtId="3" fontId="13" fillId="0" borderId="0" xfId="71" applyNumberFormat="1" applyFont="1" applyFill="1" applyBorder="1" applyAlignment="1">
      <alignment vertical="center" wrapText="1"/>
      <protection/>
    </xf>
    <xf numFmtId="0" fontId="58" fillId="0" borderId="0" xfId="71" applyFont="1" applyFill="1" applyAlignment="1">
      <alignment horizontal="left"/>
      <protection/>
    </xf>
    <xf numFmtId="0" fontId="58" fillId="0" borderId="0" xfId="71" applyFont="1" applyFill="1" applyAlignment="1">
      <alignment horizontal="center"/>
      <protection/>
    </xf>
    <xf numFmtId="0" fontId="22" fillId="0" borderId="0" xfId="71" applyFont="1" applyFill="1" applyAlignment="1">
      <alignment wrapText="1"/>
      <protection/>
    </xf>
    <xf numFmtId="0" fontId="13" fillId="0" borderId="0" xfId="71" applyFont="1" applyFill="1" applyAlignment="1">
      <alignment wrapText="1"/>
      <protection/>
    </xf>
    <xf numFmtId="0" fontId="48" fillId="0" borderId="0" xfId="71" applyFont="1" applyFill="1" applyAlignment="1">
      <alignment wrapText="1"/>
      <protection/>
    </xf>
    <xf numFmtId="3" fontId="13" fillId="0" borderId="0" xfId="71" applyNumberFormat="1" applyFont="1" applyFill="1" applyAlignment="1">
      <alignment wrapText="1"/>
      <protection/>
    </xf>
    <xf numFmtId="0" fontId="13" fillId="0" borderId="0" xfId="71" applyFont="1" applyFill="1">
      <alignment/>
      <protection/>
    </xf>
    <xf numFmtId="0" fontId="22" fillId="0" borderId="0" xfId="71" applyFont="1" applyFill="1" applyAlignment="1">
      <alignment horizontal="left" vertical="center"/>
      <protection/>
    </xf>
    <xf numFmtId="0" fontId="22" fillId="0" borderId="0" xfId="71" applyFont="1" applyFill="1" applyAlignment="1">
      <alignment horizontal="center" vertical="center"/>
      <protection/>
    </xf>
    <xf numFmtId="0" fontId="22" fillId="0" borderId="0" xfId="71" applyFont="1" applyFill="1" applyAlignment="1">
      <alignment vertical="center" wrapText="1"/>
      <protection/>
    </xf>
    <xf numFmtId="0" fontId="13" fillId="0" borderId="0" xfId="71" applyFont="1" applyFill="1" applyAlignment="1">
      <alignment horizontal="center"/>
      <protection/>
    </xf>
    <xf numFmtId="0" fontId="13" fillId="0" borderId="0" xfId="71" applyFont="1" applyFill="1" applyAlignment="1">
      <alignment horizontal="center" wrapText="1"/>
      <protection/>
    </xf>
    <xf numFmtId="4" fontId="10" fillId="0" borderId="13" xfId="0" applyNumberFormat="1" applyFont="1" applyFill="1" applyBorder="1" applyAlignment="1">
      <alignment vertical="center" wrapText="1"/>
    </xf>
    <xf numFmtId="0" fontId="13" fillId="0" borderId="0" xfId="71" applyFont="1" applyAlignment="1">
      <alignment horizontal="center"/>
      <protection/>
    </xf>
    <xf numFmtId="3" fontId="13" fillId="0" borderId="0" xfId="71" applyNumberFormat="1" applyFont="1" applyAlignment="1">
      <alignment horizontal="left" wrapText="1"/>
      <protection/>
    </xf>
    <xf numFmtId="0" fontId="13" fillId="0" borderId="0" xfId="71" applyFont="1" applyAlignment="1">
      <alignment wrapText="1"/>
      <protection/>
    </xf>
    <xf numFmtId="0" fontId="13" fillId="0" borderId="0" xfId="71" applyFont="1">
      <alignment/>
      <protection/>
    </xf>
    <xf numFmtId="3" fontId="13" fillId="0" borderId="0" xfId="71" applyNumberFormat="1" applyFont="1" applyAlignment="1">
      <alignment horizontal="center" wrapText="1"/>
      <protection/>
    </xf>
    <xf numFmtId="0" fontId="14" fillId="0" borderId="13" xfId="71" applyFont="1" applyBorder="1" applyAlignment="1">
      <alignment horizontal="center" vertical="top" wrapText="1"/>
      <protection/>
    </xf>
    <xf numFmtId="0" fontId="14" fillId="0" borderId="0" xfId="71" applyFont="1" applyAlignment="1">
      <alignment vertical="center" wrapText="1"/>
      <protection/>
    </xf>
    <xf numFmtId="0" fontId="14" fillId="0" borderId="0" xfId="71" applyFont="1" applyAlignment="1">
      <alignment vertical="center"/>
      <protection/>
    </xf>
    <xf numFmtId="0" fontId="49" fillId="0" borderId="11" xfId="71" applyFont="1" applyBorder="1" applyAlignment="1">
      <alignment horizontal="center"/>
      <protection/>
    </xf>
    <xf numFmtId="0" fontId="49" fillId="0" borderId="11" xfId="71" applyFont="1" applyBorder="1" applyAlignment="1">
      <alignment horizontal="center" wrapText="1"/>
      <protection/>
    </xf>
    <xf numFmtId="3" fontId="49" fillId="0" borderId="11" xfId="71" applyNumberFormat="1" applyFont="1" applyBorder="1" applyAlignment="1">
      <alignment horizontal="center" wrapText="1"/>
      <protection/>
    </xf>
    <xf numFmtId="0" fontId="49" fillId="0" borderId="0" xfId="71" applyFont="1" applyAlignment="1">
      <alignment horizontal="center" wrapText="1"/>
      <protection/>
    </xf>
    <xf numFmtId="0" fontId="49" fillId="0" borderId="0" xfId="71" applyFont="1" applyAlignment="1">
      <alignment horizontal="center"/>
      <protection/>
    </xf>
    <xf numFmtId="3" fontId="18" fillId="0" borderId="11" xfId="71" applyNumberFormat="1" applyFont="1" applyBorder="1" applyAlignment="1">
      <alignment horizontal="right" vertical="center" wrapText="1"/>
      <protection/>
    </xf>
    <xf numFmtId="0" fontId="18" fillId="0" borderId="0" xfId="71" applyFont="1" applyAlignment="1">
      <alignment horizontal="center" vertical="center"/>
      <protection/>
    </xf>
    <xf numFmtId="49" fontId="13" fillId="0" borderId="13" xfId="71" applyNumberFormat="1" applyFont="1" applyBorder="1" applyAlignment="1">
      <alignment horizontal="center" vertical="top"/>
      <protection/>
    </xf>
    <xf numFmtId="0" fontId="13" fillId="0" borderId="11" xfId="71" applyFont="1" applyBorder="1" applyAlignment="1">
      <alignment vertical="top" wrapText="1"/>
      <protection/>
    </xf>
    <xf numFmtId="0" fontId="13" fillId="0" borderId="11" xfId="71" applyFont="1" applyBorder="1" applyAlignment="1">
      <alignment horizontal="justify" vertical="top" wrapText="1"/>
      <protection/>
    </xf>
    <xf numFmtId="3" fontId="13" fillId="0" borderId="11" xfId="71" applyNumberFormat="1" applyFont="1" applyBorder="1" applyAlignment="1">
      <alignment horizontal="right" vertical="top"/>
      <protection/>
    </xf>
    <xf numFmtId="3" fontId="13" fillId="0" borderId="11" xfId="71" applyNumberFormat="1" applyFont="1" applyBorder="1" applyAlignment="1">
      <alignment vertical="top" wrapText="1"/>
      <protection/>
    </xf>
    <xf numFmtId="0" fontId="13" fillId="0" borderId="0" xfId="71" applyFont="1" applyAlignment="1">
      <alignment vertical="top" wrapText="1"/>
      <protection/>
    </xf>
    <xf numFmtId="0" fontId="13" fillId="0" borderId="0" xfId="71" applyFont="1" applyAlignment="1">
      <alignment vertical="top"/>
      <protection/>
    </xf>
    <xf numFmtId="49" fontId="13" fillId="0" borderId="12" xfId="71" applyNumberFormat="1" applyFont="1" applyBorder="1" applyAlignment="1">
      <alignment horizontal="center" vertical="top"/>
      <protection/>
    </xf>
    <xf numFmtId="49" fontId="13" fillId="0" borderId="10" xfId="71" applyNumberFormat="1" applyFont="1" applyBorder="1" applyAlignment="1">
      <alignment horizontal="center" vertical="top"/>
      <protection/>
    </xf>
    <xf numFmtId="49" fontId="13" fillId="0" borderId="11" xfId="71" applyNumberFormat="1" applyFont="1" applyBorder="1" applyAlignment="1">
      <alignment horizontal="center" vertical="top"/>
      <protection/>
    </xf>
    <xf numFmtId="3" fontId="13" fillId="0" borderId="0" xfId="71" applyNumberFormat="1" applyFont="1" applyAlignment="1">
      <alignment wrapText="1"/>
      <protection/>
    </xf>
    <xf numFmtId="0" fontId="22" fillId="0" borderId="0" xfId="71" applyFont="1" applyAlignment="1">
      <alignment vertical="center" wrapText="1"/>
      <protection/>
    </xf>
    <xf numFmtId="0" fontId="22" fillId="0" borderId="0" xfId="71" applyFont="1" applyAlignment="1">
      <alignment vertical="center"/>
      <protection/>
    </xf>
    <xf numFmtId="0" fontId="22" fillId="0" borderId="0" xfId="71" applyFont="1" applyAlignment="1">
      <alignment wrapText="1"/>
      <protection/>
    </xf>
    <xf numFmtId="0" fontId="22" fillId="0" borderId="0" xfId="71" applyFont="1">
      <alignment/>
      <protection/>
    </xf>
    <xf numFmtId="0" fontId="22" fillId="0" borderId="0" xfId="71" applyFont="1" applyAlignment="1">
      <alignment horizontal="center" vertical="center" wrapText="1"/>
      <protection/>
    </xf>
    <xf numFmtId="0" fontId="22" fillId="0" borderId="0" xfId="71" applyFont="1" applyAlignment="1">
      <alignment horizontal="center" vertical="center"/>
      <protection/>
    </xf>
    <xf numFmtId="0" fontId="36" fillId="0" borderId="0" xfId="71" applyFont="1" applyAlignment="1">
      <alignment vertical="center"/>
      <protection/>
    </xf>
    <xf numFmtId="0" fontId="36" fillId="0" borderId="0" xfId="71" applyFont="1">
      <alignment/>
      <protection/>
    </xf>
    <xf numFmtId="0" fontId="14" fillId="0" borderId="0" xfId="71" applyFont="1">
      <alignment/>
      <protection/>
    </xf>
    <xf numFmtId="0" fontId="13" fillId="0" borderId="0" xfId="71" applyFont="1" applyAlignment="1">
      <alignment vertical="center" wrapText="1"/>
      <protection/>
    </xf>
    <xf numFmtId="0" fontId="13" fillId="0" borderId="0" xfId="71" applyFont="1" applyAlignment="1">
      <alignment vertical="center"/>
      <protection/>
    </xf>
    <xf numFmtId="3" fontId="13" fillId="0" borderId="0" xfId="71" applyNumberFormat="1" applyFont="1" applyFill="1" applyAlignment="1">
      <alignment horizontal="left" wrapText="1"/>
      <protection/>
    </xf>
    <xf numFmtId="3" fontId="13" fillId="0" borderId="0" xfId="71" applyNumberFormat="1" applyFont="1" applyFill="1" applyAlignment="1">
      <alignment horizontal="left"/>
      <protection/>
    </xf>
    <xf numFmtId="3" fontId="13" fillId="0" borderId="0" xfId="71" applyNumberFormat="1" applyFont="1" applyFill="1" applyAlignment="1">
      <alignment horizontal="center" wrapText="1"/>
      <protection/>
    </xf>
    <xf numFmtId="0" fontId="14" fillId="0" borderId="13" xfId="71" applyFont="1" applyFill="1" applyBorder="1" applyAlignment="1">
      <alignment horizontal="center" vertical="top" wrapText="1"/>
      <protection/>
    </xf>
    <xf numFmtId="0" fontId="14" fillId="0" borderId="0" xfId="71" applyFont="1" applyFill="1" applyAlignment="1">
      <alignment vertical="center" wrapText="1"/>
      <protection/>
    </xf>
    <xf numFmtId="0" fontId="49" fillId="0" borderId="11" xfId="71" applyFont="1" applyFill="1" applyBorder="1" applyAlignment="1">
      <alignment horizontal="center"/>
      <protection/>
    </xf>
    <xf numFmtId="0" fontId="49" fillId="0" borderId="11" xfId="71" applyFont="1" applyFill="1" applyBorder="1" applyAlignment="1">
      <alignment horizontal="center" wrapText="1"/>
      <protection/>
    </xf>
    <xf numFmtId="3" fontId="49" fillId="0" borderId="11" xfId="71" applyNumberFormat="1" applyFont="1" applyFill="1" applyBorder="1" applyAlignment="1">
      <alignment horizontal="center" wrapText="1"/>
      <protection/>
    </xf>
    <xf numFmtId="0" fontId="49" fillId="0" borderId="0" xfId="71" applyFont="1" applyFill="1" applyAlignment="1">
      <alignment horizontal="center" wrapText="1"/>
      <protection/>
    </xf>
    <xf numFmtId="3" fontId="18" fillId="0" borderId="11" xfId="71" applyNumberFormat="1" applyFont="1" applyFill="1" applyBorder="1" applyAlignment="1">
      <alignment horizontal="right" vertical="center" wrapText="1"/>
      <protection/>
    </xf>
    <xf numFmtId="0" fontId="18" fillId="0" borderId="0" xfId="71" applyFont="1" applyFill="1" applyAlignment="1">
      <alignment horizontal="center" vertical="center"/>
      <protection/>
    </xf>
    <xf numFmtId="49" fontId="13" fillId="0" borderId="13" xfId="71" applyNumberFormat="1" applyFont="1" applyFill="1" applyBorder="1" applyAlignment="1">
      <alignment horizontal="center" vertical="top"/>
      <protection/>
    </xf>
    <xf numFmtId="0" fontId="13" fillId="0" borderId="11" xfId="71" applyFont="1" applyFill="1" applyBorder="1" applyAlignment="1">
      <alignment vertical="top" wrapText="1"/>
      <protection/>
    </xf>
    <xf numFmtId="0" fontId="13" fillId="0" borderId="11" xfId="71" applyFont="1" applyFill="1" applyBorder="1" applyAlignment="1">
      <alignment horizontal="justify" vertical="top" wrapText="1"/>
      <protection/>
    </xf>
    <xf numFmtId="3" fontId="13" fillId="0" borderId="11" xfId="71" applyNumberFormat="1" applyFont="1" applyFill="1" applyBorder="1" applyAlignment="1">
      <alignment horizontal="right" vertical="top"/>
      <protection/>
    </xf>
    <xf numFmtId="3" fontId="13" fillId="0" borderId="11" xfId="71" applyNumberFormat="1" applyFont="1" applyFill="1" applyBorder="1" applyAlignment="1">
      <alignment vertical="top" wrapText="1"/>
      <protection/>
    </xf>
    <xf numFmtId="0" fontId="13" fillId="0" borderId="0" xfId="71" applyFont="1" applyFill="1" applyAlignment="1">
      <alignment vertical="top" wrapText="1"/>
      <protection/>
    </xf>
    <xf numFmtId="49" fontId="13" fillId="0" borderId="12" xfId="71" applyNumberFormat="1" applyFont="1" applyFill="1" applyBorder="1" applyAlignment="1">
      <alignment horizontal="center" vertical="top"/>
      <protection/>
    </xf>
    <xf numFmtId="49" fontId="13" fillId="0" borderId="10" xfId="71" applyNumberFormat="1" applyFont="1" applyFill="1" applyBorder="1" applyAlignment="1">
      <alignment horizontal="center" vertical="top"/>
      <protection/>
    </xf>
    <xf numFmtId="9" fontId="13" fillId="0" borderId="12" xfId="77" applyFont="1" applyFill="1" applyBorder="1" applyAlignment="1">
      <alignment horizontal="center" vertical="top"/>
    </xf>
    <xf numFmtId="1" fontId="13" fillId="0" borderId="12" xfId="77" applyNumberFormat="1" applyFont="1" applyFill="1" applyBorder="1" applyAlignment="1">
      <alignment horizontal="center" vertical="top"/>
    </xf>
    <xf numFmtId="9" fontId="13" fillId="0" borderId="11" xfId="77" applyFont="1" applyFill="1" applyBorder="1" applyAlignment="1">
      <alignment vertical="top" wrapText="1"/>
    </xf>
    <xf numFmtId="9" fontId="13" fillId="0" borderId="11" xfId="77" applyFont="1" applyFill="1" applyBorder="1" applyAlignment="1">
      <alignment horizontal="justify" vertical="top" wrapText="1"/>
    </xf>
    <xf numFmtId="3" fontId="13" fillId="0" borderId="11" xfId="77" applyNumberFormat="1" applyFont="1" applyFill="1" applyBorder="1" applyAlignment="1">
      <alignment horizontal="right" vertical="top"/>
    </xf>
    <xf numFmtId="3" fontId="13" fillId="0" borderId="11" xfId="77" applyNumberFormat="1" applyFont="1" applyFill="1" applyBorder="1" applyAlignment="1">
      <alignment vertical="top" wrapText="1"/>
    </xf>
    <xf numFmtId="9" fontId="13" fillId="0" borderId="0" xfId="77" applyFont="1" applyFill="1" applyAlignment="1">
      <alignment vertical="top" wrapText="1"/>
    </xf>
    <xf numFmtId="9" fontId="13" fillId="0" borderId="0" xfId="77" applyFont="1" applyFill="1" applyAlignment="1">
      <alignment vertical="top"/>
    </xf>
    <xf numFmtId="49" fontId="13" fillId="0" borderId="11" xfId="71" applyNumberFormat="1" applyFont="1" applyFill="1" applyBorder="1" applyAlignment="1">
      <alignment horizontal="center" vertical="top"/>
      <protection/>
    </xf>
    <xf numFmtId="49" fontId="13" fillId="0" borderId="13" xfId="71" applyNumberFormat="1" applyFont="1" applyFill="1" applyBorder="1" applyAlignment="1">
      <alignment horizontal="center" vertical="top" wrapText="1"/>
      <protection/>
    </xf>
    <xf numFmtId="3" fontId="13" fillId="0" borderId="0" xfId="71" applyNumberFormat="1" applyFont="1" applyFill="1" applyAlignment="1">
      <alignment vertical="center" wrapText="1"/>
      <protection/>
    </xf>
    <xf numFmtId="0" fontId="22" fillId="0" borderId="0" xfId="71" applyFont="1" applyFill="1">
      <alignment/>
      <protection/>
    </xf>
    <xf numFmtId="0" fontId="22" fillId="0" borderId="0" xfId="71" applyFont="1" applyFill="1" applyAlignment="1">
      <alignment vertical="center"/>
      <protection/>
    </xf>
    <xf numFmtId="0" fontId="36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23" fillId="0" borderId="0" xfId="65" applyFont="1" applyFill="1" applyAlignment="1">
      <alignment horizontal="center"/>
      <protection/>
    </xf>
    <xf numFmtId="0" fontId="23" fillId="0" borderId="0" xfId="65" applyFont="1" applyFill="1" applyAlignment="1">
      <alignment horizontal="center" wrapText="1"/>
      <protection/>
    </xf>
    <xf numFmtId="0" fontId="23" fillId="0" borderId="0" xfId="65" applyFont="1" applyFill="1" applyAlignment="1">
      <alignment horizontal="center" vertical="center" wrapText="1"/>
      <protection/>
    </xf>
    <xf numFmtId="0" fontId="23" fillId="0" borderId="0" xfId="65" applyFont="1" applyFill="1" applyAlignment="1">
      <alignment/>
      <protection/>
    </xf>
    <xf numFmtId="0" fontId="23" fillId="0" borderId="0" xfId="65" applyFont="1" applyFill="1">
      <alignment/>
      <protection/>
    </xf>
    <xf numFmtId="0" fontId="6" fillId="0" borderId="0" xfId="65" applyFill="1">
      <alignment/>
      <protection/>
    </xf>
    <xf numFmtId="0" fontId="23" fillId="0" borderId="0" xfId="65" applyFont="1" applyFill="1" applyAlignment="1">
      <alignment horizontal="left"/>
      <protection/>
    </xf>
    <xf numFmtId="0" fontId="6" fillId="0" borderId="0" xfId="65">
      <alignment/>
      <protection/>
    </xf>
    <xf numFmtId="0" fontId="23" fillId="0" borderId="0" xfId="65" applyFont="1" applyAlignment="1">
      <alignment horizontal="center"/>
      <protection/>
    </xf>
    <xf numFmtId="0" fontId="23" fillId="0" borderId="0" xfId="65" applyFont="1" applyAlignment="1">
      <alignment horizontal="center" wrapText="1"/>
      <protection/>
    </xf>
    <xf numFmtId="0" fontId="23" fillId="0" borderId="0" xfId="65" applyFont="1" applyAlignment="1">
      <alignment horizontal="center" vertical="center" wrapText="1"/>
      <protection/>
    </xf>
    <xf numFmtId="0" fontId="23" fillId="0" borderId="0" xfId="65" applyFont="1">
      <alignment/>
      <protection/>
    </xf>
    <xf numFmtId="0" fontId="23" fillId="0" borderId="0" xfId="65" applyFont="1" applyAlignment="1">
      <alignment horizontal="right"/>
      <protection/>
    </xf>
    <xf numFmtId="0" fontId="25" fillId="0" borderId="11" xfId="65" applyFont="1" applyBorder="1" applyAlignment="1">
      <alignment horizontal="center" vertical="center" wrapText="1"/>
      <protection/>
    </xf>
    <xf numFmtId="0" fontId="6" fillId="0" borderId="0" xfId="65" applyAlignment="1">
      <alignment horizontal="center" vertical="center" wrapText="1"/>
      <protection/>
    </xf>
    <xf numFmtId="0" fontId="29" fillId="0" borderId="11" xfId="65" applyFont="1" applyBorder="1" applyAlignment="1">
      <alignment horizontal="center" wrapText="1"/>
      <protection/>
    </xf>
    <xf numFmtId="0" fontId="59" fillId="0" borderId="0" xfId="65" applyFont="1" applyAlignment="1">
      <alignment horizontal="center"/>
      <protection/>
    </xf>
    <xf numFmtId="0" fontId="48" fillId="0" borderId="11" xfId="65" applyFont="1" applyFill="1" applyBorder="1" applyAlignment="1">
      <alignment horizontal="center" vertical="center"/>
      <protection/>
    </xf>
    <xf numFmtId="0" fontId="39" fillId="0" borderId="11" xfId="65" applyFont="1" applyFill="1" applyBorder="1" applyAlignment="1">
      <alignment horizontal="left" vertical="center" wrapText="1"/>
      <protection/>
    </xf>
    <xf numFmtId="0" fontId="39" fillId="0" borderId="15" xfId="65" applyFont="1" applyFill="1" applyBorder="1" applyAlignment="1">
      <alignment horizontal="center" vertical="center" wrapText="1"/>
      <protection/>
    </xf>
    <xf numFmtId="0" fontId="39" fillId="0" borderId="15" xfId="65" applyFont="1" applyFill="1" applyBorder="1" applyAlignment="1">
      <alignment horizontal="right" vertical="center" wrapText="1"/>
      <protection/>
    </xf>
    <xf numFmtId="3" fontId="39" fillId="0" borderId="11" xfId="65" applyNumberFormat="1" applyFont="1" applyFill="1" applyBorder="1" applyAlignment="1">
      <alignment vertical="center"/>
      <protection/>
    </xf>
    <xf numFmtId="3" fontId="39" fillId="0" borderId="11" xfId="65" applyNumberFormat="1" applyFont="1" applyFill="1" applyBorder="1" applyAlignment="1">
      <alignment horizontal="right" vertical="center"/>
      <protection/>
    </xf>
    <xf numFmtId="0" fontId="60" fillId="0" borderId="0" xfId="65" applyFont="1" applyFill="1" applyAlignment="1">
      <alignment vertical="center"/>
      <protection/>
    </xf>
    <xf numFmtId="0" fontId="48" fillId="0" borderId="13" xfId="65" applyFont="1" applyFill="1" applyBorder="1" applyAlignment="1">
      <alignment horizontal="center" vertical="center"/>
      <protection/>
    </xf>
    <xf numFmtId="0" fontId="39" fillId="0" borderId="13" xfId="65" applyFont="1" applyFill="1" applyBorder="1" applyAlignment="1">
      <alignment horizontal="left" vertical="center" wrapText="1"/>
      <protection/>
    </xf>
    <xf numFmtId="0" fontId="61" fillId="0" borderId="12" xfId="65" applyFont="1" applyFill="1" applyBorder="1" applyAlignment="1">
      <alignment horizontal="center" vertical="center"/>
      <protection/>
    </xf>
    <xf numFmtId="0" fontId="61" fillId="0" borderId="12" xfId="65" applyFont="1" applyFill="1" applyBorder="1" applyAlignment="1">
      <alignment horizontal="left" vertical="center" wrapText="1"/>
      <protection/>
    </xf>
    <xf numFmtId="0" fontId="61" fillId="0" borderId="15" xfId="65" applyFont="1" applyFill="1" applyBorder="1" applyAlignment="1">
      <alignment horizontal="center" vertical="center" wrapText="1"/>
      <protection/>
    </xf>
    <xf numFmtId="0" fontId="61" fillId="0" borderId="15" xfId="65" applyFont="1" applyFill="1" applyBorder="1" applyAlignment="1">
      <alignment horizontal="right" vertical="center" wrapText="1"/>
      <protection/>
    </xf>
    <xf numFmtId="3" fontId="61" fillId="0" borderId="11" xfId="65" applyNumberFormat="1" applyFont="1" applyFill="1" applyBorder="1" applyAlignment="1">
      <alignment vertical="center"/>
      <protection/>
    </xf>
    <xf numFmtId="3" fontId="61" fillId="0" borderId="11" xfId="65" applyNumberFormat="1" applyFont="1" applyFill="1" applyBorder="1" applyAlignment="1">
      <alignment horizontal="right" vertical="center"/>
      <protection/>
    </xf>
    <xf numFmtId="0" fontId="62" fillId="0" borderId="0" xfId="65" applyFont="1" applyFill="1" applyAlignment="1">
      <alignment vertical="center"/>
      <protection/>
    </xf>
    <xf numFmtId="0" fontId="61" fillId="0" borderId="10" xfId="65" applyFont="1" applyFill="1" applyBorder="1" applyAlignment="1">
      <alignment horizontal="center" vertical="center"/>
      <protection/>
    </xf>
    <xf numFmtId="0" fontId="61" fillId="0" borderId="10" xfId="65" applyFont="1" applyFill="1" applyBorder="1" applyAlignment="1">
      <alignment horizontal="left" vertical="center" wrapText="1"/>
      <protection/>
    </xf>
    <xf numFmtId="0" fontId="39" fillId="0" borderId="11" xfId="65" applyFont="1" applyFill="1" applyBorder="1" applyAlignment="1">
      <alignment horizontal="left" vertical="top" wrapText="1"/>
      <protection/>
    </xf>
    <xf numFmtId="0" fontId="60" fillId="0" borderId="0" xfId="65" applyFont="1" applyFill="1" applyAlignment="1">
      <alignment/>
      <protection/>
    </xf>
    <xf numFmtId="0" fontId="60" fillId="0" borderId="0" xfId="65" applyFont="1" applyFill="1">
      <alignment/>
      <protection/>
    </xf>
    <xf numFmtId="0" fontId="39" fillId="0" borderId="11" xfId="65" applyFont="1" applyFill="1" applyBorder="1" applyAlignment="1">
      <alignment horizontal="center" vertical="center" wrapText="1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3" fillId="0" borderId="28" xfId="65" applyFont="1" applyFill="1" applyBorder="1" applyAlignment="1">
      <alignment horizontal="left" vertical="center" wrapText="1"/>
      <protection/>
    </xf>
    <xf numFmtId="0" fontId="33" fillId="0" borderId="15" xfId="65" applyFont="1" applyFill="1" applyBorder="1" applyAlignment="1">
      <alignment horizontal="center" vertical="center" wrapText="1"/>
      <protection/>
    </xf>
    <xf numFmtId="3" fontId="33" fillId="0" borderId="11" xfId="65" applyNumberFormat="1" applyFont="1" applyFill="1" applyBorder="1" applyAlignment="1">
      <alignment horizontal="right" vertical="center"/>
      <protection/>
    </xf>
    <xf numFmtId="0" fontId="63" fillId="0" borderId="0" xfId="65" applyFont="1" applyFill="1" applyAlignment="1">
      <alignment vertical="center"/>
      <protection/>
    </xf>
    <xf numFmtId="0" fontId="10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34" fillId="0" borderId="24" xfId="71" applyFont="1" applyFill="1" applyBorder="1" applyAlignment="1">
      <alignment vertical="center" wrapText="1"/>
      <protection/>
    </xf>
    <xf numFmtId="3" fontId="52" fillId="0" borderId="24" xfId="71" applyNumberFormat="1" applyFont="1" applyFill="1" applyBorder="1" applyAlignment="1">
      <alignment vertical="center" wrapText="1"/>
      <protection/>
    </xf>
    <xf numFmtId="3" fontId="52" fillId="0" borderId="23" xfId="71" applyNumberFormat="1" applyFont="1" applyFill="1" applyBorder="1" applyAlignment="1">
      <alignment vertical="center" wrapText="1"/>
      <protection/>
    </xf>
    <xf numFmtId="3" fontId="51" fillId="0" borderId="15" xfId="71" applyNumberFormat="1" applyFont="1" applyFill="1" applyBorder="1" applyAlignment="1">
      <alignment horizontal="right" vertical="center" wrapText="1"/>
      <protection/>
    </xf>
    <xf numFmtId="0" fontId="49" fillId="0" borderId="22" xfId="71" applyFont="1" applyFill="1" applyBorder="1" applyAlignment="1">
      <alignment horizontal="center" vertical="center"/>
      <protection/>
    </xf>
    <xf numFmtId="0" fontId="49" fillId="0" borderId="24" xfId="71" applyFont="1" applyFill="1" applyBorder="1" applyAlignment="1">
      <alignment horizontal="center" vertical="center"/>
      <protection/>
    </xf>
    <xf numFmtId="0" fontId="49" fillId="0" borderId="24" xfId="71" applyFont="1" applyFill="1" applyBorder="1" applyAlignment="1">
      <alignment horizontal="center" vertical="center" wrapText="1"/>
      <protection/>
    </xf>
    <xf numFmtId="0" fontId="50" fillId="0" borderId="24" xfId="71" applyFont="1" applyFill="1" applyBorder="1" applyAlignment="1">
      <alignment horizontal="center" vertical="center" wrapText="1"/>
      <protection/>
    </xf>
    <xf numFmtId="3" fontId="49" fillId="0" borderId="24" xfId="71" applyNumberFormat="1" applyFont="1" applyFill="1" applyBorder="1" applyAlignment="1">
      <alignment horizontal="center" vertical="center" wrapText="1"/>
      <protection/>
    </xf>
    <xf numFmtId="3" fontId="49" fillId="0" borderId="23" xfId="71" applyNumberFormat="1" applyFont="1" applyFill="1" applyBorder="1" applyAlignment="1">
      <alignment horizontal="center" vertical="center" wrapText="1"/>
      <protection/>
    </xf>
    <xf numFmtId="3" fontId="51" fillId="0" borderId="11" xfId="71" applyNumberFormat="1" applyFont="1" applyFill="1" applyBorder="1" applyAlignment="1">
      <alignment horizontal="right" vertical="center" wrapText="1"/>
      <protection/>
    </xf>
    <xf numFmtId="0" fontId="49" fillId="0" borderId="22" xfId="71" applyFont="1" applyFill="1" applyBorder="1" applyAlignment="1">
      <alignment horizontal="center"/>
      <protection/>
    </xf>
    <xf numFmtId="0" fontId="49" fillId="0" borderId="0" xfId="71" applyFont="1" applyFill="1" applyBorder="1" applyAlignment="1">
      <alignment horizontal="center"/>
      <protection/>
    </xf>
    <xf numFmtId="0" fontId="49" fillId="0" borderId="0" xfId="71" applyFont="1" applyFill="1" applyBorder="1" applyAlignment="1">
      <alignment horizontal="center" wrapText="1"/>
      <protection/>
    </xf>
    <xf numFmtId="0" fontId="49" fillId="0" borderId="0" xfId="71" applyFont="1" applyFill="1" applyBorder="1" applyAlignment="1">
      <alignment horizontal="left" wrapText="1"/>
      <protection/>
    </xf>
    <xf numFmtId="0" fontId="50" fillId="0" borderId="0" xfId="71" applyFont="1" applyFill="1" applyBorder="1" applyAlignment="1">
      <alignment horizontal="center" wrapText="1"/>
      <protection/>
    </xf>
    <xf numFmtId="3" fontId="49" fillId="0" borderId="0" xfId="71" applyNumberFormat="1" applyFont="1" applyFill="1" applyBorder="1" applyAlignment="1">
      <alignment horizontal="center" wrapText="1"/>
      <protection/>
    </xf>
    <xf numFmtId="3" fontId="49" fillId="0" borderId="16" xfId="71" applyNumberFormat="1" applyFont="1" applyFill="1" applyBorder="1" applyAlignment="1">
      <alignment horizontal="center" wrapText="1"/>
      <protection/>
    </xf>
    <xf numFmtId="0" fontId="49" fillId="0" borderId="25" xfId="71" applyFont="1" applyFill="1" applyBorder="1" applyAlignment="1">
      <alignment horizontal="center"/>
      <protection/>
    </xf>
    <xf numFmtId="0" fontId="49" fillId="0" borderId="26" xfId="71" applyFont="1" applyFill="1" applyBorder="1" applyAlignment="1">
      <alignment horizontal="center"/>
      <protection/>
    </xf>
    <xf numFmtId="0" fontId="49" fillId="0" borderId="26" xfId="71" applyFont="1" applyFill="1" applyBorder="1" applyAlignment="1">
      <alignment horizontal="center" wrapText="1"/>
      <protection/>
    </xf>
    <xf numFmtId="0" fontId="50" fillId="0" borderId="26" xfId="71" applyFont="1" applyFill="1" applyBorder="1" applyAlignment="1">
      <alignment horizontal="center" wrapText="1"/>
      <protection/>
    </xf>
    <xf numFmtId="3" fontId="49" fillId="0" borderId="26" xfId="71" applyNumberFormat="1" applyFont="1" applyFill="1" applyBorder="1" applyAlignment="1">
      <alignment horizontal="center" wrapText="1"/>
      <protection/>
    </xf>
    <xf numFmtId="3" fontId="49" fillId="0" borderId="29" xfId="71" applyNumberFormat="1" applyFont="1" applyFill="1" applyBorder="1" applyAlignment="1">
      <alignment horizontal="center" wrapText="1"/>
      <protection/>
    </xf>
    <xf numFmtId="3" fontId="19" fillId="0" borderId="11" xfId="71" applyNumberFormat="1" applyFont="1" applyFill="1" applyBorder="1" applyAlignment="1">
      <alignment horizontal="right" vertical="center"/>
      <protection/>
    </xf>
    <xf numFmtId="0" fontId="19" fillId="0" borderId="11" xfId="71" applyFont="1" applyFill="1" applyBorder="1" applyAlignment="1">
      <alignment horizontal="right" vertical="center"/>
      <protection/>
    </xf>
    <xf numFmtId="0" fontId="49" fillId="0" borderId="17" xfId="71" applyFont="1" applyFill="1" applyBorder="1" applyAlignment="1">
      <alignment horizontal="center"/>
      <protection/>
    </xf>
    <xf numFmtId="0" fontId="49" fillId="0" borderId="24" xfId="71" applyFont="1" applyFill="1" applyBorder="1" applyAlignment="1">
      <alignment horizontal="center"/>
      <protection/>
    </xf>
    <xf numFmtId="0" fontId="49" fillId="0" borderId="24" xfId="71" applyFont="1" applyFill="1" applyBorder="1" applyAlignment="1">
      <alignment horizontal="center" wrapText="1"/>
      <protection/>
    </xf>
    <xf numFmtId="0" fontId="49" fillId="0" borderId="24" xfId="71" applyFont="1" applyFill="1" applyBorder="1" applyAlignment="1">
      <alignment horizontal="left" wrapText="1"/>
      <protection/>
    </xf>
    <xf numFmtId="0" fontId="50" fillId="0" borderId="24" xfId="71" applyFont="1" applyFill="1" applyBorder="1" applyAlignment="1">
      <alignment horizontal="center" wrapText="1"/>
      <protection/>
    </xf>
    <xf numFmtId="3" fontId="49" fillId="0" borderId="24" xfId="71" applyNumberFormat="1" applyFont="1" applyFill="1" applyBorder="1" applyAlignment="1">
      <alignment horizontal="center" wrapText="1"/>
      <protection/>
    </xf>
    <xf numFmtId="3" fontId="49" fillId="0" borderId="23" xfId="71" applyNumberFormat="1" applyFont="1" applyFill="1" applyBorder="1" applyAlignment="1">
      <alignment horizontal="center" wrapText="1"/>
      <protection/>
    </xf>
    <xf numFmtId="3" fontId="51" fillId="0" borderId="11" xfId="71" applyNumberFormat="1" applyFont="1" applyFill="1" applyBorder="1" applyAlignment="1">
      <alignment vertical="center"/>
      <protection/>
    </xf>
    <xf numFmtId="3" fontId="19" fillId="0" borderId="11" xfId="71" applyNumberFormat="1" applyFont="1" applyFill="1" applyBorder="1" applyAlignment="1">
      <alignment vertical="center"/>
      <protection/>
    </xf>
    <xf numFmtId="49" fontId="25" fillId="0" borderId="0" xfId="68" applyNumberFormat="1" applyFont="1" applyFill="1" applyAlignment="1" applyProtection="1">
      <alignment horizontal="center" vertical="center"/>
      <protection/>
    </xf>
    <xf numFmtId="49" fontId="23" fillId="0" borderId="0" xfId="68" applyNumberFormat="1" applyFont="1" applyFill="1" applyAlignment="1" applyProtection="1">
      <alignment horizontal="center" vertical="center" wrapText="1"/>
      <protection/>
    </xf>
    <xf numFmtId="0" fontId="25" fillId="0" borderId="0" xfId="68" applyFont="1" applyFill="1" applyAlignment="1" applyProtection="1">
      <alignment vertical="center"/>
      <protection/>
    </xf>
    <xf numFmtId="0" fontId="23" fillId="0" borderId="0" xfId="68" applyFont="1" applyFill="1" applyAlignment="1" applyProtection="1">
      <alignment vertical="center"/>
      <protection/>
    </xf>
    <xf numFmtId="0" fontId="23" fillId="0" borderId="0" xfId="68" applyFont="1" applyAlignment="1" applyProtection="1">
      <alignment vertical="center"/>
      <protection/>
    </xf>
    <xf numFmtId="0" fontId="23" fillId="0" borderId="0" xfId="68" applyFont="1" applyFill="1" applyBorder="1" applyAlignment="1" applyProtection="1">
      <alignment horizontal="center" vertical="center"/>
      <protection/>
    </xf>
    <xf numFmtId="2" fontId="23" fillId="0" borderId="0" xfId="68" applyNumberFormat="1" applyFont="1" applyFill="1" applyBorder="1" applyAlignment="1" applyProtection="1">
      <alignment horizontal="center" vertical="center"/>
      <protection/>
    </xf>
    <xf numFmtId="2" fontId="25" fillId="0" borderId="0" xfId="68" applyNumberFormat="1" applyFont="1" applyFill="1" applyAlignment="1" applyProtection="1">
      <alignment horizontal="center" vertical="center" wrapText="1"/>
      <protection/>
    </xf>
    <xf numFmtId="2" fontId="23" fillId="0" borderId="11" xfId="68" applyNumberFormat="1" applyFont="1" applyFill="1" applyBorder="1" applyAlignment="1" applyProtection="1">
      <alignment horizontal="center" vertical="center" wrapText="1"/>
      <protection/>
    </xf>
    <xf numFmtId="2" fontId="23" fillId="0" borderId="15" xfId="68" applyNumberFormat="1" applyFont="1" applyFill="1" applyBorder="1" applyAlignment="1" applyProtection="1">
      <alignment horizontal="center" vertical="center" wrapText="1"/>
      <protection/>
    </xf>
    <xf numFmtId="49" fontId="27" fillId="0" borderId="11" xfId="68" applyNumberFormat="1" applyFont="1" applyFill="1" applyBorder="1" applyAlignment="1" applyProtection="1">
      <alignment horizontal="center" vertical="center" wrapText="1"/>
      <protection/>
    </xf>
    <xf numFmtId="49" fontId="28" fillId="0" borderId="14" xfId="68" applyNumberFormat="1" applyFont="1" applyFill="1" applyBorder="1" applyAlignment="1" applyProtection="1">
      <alignment horizontal="center" vertical="center" wrapText="1"/>
      <protection/>
    </xf>
    <xf numFmtId="49" fontId="27" fillId="0" borderId="14" xfId="68" applyNumberFormat="1" applyFont="1" applyFill="1" applyBorder="1" applyAlignment="1" applyProtection="1">
      <alignment horizontal="center" vertical="center" wrapText="1"/>
      <protection/>
    </xf>
    <xf numFmtId="49" fontId="27" fillId="0" borderId="15" xfId="68" applyNumberFormat="1" applyFont="1" applyFill="1" applyBorder="1" applyAlignment="1" applyProtection="1">
      <alignment horizontal="center" vertical="center" wrapText="1"/>
      <protection/>
    </xf>
    <xf numFmtId="49" fontId="27" fillId="0" borderId="0" xfId="68" applyNumberFormat="1" applyFont="1" applyFill="1" applyAlignment="1" applyProtection="1">
      <alignment horizontal="center" vertical="center" wrapText="1"/>
      <protection/>
    </xf>
    <xf numFmtId="49" fontId="27" fillId="0" borderId="17" xfId="68" applyNumberFormat="1" applyFont="1" applyFill="1" applyBorder="1" applyAlignment="1" applyProtection="1">
      <alignment horizontal="center" vertical="center" wrapText="1"/>
      <protection/>
    </xf>
    <xf numFmtId="49" fontId="29" fillId="0" borderId="24" xfId="68" applyNumberFormat="1" applyFont="1" applyFill="1" applyBorder="1" applyAlignment="1" applyProtection="1">
      <alignment horizontal="center" vertical="center" wrapText="1"/>
      <protection/>
    </xf>
    <xf numFmtId="49" fontId="30" fillId="0" borderId="24" xfId="68" applyNumberFormat="1" applyFont="1" applyFill="1" applyBorder="1" applyAlignment="1" applyProtection="1">
      <alignment horizontal="center" vertical="center" wrapText="1"/>
      <protection/>
    </xf>
    <xf numFmtId="49" fontId="27" fillId="0" borderId="24" xfId="68" applyNumberFormat="1" applyFont="1" applyFill="1" applyBorder="1" applyAlignment="1" applyProtection="1">
      <alignment horizontal="center" vertical="center" wrapText="1"/>
      <protection/>
    </xf>
    <xf numFmtId="49" fontId="27" fillId="0" borderId="13" xfId="68" applyNumberFormat="1" applyFont="1" applyFill="1" applyBorder="1" applyAlignment="1" applyProtection="1">
      <alignment horizontal="center" vertical="center" wrapText="1"/>
      <protection/>
    </xf>
    <xf numFmtId="49" fontId="27" fillId="0" borderId="0" xfId="68" applyNumberFormat="1" applyFont="1" applyAlignment="1" applyProtection="1">
      <alignment horizontal="center" vertical="center" wrapText="1"/>
      <protection/>
    </xf>
    <xf numFmtId="49" fontId="25" fillId="2" borderId="17" xfId="68" applyNumberFormat="1" applyFont="1" applyFill="1" applyBorder="1" applyAlignment="1" applyProtection="1">
      <alignment horizontal="center" vertical="center" wrapText="1"/>
      <protection/>
    </xf>
    <xf numFmtId="3" fontId="31" fillId="2" borderId="24" xfId="68" applyNumberFormat="1" applyFont="1" applyFill="1" applyBorder="1" applyAlignment="1" applyProtection="1">
      <alignment horizontal="left" vertical="center" wrapText="1"/>
      <protection/>
    </xf>
    <xf numFmtId="3" fontId="25" fillId="2" borderId="13" xfId="68" applyNumberFormat="1" applyFont="1" applyFill="1" applyBorder="1" applyAlignment="1" applyProtection="1">
      <alignment horizontal="right" vertical="center" wrapText="1"/>
      <protection/>
    </xf>
    <xf numFmtId="3" fontId="25" fillId="2" borderId="17" xfId="68" applyNumberFormat="1" applyFont="1" applyFill="1" applyBorder="1" applyAlignment="1" applyProtection="1">
      <alignment horizontal="right" vertical="center" wrapText="1"/>
      <protection/>
    </xf>
    <xf numFmtId="3" fontId="25" fillId="2" borderId="23" xfId="68" applyNumberFormat="1" applyFont="1" applyFill="1" applyBorder="1" applyAlignment="1" applyProtection="1">
      <alignment horizontal="right" vertical="center" wrapText="1"/>
      <protection/>
    </xf>
    <xf numFmtId="3" fontId="23" fillId="0" borderId="0" xfId="68" applyNumberFormat="1" applyFont="1" applyAlignment="1" applyProtection="1">
      <alignment vertical="center" wrapText="1"/>
      <protection/>
    </xf>
    <xf numFmtId="4" fontId="23" fillId="0" borderId="0" xfId="68" applyNumberFormat="1" applyFont="1" applyAlignment="1" applyProtection="1">
      <alignment vertical="center" wrapText="1"/>
      <protection/>
    </xf>
    <xf numFmtId="49" fontId="25" fillId="0" borderId="14" xfId="68" applyNumberFormat="1" applyFont="1" applyBorder="1" applyAlignment="1" applyProtection="1">
      <alignment horizontal="center" vertical="center" wrapText="1"/>
      <protection/>
    </xf>
    <xf numFmtId="3" fontId="32" fillId="0" borderId="28" xfId="68" applyNumberFormat="1" applyFont="1" applyBorder="1" applyAlignment="1" applyProtection="1">
      <alignment horizontal="center" vertical="center" wrapText="1"/>
      <protection/>
    </xf>
    <xf numFmtId="3" fontId="25" fillId="0" borderId="28" xfId="68" applyNumberFormat="1" applyFont="1" applyFill="1" applyBorder="1" applyAlignment="1" applyProtection="1">
      <alignment vertical="center" wrapText="1"/>
      <protection/>
    </xf>
    <xf numFmtId="3" fontId="32" fillId="0" borderId="28" xfId="68" applyNumberFormat="1" applyFont="1" applyBorder="1" applyAlignment="1" applyProtection="1">
      <alignment vertical="center" wrapText="1"/>
      <protection/>
    </xf>
    <xf numFmtId="3" fontId="25" fillId="0" borderId="28" xfId="68" applyNumberFormat="1" applyFont="1" applyBorder="1" applyAlignment="1" applyProtection="1">
      <alignment horizontal="right" vertical="center" wrapText="1"/>
      <protection/>
    </xf>
    <xf numFmtId="3" fontId="25" fillId="0" borderId="11" xfId="68" applyNumberFormat="1" applyFont="1" applyBorder="1" applyAlignment="1" applyProtection="1">
      <alignment horizontal="right" vertical="center" wrapText="1"/>
      <protection/>
    </xf>
    <xf numFmtId="3" fontId="25" fillId="0" borderId="15" xfId="68" applyNumberFormat="1" applyFont="1" applyBorder="1" applyAlignment="1" applyProtection="1">
      <alignment horizontal="right" vertical="center" wrapText="1"/>
      <protection/>
    </xf>
    <xf numFmtId="3" fontId="23" fillId="0" borderId="0" xfId="68" applyNumberFormat="1" applyFont="1" applyAlignment="1" applyProtection="1">
      <alignment horizontal="center" vertical="center" wrapText="1"/>
      <protection/>
    </xf>
    <xf numFmtId="4" fontId="23" fillId="0" borderId="0" xfId="68" applyNumberFormat="1" applyFont="1" applyAlignment="1" applyProtection="1">
      <alignment horizontal="center" vertical="center" wrapText="1"/>
      <protection/>
    </xf>
    <xf numFmtId="49" fontId="23" fillId="0" borderId="25" xfId="68" applyNumberFormat="1" applyFont="1" applyFill="1" applyBorder="1" applyAlignment="1" applyProtection="1">
      <alignment horizontal="center" vertical="center" wrapText="1"/>
      <protection/>
    </xf>
    <xf numFmtId="3" fontId="23" fillId="0" borderId="25" xfId="68" applyNumberFormat="1" applyFont="1" applyFill="1" applyBorder="1" applyAlignment="1" applyProtection="1">
      <alignment horizontal="left" vertical="center" wrapText="1"/>
      <protection/>
    </xf>
    <xf numFmtId="3" fontId="25" fillId="0" borderId="12" xfId="68" applyNumberFormat="1" applyFont="1" applyFill="1" applyBorder="1" applyAlignment="1" applyProtection="1">
      <alignment horizontal="right" vertical="center" wrapText="1"/>
      <protection/>
    </xf>
    <xf numFmtId="3" fontId="23" fillId="0" borderId="10" xfId="68" applyNumberFormat="1" applyFont="1" applyFill="1" applyBorder="1" applyAlignment="1" applyProtection="1">
      <alignment horizontal="right" vertical="center" wrapText="1"/>
      <protection/>
    </xf>
    <xf numFmtId="3" fontId="23" fillId="0" borderId="25" xfId="68" applyNumberFormat="1" applyFont="1" applyFill="1" applyBorder="1" applyAlignment="1" applyProtection="1">
      <alignment horizontal="right" vertical="center" wrapText="1"/>
      <protection/>
    </xf>
    <xf numFmtId="3" fontId="23" fillId="0" borderId="26" xfId="68" applyNumberFormat="1" applyFont="1" applyFill="1" applyBorder="1" applyAlignment="1" applyProtection="1">
      <alignment horizontal="right" vertical="center" wrapText="1"/>
      <protection/>
    </xf>
    <xf numFmtId="3" fontId="23" fillId="0" borderId="29" xfId="68" applyNumberFormat="1" applyFont="1" applyFill="1" applyBorder="1" applyAlignment="1" applyProtection="1">
      <alignment horizontal="right" vertical="center" wrapText="1"/>
      <protection/>
    </xf>
    <xf numFmtId="3" fontId="23" fillId="0" borderId="0" xfId="68" applyNumberFormat="1" applyFont="1" applyFill="1" applyAlignment="1" applyProtection="1">
      <alignment vertical="center" wrapText="1"/>
      <protection/>
    </xf>
    <xf numFmtId="4" fontId="23" fillId="0" borderId="0" xfId="68" applyNumberFormat="1" applyFont="1" applyFill="1" applyAlignment="1" applyProtection="1">
      <alignment vertical="center" wrapText="1"/>
      <protection/>
    </xf>
    <xf numFmtId="3" fontId="25" fillId="0" borderId="11" xfId="68" applyNumberFormat="1" applyFont="1" applyFill="1" applyBorder="1" applyAlignment="1" applyProtection="1">
      <alignment horizontal="right" vertical="center" wrapText="1"/>
      <protection/>
    </xf>
    <xf numFmtId="49" fontId="23" fillId="0" borderId="14" xfId="68" applyNumberFormat="1" applyFont="1" applyFill="1" applyBorder="1" applyAlignment="1" applyProtection="1">
      <alignment horizontal="center" vertical="center"/>
      <protection/>
    </xf>
    <xf numFmtId="49" fontId="23" fillId="0" borderId="14" xfId="68" applyNumberFormat="1" applyFont="1" applyFill="1" applyBorder="1" applyAlignment="1" applyProtection="1">
      <alignment horizontal="left" vertical="center" wrapText="1"/>
      <protection/>
    </xf>
    <xf numFmtId="3" fontId="23" fillId="0" borderId="11" xfId="68" applyNumberFormat="1" applyFont="1" applyFill="1" applyBorder="1" applyAlignment="1" applyProtection="1">
      <alignment vertical="center"/>
      <protection/>
    </xf>
    <xf numFmtId="3" fontId="23" fillId="0" borderId="28" xfId="68" applyNumberFormat="1" applyFont="1" applyFill="1" applyBorder="1" applyAlignment="1" applyProtection="1">
      <alignment vertical="center"/>
      <protection/>
    </xf>
    <xf numFmtId="3" fontId="23" fillId="0" borderId="15" xfId="68" applyNumberFormat="1" applyFont="1" applyFill="1" applyBorder="1" applyAlignment="1" applyProtection="1">
      <alignment vertical="center"/>
      <protection/>
    </xf>
    <xf numFmtId="0" fontId="25" fillId="0" borderId="0" xfId="68" applyFont="1" applyFill="1" applyAlignment="1" applyProtection="1">
      <alignment vertical="center"/>
      <protection/>
    </xf>
    <xf numFmtId="4" fontId="25" fillId="0" borderId="0" xfId="68" applyNumberFormat="1" applyFont="1" applyFill="1" applyAlignment="1" applyProtection="1">
      <alignment vertical="center"/>
      <protection/>
    </xf>
    <xf numFmtId="4" fontId="25" fillId="0" borderId="0" xfId="68" applyNumberFormat="1" applyFont="1" applyFill="1" applyAlignment="1" applyProtection="1">
      <alignment vertical="center"/>
      <protection/>
    </xf>
    <xf numFmtId="3" fontId="23" fillId="0" borderId="14" xfId="68" applyNumberFormat="1" applyFont="1" applyFill="1" applyBorder="1" applyAlignment="1" applyProtection="1">
      <alignment vertical="center"/>
      <protection/>
    </xf>
    <xf numFmtId="49" fontId="23" fillId="0" borderId="11" xfId="68" applyNumberFormat="1" applyFont="1" applyFill="1" applyBorder="1" applyAlignment="1" applyProtection="1">
      <alignment horizontal="center" vertical="center"/>
      <protection/>
    </xf>
    <xf numFmtId="49" fontId="23" fillId="0" borderId="11" xfId="68" applyNumberFormat="1" applyFont="1" applyFill="1" applyBorder="1" applyAlignment="1" applyProtection="1">
      <alignment horizontal="left" vertical="center" wrapText="1"/>
      <protection/>
    </xf>
    <xf numFmtId="49" fontId="25" fillId="0" borderId="22" xfId="68" applyNumberFormat="1" applyFont="1" applyBorder="1" applyAlignment="1" applyProtection="1">
      <alignment horizontal="center" vertical="center" wrapText="1"/>
      <protection/>
    </xf>
    <xf numFmtId="3" fontId="32" fillId="0" borderId="0" xfId="68" applyNumberFormat="1" applyFont="1" applyBorder="1" applyAlignment="1" applyProtection="1">
      <alignment horizontal="center" vertical="center" wrapText="1"/>
      <protection/>
    </xf>
    <xf numFmtId="3" fontId="25" fillId="0" borderId="0" xfId="68" applyNumberFormat="1" applyFont="1" applyFill="1" applyBorder="1" applyAlignment="1" applyProtection="1">
      <alignment vertical="center" wrapText="1"/>
      <protection/>
    </xf>
    <xf numFmtId="3" fontId="32" fillId="0" borderId="0" xfId="68" applyNumberFormat="1" applyFont="1" applyBorder="1" applyAlignment="1" applyProtection="1">
      <alignment vertical="center" wrapText="1"/>
      <protection/>
    </xf>
    <xf numFmtId="3" fontId="25" fillId="0" borderId="0" xfId="68" applyNumberFormat="1" applyFont="1" applyBorder="1" applyAlignment="1" applyProtection="1">
      <alignment horizontal="right" vertical="center" wrapText="1"/>
      <protection/>
    </xf>
    <xf numFmtId="3" fontId="25" fillId="0" borderId="12" xfId="68" applyNumberFormat="1" applyFont="1" applyBorder="1" applyAlignment="1" applyProtection="1">
      <alignment horizontal="right" vertical="center" wrapText="1"/>
      <protection/>
    </xf>
    <xf numFmtId="3" fontId="25" fillId="0" borderId="16" xfId="68" applyNumberFormat="1" applyFont="1" applyBorder="1" applyAlignment="1" applyProtection="1">
      <alignment horizontal="right" vertical="center" wrapText="1"/>
      <protection/>
    </xf>
    <xf numFmtId="49" fontId="25" fillId="2" borderId="14" xfId="68" applyNumberFormat="1" applyFont="1" applyFill="1" applyBorder="1" applyAlignment="1" applyProtection="1">
      <alignment horizontal="center" vertical="center" wrapText="1"/>
      <protection/>
    </xf>
    <xf numFmtId="3" fontId="31" fillId="2" borderId="28" xfId="68" applyNumberFormat="1" applyFont="1" applyFill="1" applyBorder="1" applyAlignment="1" applyProtection="1">
      <alignment horizontal="left" vertical="center" wrapText="1"/>
      <protection/>
    </xf>
    <xf numFmtId="3" fontId="25" fillId="2" borderId="11" xfId="68" applyNumberFormat="1" applyFont="1" applyFill="1" applyBorder="1" applyAlignment="1" applyProtection="1">
      <alignment horizontal="right" vertical="center" wrapText="1"/>
      <protection/>
    </xf>
    <xf numFmtId="3" fontId="25" fillId="2" borderId="14" xfId="68" applyNumberFormat="1" applyFont="1" applyFill="1" applyBorder="1" applyAlignment="1" applyProtection="1">
      <alignment horizontal="right" vertical="center" wrapText="1"/>
      <protection/>
    </xf>
    <xf numFmtId="49" fontId="23" fillId="0" borderId="25" xfId="68" applyNumberFormat="1" applyFont="1" applyFill="1" applyBorder="1" applyAlignment="1" applyProtection="1">
      <alignment horizontal="center" vertical="center"/>
      <protection/>
    </xf>
    <xf numFmtId="49" fontId="23" fillId="0" borderId="25" xfId="68" applyNumberFormat="1" applyFont="1" applyFill="1" applyBorder="1" applyAlignment="1" applyProtection="1">
      <alignment horizontal="left" vertical="center" wrapText="1"/>
      <protection/>
    </xf>
    <xf numFmtId="3" fontId="25" fillId="0" borderId="10" xfId="68" applyNumberFormat="1" applyFont="1" applyFill="1" applyBorder="1" applyAlignment="1" applyProtection="1">
      <alignment horizontal="right" vertical="center" wrapText="1"/>
      <protection/>
    </xf>
    <xf numFmtId="3" fontId="23" fillId="0" borderId="10" xfId="68" applyNumberFormat="1" applyFont="1" applyFill="1" applyBorder="1" applyAlignment="1" applyProtection="1">
      <alignment vertical="center"/>
      <protection/>
    </xf>
    <xf numFmtId="3" fontId="23" fillId="0" borderId="25" xfId="68" applyNumberFormat="1" applyFont="1" applyFill="1" applyBorder="1" applyAlignment="1" applyProtection="1">
      <alignment vertical="center"/>
      <protection/>
    </xf>
    <xf numFmtId="3" fontId="23" fillId="0" borderId="26" xfId="68" applyNumberFormat="1" applyFont="1" applyFill="1" applyBorder="1" applyAlignment="1" applyProtection="1">
      <alignment vertical="center"/>
      <protection/>
    </xf>
    <xf numFmtId="49" fontId="23" fillId="0" borderId="13" xfId="68" applyNumberFormat="1" applyFont="1" applyFill="1" applyBorder="1" applyAlignment="1" applyProtection="1">
      <alignment horizontal="center" vertical="center"/>
      <protection/>
    </xf>
    <xf numFmtId="49" fontId="23" fillId="0" borderId="13" xfId="68" applyNumberFormat="1" applyFont="1" applyFill="1" applyBorder="1" applyAlignment="1" applyProtection="1">
      <alignment horizontal="left" vertical="center" wrapText="1"/>
      <protection/>
    </xf>
    <xf numFmtId="3" fontId="25" fillId="0" borderId="13" xfId="68" applyNumberFormat="1" applyFont="1" applyFill="1" applyBorder="1" applyAlignment="1" applyProtection="1">
      <alignment horizontal="right" vertical="center" wrapText="1"/>
      <protection/>
    </xf>
    <xf numFmtId="3" fontId="23" fillId="0" borderId="13" xfId="68" applyNumberFormat="1" applyFont="1" applyFill="1" applyBorder="1" applyAlignment="1" applyProtection="1">
      <alignment vertical="center"/>
      <protection/>
    </xf>
    <xf numFmtId="3" fontId="23" fillId="0" borderId="17" xfId="68" applyNumberFormat="1" applyFont="1" applyFill="1" applyBorder="1" applyAlignment="1" applyProtection="1">
      <alignment vertical="center"/>
      <protection/>
    </xf>
    <xf numFmtId="3" fontId="23" fillId="0" borderId="24" xfId="68" applyNumberFormat="1" applyFont="1" applyFill="1" applyBorder="1" applyAlignment="1" applyProtection="1">
      <alignment vertical="center"/>
      <protection/>
    </xf>
    <xf numFmtId="3" fontId="23" fillId="0" borderId="12" xfId="68" applyNumberFormat="1" applyFont="1" applyFill="1" applyBorder="1" applyAlignment="1" applyProtection="1">
      <alignment vertical="center"/>
      <protection/>
    </xf>
    <xf numFmtId="3" fontId="23" fillId="0" borderId="23" xfId="68" applyNumberFormat="1" applyFont="1" applyFill="1" applyBorder="1" applyAlignment="1" applyProtection="1">
      <alignment vertical="center"/>
      <protection/>
    </xf>
    <xf numFmtId="3" fontId="31" fillId="2" borderId="11" xfId="68" applyNumberFormat="1" applyFont="1" applyFill="1" applyBorder="1" applyAlignment="1" applyProtection="1">
      <alignment vertical="center"/>
      <protection/>
    </xf>
    <xf numFmtId="3" fontId="31" fillId="2" borderId="14" xfId="68" applyNumberFormat="1" applyFont="1" applyFill="1" applyBorder="1" applyAlignment="1" applyProtection="1">
      <alignment vertical="center"/>
      <protection/>
    </xf>
    <xf numFmtId="3" fontId="31" fillId="2" borderId="15" xfId="68" applyNumberFormat="1" applyFont="1" applyFill="1" applyBorder="1" applyAlignment="1" applyProtection="1">
      <alignment vertical="center"/>
      <protection/>
    </xf>
    <xf numFmtId="0" fontId="33" fillId="4" borderId="0" xfId="68" applyFont="1" applyFill="1" applyAlignment="1" applyProtection="1">
      <alignment vertical="center"/>
      <protection/>
    </xf>
    <xf numFmtId="4" fontId="33" fillId="4" borderId="0" xfId="68" applyNumberFormat="1" applyFont="1" applyFill="1" applyAlignment="1" applyProtection="1">
      <alignment vertical="center"/>
      <protection/>
    </xf>
    <xf numFmtId="49" fontId="25" fillId="0" borderId="0" xfId="68" applyNumberFormat="1" applyFont="1" applyAlignment="1" applyProtection="1">
      <alignment horizontal="center" vertical="center"/>
      <protection/>
    </xf>
    <xf numFmtId="49" fontId="23" fillId="0" borderId="0" xfId="68" applyNumberFormat="1" applyFont="1" applyAlignment="1" applyProtection="1">
      <alignment horizontal="center" vertical="center" wrapText="1"/>
      <protection/>
    </xf>
    <xf numFmtId="0" fontId="25" fillId="32" borderId="0" xfId="68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top" wrapText="1"/>
      <protection/>
    </xf>
    <xf numFmtId="49" fontId="34" fillId="0" borderId="0" xfId="0" applyNumberFormat="1" applyFont="1" applyAlignment="1" applyProtection="1">
      <alignment horizontal="center" vertical="top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0" fontId="34" fillId="0" borderId="0" xfId="0" applyFont="1" applyAlignment="1" applyProtection="1">
      <alignment wrapText="1"/>
      <protection/>
    </xf>
    <xf numFmtId="3" fontId="34" fillId="0" borderId="0" xfId="0" applyNumberFormat="1" applyFont="1" applyAlignment="1" applyProtection="1">
      <alignment horizontal="left" vertical="top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35" fillId="0" borderId="11" xfId="0" applyNumberFormat="1" applyFont="1" applyBorder="1" applyAlignment="1" applyProtection="1">
      <alignment horizontal="center" vertical="top" wrapText="1"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3" fontId="35" fillId="0" borderId="11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49" fontId="97" fillId="0" borderId="11" xfId="0" applyNumberFormat="1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3" fontId="97" fillId="0" borderId="11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wrapText="1"/>
      <protection/>
    </xf>
    <xf numFmtId="49" fontId="97" fillId="0" borderId="12" xfId="0" applyNumberFormat="1" applyFont="1" applyBorder="1" applyAlignment="1" applyProtection="1">
      <alignment horizontal="center" vertical="top" wrapText="1"/>
      <protection/>
    </xf>
    <xf numFmtId="0" fontId="97" fillId="0" borderId="12" xfId="0" applyFont="1" applyBorder="1" applyAlignment="1" applyProtection="1">
      <alignment vertical="top" wrapText="1"/>
      <protection/>
    </xf>
    <xf numFmtId="3" fontId="97" fillId="0" borderId="12" xfId="0" applyNumberFormat="1" applyFont="1" applyBorder="1" applyAlignment="1" applyProtection="1">
      <alignment vertical="top" wrapText="1"/>
      <protection/>
    </xf>
    <xf numFmtId="49" fontId="98" fillId="0" borderId="12" xfId="0" applyNumberFormat="1" applyFont="1" applyBorder="1" applyAlignment="1" applyProtection="1">
      <alignment horizontal="center" vertical="top" wrapText="1"/>
      <protection/>
    </xf>
    <xf numFmtId="0" fontId="98" fillId="0" borderId="12" xfId="0" applyFont="1" applyBorder="1" applyAlignment="1" applyProtection="1">
      <alignment vertical="top" wrapText="1"/>
      <protection/>
    </xf>
    <xf numFmtId="3" fontId="98" fillId="0" borderId="12" xfId="0" applyNumberFormat="1" applyFont="1" applyBorder="1" applyAlignment="1" applyProtection="1">
      <alignment vertical="top" wrapText="1"/>
      <protection/>
    </xf>
    <xf numFmtId="0" fontId="97" fillId="0" borderId="11" xfId="0" applyFont="1" applyBorder="1" applyAlignment="1" applyProtection="1">
      <alignment vertical="top" wrapText="1"/>
      <protection/>
    </xf>
    <xf numFmtId="49" fontId="98" fillId="0" borderId="10" xfId="0" applyNumberFormat="1" applyFont="1" applyBorder="1" applyAlignment="1" applyProtection="1">
      <alignment horizontal="center" vertical="top" wrapText="1"/>
      <protection/>
    </xf>
    <xf numFmtId="0" fontId="98" fillId="0" borderId="10" xfId="0" applyFont="1" applyBorder="1" applyAlignment="1" applyProtection="1">
      <alignment vertical="top" wrapText="1"/>
      <protection/>
    </xf>
    <xf numFmtId="3" fontId="98" fillId="0" borderId="10" xfId="0" applyNumberFormat="1" applyFont="1" applyBorder="1" applyAlignment="1" applyProtection="1">
      <alignment vertical="top" wrapText="1"/>
      <protection/>
    </xf>
    <xf numFmtId="49" fontId="98" fillId="0" borderId="13" xfId="0" applyNumberFormat="1" applyFont="1" applyBorder="1" applyAlignment="1" applyProtection="1">
      <alignment horizontal="center" vertical="top" wrapText="1"/>
      <protection/>
    </xf>
    <xf numFmtId="0" fontId="98" fillId="0" borderId="13" xfId="0" applyFont="1" applyBorder="1" applyAlignment="1" applyProtection="1">
      <alignment vertical="top" wrapText="1"/>
      <protection/>
    </xf>
    <xf numFmtId="3" fontId="98" fillId="0" borderId="13" xfId="0" applyNumberFormat="1" applyFont="1" applyBorder="1" applyAlignment="1" applyProtection="1">
      <alignment vertical="top" wrapText="1"/>
      <protection/>
    </xf>
    <xf numFmtId="0" fontId="97" fillId="0" borderId="11" xfId="63" applyFont="1" applyBorder="1" applyAlignment="1" applyProtection="1">
      <alignment vertical="top" wrapText="1"/>
      <protection/>
    </xf>
    <xf numFmtId="49" fontId="97" fillId="0" borderId="13" xfId="0" applyNumberFormat="1" applyFont="1" applyBorder="1" applyAlignment="1" applyProtection="1">
      <alignment horizontal="center" vertical="top" wrapText="1"/>
      <protection/>
    </xf>
    <xf numFmtId="0" fontId="97" fillId="0" borderId="13" xfId="0" applyFont="1" applyBorder="1" applyAlignment="1" applyProtection="1">
      <alignment vertical="top" wrapText="1"/>
      <protection/>
    </xf>
    <xf numFmtId="3" fontId="97" fillId="0" borderId="13" xfId="0" applyNumberFormat="1" applyFont="1" applyBorder="1" applyAlignment="1" applyProtection="1">
      <alignment vertical="top" wrapText="1"/>
      <protection/>
    </xf>
    <xf numFmtId="0" fontId="34" fillId="0" borderId="0" xfId="0" applyFont="1" applyAlignment="1" applyProtection="1">
      <alignment vertical="top" wrapText="1"/>
      <protection/>
    </xf>
    <xf numFmtId="3" fontId="34" fillId="0" borderId="0" xfId="0" applyNumberFormat="1" applyFont="1" applyAlignment="1" applyProtection="1">
      <alignment vertical="top"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wrapText="1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12" fillId="33" borderId="11" xfId="0" applyNumberFormat="1" applyFont="1" applyFill="1" applyBorder="1" applyAlignment="1" applyProtection="1">
      <alignment horizontal="center" vertical="center"/>
      <protection/>
    </xf>
    <xf numFmtId="4" fontId="12" fillId="33" borderId="11" xfId="0" applyNumberFormat="1" applyFont="1" applyFill="1" applyBorder="1" applyAlignment="1" applyProtection="1">
      <alignment horizontal="left" vertical="center" wrapText="1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center" vertical="top"/>
      <protection/>
    </xf>
    <xf numFmtId="4" fontId="8" fillId="0" borderId="11" xfId="0" applyNumberFormat="1" applyFont="1" applyBorder="1" applyAlignment="1" applyProtection="1">
      <alignment vertical="top" wrapText="1"/>
      <protection/>
    </xf>
    <xf numFmtId="3" fontId="8" fillId="33" borderId="11" xfId="0" applyNumberFormat="1" applyFont="1" applyFill="1" applyBorder="1" applyAlignment="1" applyProtection="1">
      <alignment vertical="top"/>
      <protection/>
    </xf>
    <xf numFmtId="3" fontId="8" fillId="0" borderId="11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Border="1" applyAlignment="1" applyProtection="1">
      <alignment horizontal="left" vertical="top" wrapText="1"/>
      <protection/>
    </xf>
    <xf numFmtId="4" fontId="8" fillId="0" borderId="0" xfId="0" applyNumberFormat="1" applyFont="1" applyFill="1" applyAlignment="1" applyProtection="1">
      <alignment vertical="top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Alignment="1" applyProtection="1">
      <alignment horizontal="center" vertical="center"/>
      <protection/>
    </xf>
    <xf numFmtId="4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4" fontId="8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" fontId="10" fillId="0" borderId="0" xfId="0" applyNumberFormat="1" applyFont="1" applyFill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8" fillId="33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11" xfId="0" applyNumberFormat="1" applyFont="1" applyFill="1" applyBorder="1" applyAlignment="1" applyProtection="1">
      <alignment vertical="top"/>
      <protection/>
    </xf>
    <xf numFmtId="3" fontId="4" fillId="0" borderId="11" xfId="0" applyNumberFormat="1" applyFont="1" applyFill="1" applyBorder="1" applyAlignment="1" applyProtection="1">
      <alignment vertical="top"/>
      <protection/>
    </xf>
    <xf numFmtId="4" fontId="8" fillId="0" borderId="13" xfId="0" applyNumberFormat="1" applyFont="1" applyFill="1" applyBorder="1" applyAlignment="1" applyProtection="1">
      <alignment horizontal="center" vertical="top"/>
      <protection/>
    </xf>
    <xf numFmtId="4" fontId="8" fillId="0" borderId="13" xfId="0" applyNumberFormat="1" applyFont="1" applyBorder="1" applyAlignment="1" applyProtection="1">
      <alignment horizontal="left" vertical="top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 wrapText="1"/>
      <protection/>
    </xf>
    <xf numFmtId="1" fontId="8" fillId="0" borderId="11" xfId="0" applyNumberFormat="1" applyFont="1" applyBorder="1" applyAlignment="1" applyProtection="1">
      <alignment horizontal="center" vertical="top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>
      <alignment vertical="top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4" fontId="12" fillId="33" borderId="11" xfId="0" applyNumberFormat="1" applyFont="1" applyFill="1" applyBorder="1" applyAlignment="1" applyProtection="1">
      <alignment horizontal="left" vertical="center"/>
      <protection/>
    </xf>
    <xf numFmtId="3" fontId="12" fillId="33" borderId="11" xfId="0" applyNumberFormat="1" applyFont="1" applyFill="1" applyBorder="1" applyAlignment="1" applyProtection="1">
      <alignment vertical="top"/>
      <protection/>
    </xf>
    <xf numFmtId="4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" fontId="25" fillId="0" borderId="13" xfId="68" applyNumberFormat="1" applyFont="1" applyFill="1" applyBorder="1" applyAlignment="1" applyProtection="1">
      <alignment horizontal="center" vertical="center" wrapText="1"/>
      <protection/>
    </xf>
    <xf numFmtId="2" fontId="25" fillId="0" borderId="10" xfId="68" applyNumberFormat="1" applyFont="1" applyFill="1" applyBorder="1" applyAlignment="1" applyProtection="1">
      <alignment horizontal="center" vertical="center" wrapText="1"/>
      <protection/>
    </xf>
    <xf numFmtId="49" fontId="33" fillId="2" borderId="14" xfId="68" applyNumberFormat="1" applyFont="1" applyFill="1" applyBorder="1" applyAlignment="1" applyProtection="1">
      <alignment horizontal="center" vertical="center"/>
      <protection/>
    </xf>
    <xf numFmtId="49" fontId="33" fillId="2" borderId="28" xfId="68" applyNumberFormat="1" applyFont="1" applyFill="1" applyBorder="1" applyAlignment="1" applyProtection="1">
      <alignment horizontal="center" vertical="center"/>
      <protection/>
    </xf>
    <xf numFmtId="2" fontId="25" fillId="0" borderId="13" xfId="68" applyNumberFormat="1" applyFont="1" applyFill="1" applyBorder="1" applyAlignment="1" applyProtection="1">
      <alignment horizontal="center" vertical="center" wrapText="1"/>
      <protection/>
    </xf>
    <xf numFmtId="2" fontId="25" fillId="0" borderId="25" xfId="68" applyNumberFormat="1" applyFont="1" applyFill="1" applyBorder="1" applyAlignment="1" applyProtection="1">
      <alignment horizontal="center" vertical="center" wrapText="1"/>
      <protection/>
    </xf>
    <xf numFmtId="2" fontId="25" fillId="0" borderId="17" xfId="68" applyNumberFormat="1" applyFont="1" applyFill="1" applyBorder="1" applyAlignment="1" applyProtection="1">
      <alignment horizontal="center" vertical="center" wrapText="1"/>
      <protection/>
    </xf>
    <xf numFmtId="2" fontId="25" fillId="0" borderId="23" xfId="68" applyNumberFormat="1" applyFont="1" applyFill="1" applyBorder="1" applyAlignment="1" applyProtection="1">
      <alignment horizontal="center" vertical="center" wrapText="1"/>
      <protection/>
    </xf>
    <xf numFmtId="2" fontId="25" fillId="0" borderId="11" xfId="6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49" fontId="26" fillId="0" borderId="0" xfId="68" applyNumberFormat="1" applyFont="1" applyFill="1" applyAlignment="1" applyProtection="1">
      <alignment horizontal="center" vertical="center"/>
      <protection/>
    </xf>
    <xf numFmtId="49" fontId="25" fillId="0" borderId="13" xfId="68" applyNumberFormat="1" applyFont="1" applyFill="1" applyBorder="1" applyAlignment="1" applyProtection="1">
      <alignment horizontal="center" vertical="center" wrapText="1"/>
      <protection/>
    </xf>
    <xf numFmtId="49" fontId="25" fillId="0" borderId="12" xfId="68" applyNumberFormat="1" applyFont="1" applyFill="1" applyBorder="1" applyAlignment="1" applyProtection="1">
      <alignment horizontal="center" vertical="center" wrapText="1"/>
      <protection/>
    </xf>
    <xf numFmtId="49" fontId="25" fillId="0" borderId="10" xfId="68" applyNumberFormat="1" applyFont="1" applyFill="1" applyBorder="1" applyAlignment="1" applyProtection="1">
      <alignment horizontal="center" vertical="center" wrapText="1"/>
      <protection/>
    </xf>
    <xf numFmtId="49" fontId="25" fillId="0" borderId="17" xfId="68" applyNumberFormat="1" applyFont="1" applyFill="1" applyBorder="1" applyAlignment="1" applyProtection="1">
      <alignment horizontal="center" vertical="center" wrapText="1"/>
      <protection/>
    </xf>
    <xf numFmtId="49" fontId="25" fillId="0" borderId="22" xfId="68" applyNumberFormat="1" applyFont="1" applyFill="1" applyBorder="1" applyAlignment="1" applyProtection="1">
      <alignment horizontal="center" vertical="center" wrapText="1"/>
      <protection/>
    </xf>
    <xf numFmtId="49" fontId="25" fillId="0" borderId="25" xfId="68" applyNumberFormat="1" applyFont="1" applyFill="1" applyBorder="1" applyAlignment="1" applyProtection="1">
      <alignment horizontal="center" vertical="center" wrapText="1"/>
      <protection/>
    </xf>
    <xf numFmtId="2" fontId="25" fillId="0" borderId="12" xfId="68" applyNumberFormat="1" applyFont="1" applyFill="1" applyBorder="1" applyAlignment="1" applyProtection="1">
      <alignment horizontal="center" vertical="center" wrapText="1"/>
      <protection/>
    </xf>
    <xf numFmtId="2" fontId="25" fillId="0" borderId="10" xfId="68" applyNumberFormat="1" applyFont="1" applyFill="1" applyBorder="1" applyAlignment="1" applyProtection="1">
      <alignment horizontal="center" vertical="center" wrapText="1"/>
      <protection/>
    </xf>
    <xf numFmtId="2" fontId="25" fillId="0" borderId="17" xfId="68" applyNumberFormat="1" applyFont="1" applyFill="1" applyBorder="1" applyAlignment="1" applyProtection="1">
      <alignment horizontal="center" vertical="center" wrapText="1"/>
      <protection/>
    </xf>
    <xf numFmtId="2" fontId="25" fillId="0" borderId="22" xfId="68" applyNumberFormat="1" applyFont="1" applyFill="1" applyBorder="1" applyAlignment="1" applyProtection="1">
      <alignment horizontal="center" vertical="center" wrapText="1"/>
      <protection/>
    </xf>
    <xf numFmtId="2" fontId="25" fillId="0" borderId="12" xfId="6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49" fontId="4" fillId="0" borderId="0" xfId="0" applyNumberFormat="1" applyFont="1" applyAlignment="1" applyProtection="1">
      <alignment horizontal="center" vertical="top" wrapText="1"/>
      <protection/>
    </xf>
    <xf numFmtId="0" fontId="34" fillId="0" borderId="0" xfId="0" applyFont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3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13" fillId="0" borderId="30" xfId="72" applyFont="1" applyFill="1" applyBorder="1" applyAlignment="1">
      <alignment horizontal="center" wrapText="1"/>
      <protection/>
    </xf>
    <xf numFmtId="0" fontId="13" fillId="0" borderId="31" xfId="72" applyFont="1" applyFill="1" applyBorder="1" applyAlignment="1">
      <alignment horizontal="center" wrapText="1"/>
      <protection/>
    </xf>
    <xf numFmtId="0" fontId="13" fillId="0" borderId="0" xfId="72" applyFont="1" applyFill="1" applyBorder="1" applyAlignment="1">
      <alignment horizontal="center" wrapText="1"/>
      <protection/>
    </xf>
    <xf numFmtId="0" fontId="14" fillId="0" borderId="32" xfId="72" applyFont="1" applyFill="1" applyBorder="1" applyAlignment="1">
      <alignment horizontal="center" wrapText="1"/>
      <protection/>
    </xf>
    <xf numFmtId="0" fontId="14" fillId="0" borderId="33" xfId="72" applyFont="1" applyFill="1" applyBorder="1" applyAlignment="1">
      <alignment horizontal="center" wrapText="1"/>
      <protection/>
    </xf>
    <xf numFmtId="0" fontId="14" fillId="0" borderId="26" xfId="72" applyFont="1" applyFill="1" applyBorder="1" applyAlignment="1">
      <alignment horizontal="center" wrapText="1"/>
      <protection/>
    </xf>
    <xf numFmtId="0" fontId="14" fillId="0" borderId="30" xfId="72" applyFont="1" applyFill="1" applyBorder="1" applyAlignment="1">
      <alignment horizontal="center" wrapText="1"/>
      <protection/>
    </xf>
    <xf numFmtId="0" fontId="14" fillId="0" borderId="31" xfId="72" applyFont="1" applyFill="1" applyBorder="1" applyAlignment="1">
      <alignment horizontal="center" wrapText="1"/>
      <protection/>
    </xf>
    <xf numFmtId="0" fontId="14" fillId="0" borderId="0" xfId="72" applyFont="1" applyFill="1" applyBorder="1" applyAlignment="1">
      <alignment horizontal="center" wrapText="1"/>
      <protection/>
    </xf>
    <xf numFmtId="0" fontId="38" fillId="0" borderId="22" xfId="72" applyFont="1" applyFill="1" applyBorder="1" applyAlignment="1">
      <alignment horizontal="left" wrapText="1"/>
      <protection/>
    </xf>
    <xf numFmtId="0" fontId="38" fillId="0" borderId="0" xfId="72" applyFont="1" applyFill="1" applyBorder="1" applyAlignment="1">
      <alignment horizontal="left" wrapText="1"/>
      <protection/>
    </xf>
    <xf numFmtId="0" fontId="16" fillId="0" borderId="30" xfId="72" applyFont="1" applyFill="1" applyBorder="1" applyAlignment="1">
      <alignment horizontal="center" wrapText="1"/>
      <protection/>
    </xf>
    <xf numFmtId="0" fontId="16" fillId="0" borderId="31" xfId="72" applyFont="1" applyFill="1" applyBorder="1" applyAlignment="1">
      <alignment horizontal="center" wrapText="1"/>
      <protection/>
    </xf>
    <xf numFmtId="0" fontId="16" fillId="0" borderId="0" xfId="72" applyFont="1" applyFill="1" applyBorder="1" applyAlignment="1">
      <alignment horizontal="center" wrapText="1"/>
      <protection/>
    </xf>
    <xf numFmtId="0" fontId="9" fillId="0" borderId="0" xfId="69" applyFont="1" applyFill="1" applyAlignment="1">
      <alignment horizontal="center" wrapText="1"/>
      <protection/>
    </xf>
    <xf numFmtId="0" fontId="14" fillId="0" borderId="0" xfId="69" applyFont="1" applyFill="1" applyAlignment="1">
      <alignment horizontal="center" wrapText="1"/>
      <protection/>
    </xf>
    <xf numFmtId="0" fontId="13" fillId="0" borderId="0" xfId="69" applyFont="1" applyFill="1" applyAlignment="1">
      <alignment horizontal="left" wrapText="1"/>
      <protection/>
    </xf>
    <xf numFmtId="0" fontId="14" fillId="0" borderId="11" xfId="72" applyFont="1" applyFill="1" applyBorder="1" applyAlignment="1">
      <alignment horizontal="center" vertical="center" wrapText="1"/>
      <protection/>
    </xf>
    <xf numFmtId="3" fontId="18" fillId="0" borderId="11" xfId="67" applyNumberFormat="1" applyFont="1" applyFill="1" applyBorder="1" applyAlignment="1">
      <alignment horizontal="right" vertical="center"/>
      <protection/>
    </xf>
    <xf numFmtId="3" fontId="14" fillId="0" borderId="11" xfId="67" applyNumberFormat="1" applyFont="1" applyFill="1" applyBorder="1" applyAlignment="1">
      <alignment horizontal="right" vertical="center"/>
      <protection/>
    </xf>
    <xf numFmtId="0" fontId="46" fillId="0" borderId="11" xfId="67" applyFont="1" applyFill="1" applyBorder="1" applyAlignment="1">
      <alignment horizontal="center" vertical="center" wrapText="1"/>
      <protection/>
    </xf>
    <xf numFmtId="3" fontId="35" fillId="0" borderId="11" xfId="66" applyNumberFormat="1" applyFont="1" applyBorder="1" applyAlignment="1">
      <alignment vertical="center"/>
      <protection/>
    </xf>
    <xf numFmtId="0" fontId="18" fillId="0" borderId="11" xfId="67" applyFont="1" applyFill="1" applyBorder="1" applyAlignment="1">
      <alignment horizontal="center" vertical="center" wrapText="1"/>
      <protection/>
    </xf>
    <xf numFmtId="3" fontId="34" fillId="35" borderId="11" xfId="66" applyNumberFormat="1" applyFont="1" applyFill="1" applyBorder="1" applyAlignment="1">
      <alignment vertical="center"/>
      <protection/>
    </xf>
    <xf numFmtId="0" fontId="13" fillId="0" borderId="11" xfId="67" applyFont="1" applyFill="1" applyBorder="1" applyAlignment="1">
      <alignment horizontal="center" vertical="center"/>
      <protection/>
    </xf>
    <xf numFmtId="0" fontId="44" fillId="0" borderId="11" xfId="67" applyFont="1" applyFill="1" applyBorder="1" applyAlignment="1">
      <alignment horizontal="center" vertical="center"/>
      <protection/>
    </xf>
    <xf numFmtId="49" fontId="13" fillId="0" borderId="11" xfId="67" applyNumberFormat="1" applyFont="1" applyFill="1" applyBorder="1" applyAlignment="1">
      <alignment horizontal="center" vertical="center"/>
      <protection/>
    </xf>
    <xf numFmtId="0" fontId="44" fillId="0" borderId="11" xfId="67" applyFont="1" applyFill="1" applyBorder="1" applyAlignment="1">
      <alignment horizontal="left" vertical="center" wrapText="1"/>
      <protection/>
    </xf>
    <xf numFmtId="0" fontId="13" fillId="0" borderId="11" xfId="67" applyFont="1" applyFill="1" applyBorder="1" applyAlignment="1">
      <alignment horizontal="center" vertical="center" wrapText="1"/>
      <protection/>
    </xf>
    <xf numFmtId="3" fontId="35" fillId="0" borderId="13" xfId="66" applyNumberFormat="1" applyFont="1" applyBorder="1" applyAlignment="1">
      <alignment vertical="center"/>
      <protection/>
    </xf>
    <xf numFmtId="3" fontId="35" fillId="0" borderId="12" xfId="66" applyNumberFormat="1" applyFont="1" applyBorder="1" applyAlignment="1">
      <alignment vertical="center"/>
      <protection/>
    </xf>
    <xf numFmtId="3" fontId="35" fillId="0" borderId="10" xfId="66" applyNumberFormat="1" applyFont="1" applyBorder="1" applyAlignment="1">
      <alignment vertical="center"/>
      <protection/>
    </xf>
    <xf numFmtId="3" fontId="34" fillId="35" borderId="13" xfId="66" applyNumberFormat="1" applyFont="1" applyFill="1" applyBorder="1" applyAlignment="1">
      <alignment vertical="center"/>
      <protection/>
    </xf>
    <xf numFmtId="3" fontId="34" fillId="35" borderId="12" xfId="66" applyNumberFormat="1" applyFont="1" applyFill="1" applyBorder="1" applyAlignment="1">
      <alignment vertical="center"/>
      <protection/>
    </xf>
    <xf numFmtId="3" fontId="34" fillId="35" borderId="10" xfId="66" applyNumberFormat="1" applyFont="1" applyFill="1" applyBorder="1" applyAlignment="1">
      <alignment vertical="center"/>
      <protection/>
    </xf>
    <xf numFmtId="0" fontId="13" fillId="0" borderId="13" xfId="67" applyFont="1" applyFill="1" applyBorder="1" applyAlignment="1">
      <alignment horizontal="center" vertical="center"/>
      <protection/>
    </xf>
    <xf numFmtId="0" fontId="13" fillId="0" borderId="12" xfId="67" applyFont="1" applyFill="1" applyBorder="1" applyAlignment="1">
      <alignment horizontal="center"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44" fillId="0" borderId="13" xfId="67" applyFont="1" applyFill="1" applyBorder="1" applyAlignment="1">
      <alignment horizontal="center" vertical="center"/>
      <protection/>
    </xf>
    <xf numFmtId="0" fontId="44" fillId="0" borderId="12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49" fontId="13" fillId="0" borderId="13" xfId="67" applyNumberFormat="1" applyFont="1" applyFill="1" applyBorder="1" applyAlignment="1">
      <alignment horizontal="center" vertical="center"/>
      <protection/>
    </xf>
    <xf numFmtId="49" fontId="13" fillId="0" borderId="12" xfId="67" applyNumberFormat="1" applyFont="1" applyFill="1" applyBorder="1" applyAlignment="1">
      <alignment horizontal="center" vertical="center"/>
      <protection/>
    </xf>
    <xf numFmtId="49" fontId="13" fillId="0" borderId="10" xfId="67" applyNumberFormat="1" applyFont="1" applyFill="1" applyBorder="1" applyAlignment="1">
      <alignment horizontal="center" vertical="center"/>
      <protection/>
    </xf>
    <xf numFmtId="0" fontId="44" fillId="0" borderId="13" xfId="67" applyFont="1" applyFill="1" applyBorder="1" applyAlignment="1">
      <alignment horizontal="left" vertical="center" wrapText="1"/>
      <protection/>
    </xf>
    <xf numFmtId="0" fontId="44" fillId="0" borderId="12" xfId="67" applyFont="1" applyFill="1" applyBorder="1" applyAlignment="1">
      <alignment horizontal="left" vertical="center" wrapText="1"/>
      <protection/>
    </xf>
    <xf numFmtId="0" fontId="44" fillId="0" borderId="10" xfId="67" applyFont="1" applyFill="1" applyBorder="1" applyAlignment="1">
      <alignment horizontal="left" vertical="center" wrapText="1"/>
      <protection/>
    </xf>
    <xf numFmtId="0" fontId="13" fillId="0" borderId="13" xfId="67" applyFont="1" applyFill="1" applyBorder="1" applyAlignment="1">
      <alignment horizontal="center" vertical="center" wrapText="1"/>
      <protection/>
    </xf>
    <xf numFmtId="0" fontId="13" fillId="0" borderId="12" xfId="67" applyFont="1" applyFill="1" applyBorder="1" applyAlignment="1">
      <alignment horizontal="center" vertical="center" wrapText="1"/>
      <protection/>
    </xf>
    <xf numFmtId="0" fontId="13" fillId="0" borderId="10" xfId="67" applyFont="1" applyFill="1" applyBorder="1" applyAlignment="1">
      <alignment horizontal="center" vertical="center" wrapText="1"/>
      <protection/>
    </xf>
    <xf numFmtId="49" fontId="13" fillId="0" borderId="13" xfId="67" applyNumberFormat="1" applyFont="1" applyFill="1" applyBorder="1" applyAlignment="1">
      <alignment horizontal="center" vertical="center" wrapText="1"/>
      <protection/>
    </xf>
    <xf numFmtId="49" fontId="13" fillId="0" borderId="12" xfId="67" applyNumberFormat="1" applyFont="1" applyFill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3" fontId="4" fillId="0" borderId="11" xfId="66" applyNumberFormat="1" applyFont="1" applyBorder="1" applyAlignment="1">
      <alignment horizontal="right" vertical="center"/>
      <protection/>
    </xf>
    <xf numFmtId="0" fontId="4" fillId="0" borderId="11" xfId="66" applyFont="1" applyBorder="1" applyAlignment="1">
      <alignment horizontal="right" vertical="center"/>
      <protection/>
    </xf>
    <xf numFmtId="0" fontId="26" fillId="35" borderId="14" xfId="67" applyFont="1" applyFill="1" applyBorder="1" applyAlignment="1">
      <alignment horizontal="center" vertical="center"/>
      <protection/>
    </xf>
    <xf numFmtId="0" fontId="26" fillId="35" borderId="28" xfId="67" applyFont="1" applyFill="1" applyBorder="1" applyAlignment="1">
      <alignment horizontal="center" vertical="center"/>
      <protection/>
    </xf>
    <xf numFmtId="0" fontId="26" fillId="35" borderId="15" xfId="67" applyFont="1" applyFill="1" applyBorder="1" applyAlignment="1">
      <alignment horizontal="center" vertical="center"/>
      <protection/>
    </xf>
    <xf numFmtId="0" fontId="33" fillId="0" borderId="11" xfId="67" applyFont="1" applyFill="1" applyBorder="1" applyAlignment="1">
      <alignment horizontal="center" vertical="center" wrapText="1"/>
      <protection/>
    </xf>
    <xf numFmtId="3" fontId="4" fillId="0" borderId="11" xfId="66" applyNumberFormat="1" applyFont="1" applyBorder="1" applyAlignment="1">
      <alignment vertical="center"/>
      <protection/>
    </xf>
    <xf numFmtId="0" fontId="24" fillId="0" borderId="11" xfId="66" applyBorder="1" applyAlignment="1">
      <alignment horizontal="center"/>
      <protection/>
    </xf>
    <xf numFmtId="0" fontId="13" fillId="0" borderId="13" xfId="67" applyFont="1" applyFill="1" applyBorder="1" applyAlignment="1">
      <alignment horizontal="left" vertical="center" wrapText="1"/>
      <protection/>
    </xf>
    <xf numFmtId="0" fontId="13" fillId="0" borderId="12" xfId="67" applyFont="1" applyFill="1" applyBorder="1" applyAlignment="1">
      <alignment horizontal="left" vertical="center" wrapText="1"/>
      <protection/>
    </xf>
    <xf numFmtId="0" fontId="13" fillId="0" borderId="10" xfId="67" applyFont="1" applyFill="1" applyBorder="1" applyAlignment="1">
      <alignment horizontal="left" vertical="center" wrapText="1"/>
      <protection/>
    </xf>
    <xf numFmtId="0" fontId="13" fillId="0" borderId="11" xfId="67" applyFont="1" applyFill="1" applyBorder="1" applyAlignment="1">
      <alignment horizontal="left" vertical="center" wrapText="1"/>
      <protection/>
    </xf>
    <xf numFmtId="0" fontId="44" fillId="0" borderId="11" xfId="67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/>
      <protection/>
    </xf>
    <xf numFmtId="0" fontId="14" fillId="0" borderId="11" xfId="67" applyFont="1" applyFill="1" applyBorder="1" applyAlignment="1">
      <alignment horizontal="center" vertical="center"/>
      <protection/>
    </xf>
    <xf numFmtId="0" fontId="43" fillId="0" borderId="11" xfId="67" applyFont="1" applyFill="1" applyBorder="1" applyAlignment="1">
      <alignment horizontal="center"/>
      <protection/>
    </xf>
    <xf numFmtId="0" fontId="26" fillId="5" borderId="11" xfId="67" applyFont="1" applyFill="1" applyBorder="1" applyAlignment="1">
      <alignment horizontal="center"/>
      <protection/>
    </xf>
    <xf numFmtId="0" fontId="42" fillId="0" borderId="11" xfId="67" applyFont="1" applyFill="1" applyBorder="1" applyAlignment="1">
      <alignment horizontal="center" vertical="center"/>
      <protection/>
    </xf>
    <xf numFmtId="0" fontId="41" fillId="0" borderId="13" xfId="67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0" xfId="67" applyFont="1" applyFill="1" applyBorder="1" applyAlignment="1">
      <alignment horizontal="center" vertical="center" wrapText="1"/>
      <protection/>
    </xf>
    <xf numFmtId="0" fontId="42" fillId="0" borderId="13" xfId="67" applyFont="1" applyFill="1" applyBorder="1" applyAlignment="1">
      <alignment horizontal="center" vertical="center" wrapText="1"/>
      <protection/>
    </xf>
    <xf numFmtId="0" fontId="42" fillId="0" borderId="12" xfId="67" applyFont="1" applyFill="1" applyBorder="1" applyAlignment="1">
      <alignment horizontal="center" vertical="center" wrapText="1"/>
      <protection/>
    </xf>
    <xf numFmtId="0" fontId="42" fillId="0" borderId="10" xfId="67" applyFont="1" applyFill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 wrapText="1"/>
      <protection/>
    </xf>
    <xf numFmtId="0" fontId="41" fillId="0" borderId="11" xfId="67" applyFont="1" applyFill="1" applyBorder="1" applyAlignment="1">
      <alignment horizontal="center" vertical="center" wrapText="1"/>
      <protection/>
    </xf>
    <xf numFmtId="0" fontId="14" fillId="0" borderId="11" xfId="67" applyFont="1" applyFill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/>
      <protection/>
    </xf>
    <xf numFmtId="0" fontId="40" fillId="0" borderId="0" xfId="67" applyNumberFormat="1" applyFont="1" applyFill="1" applyAlignment="1">
      <alignment horizontal="center" vertical="center" wrapText="1"/>
      <protection/>
    </xf>
    <xf numFmtId="0" fontId="14" fillId="0" borderId="13" xfId="67" applyFont="1" applyFill="1" applyBorder="1" applyAlignment="1">
      <alignment horizontal="center" vertical="center"/>
      <protection/>
    </xf>
    <xf numFmtId="0" fontId="14" fillId="0" borderId="12" xfId="67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 vertical="center"/>
      <protection/>
    </xf>
    <xf numFmtId="0" fontId="18" fillId="0" borderId="11" xfId="67" applyFont="1" applyFill="1" applyBorder="1" applyAlignment="1">
      <alignment horizontal="center" vertical="center"/>
      <protection/>
    </xf>
    <xf numFmtId="3" fontId="4" fillId="0" borderId="11" xfId="64" applyNumberFormat="1" applyFont="1" applyBorder="1" applyAlignment="1">
      <alignment vertical="center"/>
      <protection/>
    </xf>
    <xf numFmtId="3" fontId="35" fillId="0" borderId="11" xfId="64" applyNumberFormat="1" applyFont="1" applyBorder="1" applyAlignment="1">
      <alignment vertical="center"/>
      <protection/>
    </xf>
    <xf numFmtId="0" fontId="9" fillId="0" borderId="17" xfId="67" applyFont="1" applyFill="1" applyBorder="1" applyAlignment="1">
      <alignment horizontal="center" vertical="center" wrapText="1"/>
      <protection/>
    </xf>
    <xf numFmtId="0" fontId="9" fillId="0" borderId="24" xfId="67" applyFont="1" applyFill="1" applyBorder="1" applyAlignment="1">
      <alignment horizontal="center" vertical="center" wrapText="1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9" fillId="0" borderId="22" xfId="67" applyFont="1" applyFill="1" applyBorder="1" applyAlignment="1">
      <alignment horizontal="center" vertical="center" wrapText="1"/>
      <protection/>
    </xf>
    <xf numFmtId="0" fontId="9" fillId="0" borderId="0" xfId="67" applyFont="1" applyFill="1" applyBorder="1" applyAlignment="1">
      <alignment horizontal="center" vertical="center" wrapText="1"/>
      <protection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25" xfId="67" applyFont="1" applyFill="1" applyBorder="1" applyAlignment="1">
      <alignment horizontal="center" vertical="center" wrapText="1"/>
      <protection/>
    </xf>
    <xf numFmtId="0" fontId="9" fillId="0" borderId="26" xfId="67" applyFont="1" applyFill="1" applyBorder="1" applyAlignment="1">
      <alignment horizontal="center" vertical="center" wrapText="1"/>
      <protection/>
    </xf>
    <xf numFmtId="0" fontId="9" fillId="0" borderId="29" xfId="67" applyFont="1" applyFill="1" applyBorder="1" applyAlignment="1">
      <alignment horizontal="center" vertical="center" wrapText="1"/>
      <protection/>
    </xf>
    <xf numFmtId="3" fontId="34" fillId="7" borderId="11" xfId="64" applyNumberFormat="1" applyFont="1" applyFill="1" applyBorder="1" applyAlignment="1">
      <alignment vertical="center"/>
      <protection/>
    </xf>
    <xf numFmtId="0" fontId="23" fillId="0" borderId="13" xfId="70" applyFont="1" applyFill="1" applyBorder="1" applyAlignment="1">
      <alignment horizontal="left" vertical="center" wrapText="1"/>
      <protection/>
    </xf>
    <xf numFmtId="0" fontId="23" fillId="0" borderId="12" xfId="70" applyFont="1" applyFill="1" applyBorder="1" applyAlignment="1">
      <alignment horizontal="left" vertical="center" wrapText="1"/>
      <protection/>
    </xf>
    <xf numFmtId="0" fontId="23" fillId="0" borderId="10" xfId="70" applyFont="1" applyFill="1" applyBorder="1" applyAlignment="1">
      <alignment horizontal="left" vertical="center" wrapText="1"/>
      <protection/>
    </xf>
    <xf numFmtId="49" fontId="13" fillId="0" borderId="11" xfId="67" applyNumberFormat="1" applyFont="1" applyFill="1" applyBorder="1" applyAlignment="1">
      <alignment horizontal="center" vertical="center" wrapText="1"/>
      <protection/>
    </xf>
    <xf numFmtId="0" fontId="23" fillId="0" borderId="13" xfId="70" applyFont="1" applyBorder="1" applyAlignment="1">
      <alignment horizontal="left" vertical="center" wrapText="1"/>
      <protection/>
    </xf>
    <xf numFmtId="0" fontId="23" fillId="0" borderId="12" xfId="70" applyFont="1" applyBorder="1" applyAlignment="1">
      <alignment horizontal="left" vertical="center" wrapText="1"/>
      <protection/>
    </xf>
    <xf numFmtId="0" fontId="23" fillId="0" borderId="10" xfId="70" applyFont="1" applyBorder="1" applyAlignment="1">
      <alignment horizontal="left" vertical="center" wrapText="1"/>
      <protection/>
    </xf>
    <xf numFmtId="0" fontId="23" fillId="0" borderId="11" xfId="70" applyFont="1" applyBorder="1" applyAlignment="1">
      <alignment horizontal="left" vertical="center" wrapText="1"/>
      <protection/>
    </xf>
    <xf numFmtId="0" fontId="40" fillId="0" borderId="0" xfId="67" applyNumberFormat="1" applyFont="1" applyFill="1" applyAlignment="1">
      <alignment horizont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49" fontId="52" fillId="0" borderId="22" xfId="71" applyNumberFormat="1" applyFont="1" applyFill="1" applyBorder="1" applyAlignment="1">
      <alignment horizontal="center" vertical="top"/>
      <protection/>
    </xf>
    <xf numFmtId="49" fontId="52" fillId="0" borderId="16" xfId="71" applyNumberFormat="1" applyFont="1" applyFill="1" applyBorder="1" applyAlignment="1">
      <alignment horizontal="center" vertical="top"/>
      <protection/>
    </xf>
    <xf numFmtId="49" fontId="52" fillId="0" borderId="25" xfId="71" applyNumberFormat="1" applyFont="1" applyFill="1" applyBorder="1" applyAlignment="1">
      <alignment horizontal="center" vertical="top"/>
      <protection/>
    </xf>
    <xf numFmtId="49" fontId="52" fillId="0" borderId="29" xfId="71" applyNumberFormat="1" applyFont="1" applyFill="1" applyBorder="1" applyAlignment="1">
      <alignment horizontal="center" vertical="top"/>
      <protection/>
    </xf>
    <xf numFmtId="0" fontId="52" fillId="0" borderId="14" xfId="71" applyFont="1" applyFill="1" applyBorder="1" applyAlignment="1">
      <alignment horizontal="left" vertical="top" wrapText="1"/>
      <protection/>
    </xf>
    <xf numFmtId="0" fontId="52" fillId="0" borderId="15" xfId="71" applyFont="1" applyFill="1" applyBorder="1" applyAlignment="1">
      <alignment horizontal="left" vertical="top" wrapText="1"/>
      <protection/>
    </xf>
    <xf numFmtId="0" fontId="19" fillId="0" borderId="14" xfId="71" applyFont="1" applyFill="1" applyBorder="1" applyAlignment="1">
      <alignment horizontal="center" vertical="center" wrapText="1"/>
      <protection/>
    </xf>
    <xf numFmtId="0" fontId="19" fillId="0" borderId="28" xfId="71" applyFont="1" applyFill="1" applyBorder="1" applyAlignment="1">
      <alignment horizontal="center" vertical="center" wrapText="1"/>
      <protection/>
    </xf>
    <xf numFmtId="0" fontId="19" fillId="0" borderId="15" xfId="71" applyFont="1" applyFill="1" applyBorder="1" applyAlignment="1">
      <alignment horizontal="center" vertical="center" wrapText="1"/>
      <protection/>
    </xf>
    <xf numFmtId="49" fontId="52" fillId="0" borderId="17" xfId="71" applyNumberFormat="1" applyFont="1" applyFill="1" applyBorder="1" applyAlignment="1">
      <alignment horizontal="center" vertical="center"/>
      <protection/>
    </xf>
    <xf numFmtId="49" fontId="52" fillId="0" borderId="23" xfId="71" applyNumberFormat="1" applyFont="1" applyFill="1" applyBorder="1" applyAlignment="1">
      <alignment horizontal="center" vertical="center"/>
      <protection/>
    </xf>
    <xf numFmtId="49" fontId="52" fillId="0" borderId="17" xfId="71" applyNumberFormat="1" applyFont="1" applyFill="1" applyBorder="1" applyAlignment="1">
      <alignment horizontal="center" vertical="center"/>
      <protection/>
    </xf>
    <xf numFmtId="49" fontId="52" fillId="0" borderId="23" xfId="71" applyNumberFormat="1" applyFont="1" applyFill="1" applyBorder="1" applyAlignment="1">
      <alignment horizontal="center" vertical="center"/>
      <protection/>
    </xf>
    <xf numFmtId="0" fontId="52" fillId="0" borderId="14" xfId="71" applyFont="1" applyFill="1" applyBorder="1" applyAlignment="1">
      <alignment horizontal="left" vertical="center" wrapText="1"/>
      <protection/>
    </xf>
    <xf numFmtId="0" fontId="52" fillId="0" borderId="15" xfId="71" applyFont="1" applyFill="1" applyBorder="1" applyAlignment="1">
      <alignment horizontal="left" vertical="center" wrapText="1"/>
      <protection/>
    </xf>
    <xf numFmtId="49" fontId="52" fillId="0" borderId="22" xfId="71" applyNumberFormat="1" applyFont="1" applyFill="1" applyBorder="1" applyAlignment="1">
      <alignment horizontal="center" vertical="center"/>
      <protection/>
    </xf>
    <xf numFmtId="49" fontId="52" fillId="0" borderId="16" xfId="71" applyNumberFormat="1" applyFont="1" applyFill="1" applyBorder="1" applyAlignment="1">
      <alignment horizontal="center" vertical="center"/>
      <protection/>
    </xf>
    <xf numFmtId="49" fontId="52" fillId="0" borderId="22" xfId="71" applyNumberFormat="1" applyFont="1" applyFill="1" applyBorder="1" applyAlignment="1">
      <alignment horizontal="center" vertical="center"/>
      <protection/>
    </xf>
    <xf numFmtId="49" fontId="52" fillId="0" borderId="16" xfId="71" applyNumberFormat="1" applyFont="1" applyFill="1" applyBorder="1" applyAlignment="1">
      <alignment horizontal="center" vertical="center"/>
      <protection/>
    </xf>
    <xf numFmtId="49" fontId="52" fillId="0" borderId="22" xfId="71" applyNumberFormat="1" applyFont="1" applyFill="1" applyBorder="1" applyAlignment="1">
      <alignment horizontal="center" vertical="top"/>
      <protection/>
    </xf>
    <xf numFmtId="49" fontId="52" fillId="0" borderId="16" xfId="71" applyNumberFormat="1" applyFont="1" applyFill="1" applyBorder="1" applyAlignment="1">
      <alignment horizontal="center" vertical="top"/>
      <protection/>
    </xf>
    <xf numFmtId="49" fontId="52" fillId="0" borderId="25" xfId="71" applyNumberFormat="1" applyFont="1" applyFill="1" applyBorder="1" applyAlignment="1">
      <alignment horizontal="center" vertical="top"/>
      <protection/>
    </xf>
    <xf numFmtId="49" fontId="52" fillId="0" borderId="29" xfId="71" applyNumberFormat="1" applyFont="1" applyFill="1" applyBorder="1" applyAlignment="1">
      <alignment horizontal="center" vertical="top"/>
      <protection/>
    </xf>
    <xf numFmtId="49" fontId="52" fillId="0" borderId="14" xfId="71" applyNumberFormat="1" applyFont="1" applyFill="1" applyBorder="1" applyAlignment="1">
      <alignment horizontal="center" vertical="center"/>
      <protection/>
    </xf>
    <xf numFmtId="49" fontId="52" fillId="0" borderId="15" xfId="71" applyNumberFormat="1" applyFont="1" applyFill="1" applyBorder="1" applyAlignment="1">
      <alignment horizontal="center" vertical="center"/>
      <protection/>
    </xf>
    <xf numFmtId="0" fontId="52" fillId="0" borderId="14" xfId="71" applyFont="1" applyFill="1" applyBorder="1" applyAlignment="1">
      <alignment horizontal="left" vertical="center" wrapText="1"/>
      <protection/>
    </xf>
    <xf numFmtId="0" fontId="52" fillId="0" borderId="15" xfId="71" applyFont="1" applyFill="1" applyBorder="1" applyAlignment="1">
      <alignment horizontal="left" vertical="center" wrapText="1"/>
      <protection/>
    </xf>
    <xf numFmtId="49" fontId="52" fillId="0" borderId="17" xfId="71" applyNumberFormat="1" applyFont="1" applyFill="1" applyBorder="1" applyAlignment="1">
      <alignment horizontal="center" vertical="top"/>
      <protection/>
    </xf>
    <xf numFmtId="49" fontId="52" fillId="0" borderId="23" xfId="71" applyNumberFormat="1" applyFont="1" applyFill="1" applyBorder="1" applyAlignment="1">
      <alignment horizontal="center" vertical="top"/>
      <protection/>
    </xf>
    <xf numFmtId="49" fontId="52" fillId="0" borderId="17" xfId="71" applyNumberFormat="1" applyFont="1" applyFill="1" applyBorder="1" applyAlignment="1">
      <alignment horizontal="center" vertical="top"/>
      <protection/>
    </xf>
    <xf numFmtId="49" fontId="52" fillId="0" borderId="23" xfId="71" applyNumberFormat="1" applyFont="1" applyFill="1" applyBorder="1" applyAlignment="1">
      <alignment horizontal="center" vertical="top"/>
      <protection/>
    </xf>
    <xf numFmtId="49" fontId="52" fillId="0" borderId="14" xfId="71" applyNumberFormat="1" applyFont="1" applyFill="1" applyBorder="1" applyAlignment="1">
      <alignment horizontal="center" vertical="top"/>
      <protection/>
    </xf>
    <xf numFmtId="49" fontId="52" fillId="0" borderId="15" xfId="71" applyNumberFormat="1" applyFont="1" applyFill="1" applyBorder="1" applyAlignment="1">
      <alignment horizontal="center" vertical="top"/>
      <protection/>
    </xf>
    <xf numFmtId="0" fontId="52" fillId="0" borderId="14" xfId="71" applyFont="1" applyFill="1" applyBorder="1" applyAlignment="1">
      <alignment horizontal="left" vertical="top" wrapText="1"/>
      <protection/>
    </xf>
    <xf numFmtId="0" fontId="55" fillId="0" borderId="14" xfId="71" applyFont="1" applyFill="1" applyBorder="1" applyAlignment="1">
      <alignment horizontal="left" vertical="top" wrapText="1"/>
      <protection/>
    </xf>
    <xf numFmtId="49" fontId="52" fillId="0" borderId="14" xfId="71" applyNumberFormat="1" applyFont="1" applyFill="1" applyBorder="1" applyAlignment="1">
      <alignment horizontal="center" vertical="top"/>
      <protection/>
    </xf>
    <xf numFmtId="49" fontId="52" fillId="0" borderId="15" xfId="71" applyNumberFormat="1" applyFont="1" applyFill="1" applyBorder="1" applyAlignment="1">
      <alignment horizontal="center" vertical="top"/>
      <protection/>
    </xf>
    <xf numFmtId="49" fontId="52" fillId="0" borderId="25" xfId="71" applyNumberFormat="1" applyFont="1" applyFill="1" applyBorder="1" applyAlignment="1">
      <alignment horizontal="center" vertical="center"/>
      <protection/>
    </xf>
    <xf numFmtId="49" fontId="52" fillId="0" borderId="29" xfId="71" applyNumberFormat="1" applyFont="1" applyFill="1" applyBorder="1" applyAlignment="1">
      <alignment horizontal="center" vertical="center"/>
      <protection/>
    </xf>
    <xf numFmtId="49" fontId="52" fillId="0" borderId="25" xfId="71" applyNumberFormat="1" applyFont="1" applyFill="1" applyBorder="1" applyAlignment="1">
      <alignment horizontal="center" vertical="center"/>
      <protection/>
    </xf>
    <xf numFmtId="49" fontId="52" fillId="0" borderId="29" xfId="71" applyNumberFormat="1" applyFont="1" applyFill="1" applyBorder="1" applyAlignment="1">
      <alignment horizontal="center" vertical="center"/>
      <protection/>
    </xf>
    <xf numFmtId="49" fontId="52" fillId="0" borderId="14" xfId="71" applyNumberFormat="1" applyFont="1" applyFill="1" applyBorder="1" applyAlignment="1">
      <alignment horizontal="center" vertical="center"/>
      <protection/>
    </xf>
    <xf numFmtId="49" fontId="52" fillId="0" borderId="15" xfId="71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left" vertical="top" wrapText="1"/>
    </xf>
    <xf numFmtId="49" fontId="53" fillId="0" borderId="14" xfId="71" applyNumberFormat="1" applyFont="1" applyFill="1" applyBorder="1" applyAlignment="1">
      <alignment horizontal="left" vertical="center"/>
      <protection/>
    </xf>
    <xf numFmtId="49" fontId="53" fillId="0" borderId="28" xfId="71" applyNumberFormat="1" applyFont="1" applyFill="1" applyBorder="1" applyAlignment="1">
      <alignment horizontal="left" vertical="center"/>
      <protection/>
    </xf>
    <xf numFmtId="49" fontId="53" fillId="0" borderId="15" xfId="71" applyNumberFormat="1" applyFont="1" applyFill="1" applyBorder="1" applyAlignment="1">
      <alignment horizontal="left" vertical="center"/>
      <protection/>
    </xf>
    <xf numFmtId="49" fontId="56" fillId="0" borderId="14" xfId="71" applyNumberFormat="1" applyFont="1" applyFill="1" applyBorder="1" applyAlignment="1">
      <alignment horizontal="left" vertical="center"/>
      <protection/>
    </xf>
    <xf numFmtId="49" fontId="56" fillId="0" borderId="28" xfId="71" applyNumberFormat="1" applyFont="1" applyFill="1" applyBorder="1" applyAlignment="1">
      <alignment horizontal="left" vertical="center"/>
      <protection/>
    </xf>
    <xf numFmtId="49" fontId="56" fillId="0" borderId="15" xfId="71" applyNumberFormat="1" applyFont="1" applyFill="1" applyBorder="1" applyAlignment="1">
      <alignment horizontal="left" vertical="center"/>
      <protection/>
    </xf>
    <xf numFmtId="0" fontId="19" fillId="0" borderId="14" xfId="71" applyFont="1" applyFill="1" applyBorder="1" applyAlignment="1">
      <alignment horizontal="left" vertical="center"/>
      <protection/>
    </xf>
    <xf numFmtId="0" fontId="19" fillId="0" borderId="28" xfId="71" applyFont="1" applyFill="1" applyBorder="1" applyAlignment="1">
      <alignment horizontal="left" vertical="center"/>
      <protection/>
    </xf>
    <xf numFmtId="49" fontId="54" fillId="0" borderId="14" xfId="71" applyNumberFormat="1" applyFont="1" applyFill="1" applyBorder="1" applyAlignment="1">
      <alignment horizontal="center" vertical="center"/>
      <protection/>
    </xf>
    <xf numFmtId="49" fontId="54" fillId="0" borderId="15" xfId="71" applyNumberFormat="1" applyFont="1" applyFill="1" applyBorder="1" applyAlignment="1">
      <alignment horizontal="center" vertical="center"/>
      <protection/>
    </xf>
    <xf numFmtId="0" fontId="54" fillId="0" borderId="14" xfId="71" applyFont="1" applyFill="1" applyBorder="1" applyAlignment="1">
      <alignment horizontal="left" vertical="center" wrapText="1"/>
      <protection/>
    </xf>
    <xf numFmtId="0" fontId="54" fillId="0" borderId="15" xfId="71" applyFont="1" applyFill="1" applyBorder="1" applyAlignment="1">
      <alignment horizontal="left" vertical="center" wrapText="1"/>
      <protection/>
    </xf>
    <xf numFmtId="49" fontId="54" fillId="0" borderId="17" xfId="71" applyNumberFormat="1" applyFont="1" applyFill="1" applyBorder="1" applyAlignment="1">
      <alignment horizontal="center" vertical="center"/>
      <protection/>
    </xf>
    <xf numFmtId="49" fontId="54" fillId="0" borderId="23" xfId="71" applyNumberFormat="1" applyFont="1" applyFill="1" applyBorder="1" applyAlignment="1">
      <alignment horizontal="center" vertical="center"/>
      <protection/>
    </xf>
    <xf numFmtId="49" fontId="55" fillId="0" borderId="22" xfId="71" applyNumberFormat="1" applyFont="1" applyFill="1" applyBorder="1" applyAlignment="1">
      <alignment horizontal="center" vertical="center"/>
      <protection/>
    </xf>
    <xf numFmtId="49" fontId="55" fillId="0" borderId="16" xfId="71" applyNumberFormat="1" applyFont="1" applyFill="1" applyBorder="1" applyAlignment="1">
      <alignment horizontal="center" vertical="center"/>
      <protection/>
    </xf>
    <xf numFmtId="49" fontId="55" fillId="0" borderId="22" xfId="71" applyNumberFormat="1" applyFont="1" applyFill="1" applyBorder="1" applyAlignment="1">
      <alignment horizontal="center" vertical="center"/>
      <protection/>
    </xf>
    <xf numFmtId="49" fontId="55" fillId="0" borderId="16" xfId="71" applyNumberFormat="1" applyFont="1" applyFill="1" applyBorder="1" applyAlignment="1">
      <alignment horizontal="center" vertical="center"/>
      <protection/>
    </xf>
    <xf numFmtId="0" fontId="55" fillId="0" borderId="14" xfId="71" applyFont="1" applyFill="1" applyBorder="1" applyAlignment="1">
      <alignment horizontal="left" vertical="center" wrapText="1"/>
      <protection/>
    </xf>
    <xf numFmtId="0" fontId="55" fillId="0" borderId="15" xfId="71" applyFont="1" applyFill="1" applyBorder="1" applyAlignment="1">
      <alignment horizontal="left" vertical="center" wrapText="1"/>
      <protection/>
    </xf>
    <xf numFmtId="49" fontId="55" fillId="0" borderId="25" xfId="71" applyNumberFormat="1" applyFont="1" applyFill="1" applyBorder="1" applyAlignment="1">
      <alignment horizontal="center" vertical="center"/>
      <protection/>
    </xf>
    <xf numFmtId="49" fontId="55" fillId="0" borderId="29" xfId="71" applyNumberFormat="1" applyFont="1" applyFill="1" applyBorder="1" applyAlignment="1">
      <alignment horizontal="center" vertical="center"/>
      <protection/>
    </xf>
    <xf numFmtId="49" fontId="55" fillId="0" borderId="25" xfId="71" applyNumberFormat="1" applyFont="1" applyFill="1" applyBorder="1" applyAlignment="1">
      <alignment horizontal="center" vertical="center"/>
      <protection/>
    </xf>
    <xf numFmtId="49" fontId="55" fillId="0" borderId="29" xfId="71" applyNumberFormat="1" applyFont="1" applyFill="1" applyBorder="1" applyAlignment="1">
      <alignment horizontal="center" vertical="center"/>
      <protection/>
    </xf>
    <xf numFmtId="3" fontId="36" fillId="0" borderId="13" xfId="71" applyNumberFormat="1" applyFont="1" applyFill="1" applyBorder="1" applyAlignment="1">
      <alignment horizontal="center" vertical="top" wrapText="1"/>
      <protection/>
    </xf>
    <xf numFmtId="3" fontId="36" fillId="0" borderId="10" xfId="71" applyNumberFormat="1" applyFont="1" applyFill="1" applyBorder="1" applyAlignment="1">
      <alignment horizontal="center" vertical="top" wrapText="1"/>
      <protection/>
    </xf>
    <xf numFmtId="0" fontId="27" fillId="0" borderId="14" xfId="71" applyFont="1" applyFill="1" applyBorder="1" applyAlignment="1">
      <alignment horizontal="center" vertical="center"/>
      <protection/>
    </xf>
    <xf numFmtId="0" fontId="27" fillId="0" borderId="15" xfId="73" applyFont="1" applyFill="1" applyBorder="1" applyAlignment="1">
      <alignment horizontal="center" vertical="center"/>
      <protection/>
    </xf>
    <xf numFmtId="0" fontId="51" fillId="0" borderId="14" xfId="71" applyFont="1" applyFill="1" applyBorder="1" applyAlignment="1">
      <alignment horizontal="center" vertical="center" wrapText="1"/>
      <protection/>
    </xf>
    <xf numFmtId="0" fontId="51" fillId="0" borderId="28" xfId="71" applyFont="1" applyFill="1" applyBorder="1" applyAlignment="1">
      <alignment horizontal="center" vertical="center" wrapText="1"/>
      <protection/>
    </xf>
    <xf numFmtId="0" fontId="51" fillId="0" borderId="15" xfId="71" applyFont="1" applyFill="1" applyBorder="1" applyAlignment="1">
      <alignment horizontal="center" vertical="center" wrapText="1"/>
      <protection/>
    </xf>
    <xf numFmtId="3" fontId="13" fillId="0" borderId="0" xfId="71" applyNumberFormat="1" applyFont="1" applyFill="1" applyAlignment="1">
      <alignment horizontal="left" vertical="center"/>
      <protection/>
    </xf>
    <xf numFmtId="0" fontId="18" fillId="0" borderId="0" xfId="71" applyNumberFormat="1" applyFont="1" applyFill="1" applyAlignment="1">
      <alignment horizontal="center" vertical="center"/>
      <protection/>
    </xf>
    <xf numFmtId="0" fontId="36" fillId="0" borderId="17" xfId="71" applyFont="1" applyFill="1" applyBorder="1" applyAlignment="1">
      <alignment horizontal="center" vertical="top" wrapText="1"/>
      <protection/>
    </xf>
    <xf numFmtId="0" fontId="36" fillId="0" borderId="23" xfId="71" applyFont="1" applyFill="1" applyBorder="1" applyAlignment="1">
      <alignment horizontal="center" vertical="top" wrapText="1"/>
      <protection/>
    </xf>
    <xf numFmtId="0" fontId="36" fillId="0" borderId="22" xfId="71" applyFont="1" applyFill="1" applyBorder="1" applyAlignment="1">
      <alignment horizontal="center" vertical="top" wrapText="1"/>
      <protection/>
    </xf>
    <xf numFmtId="0" fontId="36" fillId="0" borderId="16" xfId="71" applyFont="1" applyFill="1" applyBorder="1" applyAlignment="1">
      <alignment horizontal="center" vertical="top" wrapText="1"/>
      <protection/>
    </xf>
    <xf numFmtId="0" fontId="36" fillId="0" borderId="25" xfId="71" applyFont="1" applyFill="1" applyBorder="1" applyAlignment="1">
      <alignment horizontal="center" vertical="top" wrapText="1"/>
      <protection/>
    </xf>
    <xf numFmtId="0" fontId="36" fillId="0" borderId="29" xfId="71" applyFont="1" applyFill="1" applyBorder="1" applyAlignment="1">
      <alignment horizontal="center" vertical="top" wrapText="1"/>
      <protection/>
    </xf>
    <xf numFmtId="0" fontId="2" fillId="0" borderId="23" xfId="73" applyFill="1" applyBorder="1" applyAlignment="1">
      <alignment vertical="top"/>
      <protection/>
    </xf>
    <xf numFmtId="0" fontId="2" fillId="0" borderId="22" xfId="73" applyFill="1" applyBorder="1" applyAlignment="1">
      <alignment vertical="top"/>
      <protection/>
    </xf>
    <xf numFmtId="0" fontId="2" fillId="0" borderId="16" xfId="73" applyFill="1" applyBorder="1" applyAlignment="1">
      <alignment vertical="top"/>
      <protection/>
    </xf>
    <xf numFmtId="0" fontId="31" fillId="0" borderId="13" xfId="73" applyFont="1" applyFill="1" applyBorder="1" applyAlignment="1">
      <alignment horizontal="center" vertical="top"/>
      <protection/>
    </xf>
    <xf numFmtId="0" fontId="31" fillId="0" borderId="12" xfId="73" applyFont="1" applyFill="1" applyBorder="1" applyAlignment="1">
      <alignment horizontal="center" vertical="top"/>
      <protection/>
    </xf>
    <xf numFmtId="0" fontId="31" fillId="0" borderId="10" xfId="73" applyFont="1" applyFill="1" applyBorder="1" applyAlignment="1">
      <alignment horizontal="center" vertical="top"/>
      <protection/>
    </xf>
    <xf numFmtId="3" fontId="36" fillId="0" borderId="14" xfId="71" applyNumberFormat="1" applyFont="1" applyFill="1" applyBorder="1" applyAlignment="1">
      <alignment horizontal="center" vertical="top" wrapText="1"/>
      <protection/>
    </xf>
    <xf numFmtId="3" fontId="36" fillId="0" borderId="28" xfId="71" applyNumberFormat="1" applyFont="1" applyFill="1" applyBorder="1" applyAlignment="1">
      <alignment horizontal="center" vertical="top" wrapText="1"/>
      <protection/>
    </xf>
    <xf numFmtId="3" fontId="36" fillId="0" borderId="15" xfId="71" applyNumberFormat="1" applyFont="1" applyFill="1" applyBorder="1" applyAlignment="1">
      <alignment horizontal="center" vertical="top" wrapText="1"/>
      <protection/>
    </xf>
    <xf numFmtId="49" fontId="21" fillId="0" borderId="17" xfId="0" applyNumberFormat="1" applyFont="1" applyFill="1" applyBorder="1" applyAlignment="1">
      <alignment horizontal="left" vertical="center" wrapText="1"/>
    </xf>
    <xf numFmtId="49" fontId="21" fillId="0" borderId="23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21" fillId="0" borderId="22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wrapText="1"/>
    </xf>
    <xf numFmtId="49" fontId="21" fillId="0" borderId="23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49" fontId="21" fillId="0" borderId="17" xfId="0" applyNumberFormat="1" applyFont="1" applyFill="1" applyBorder="1" applyAlignment="1">
      <alignment vertical="center" wrapText="1"/>
    </xf>
    <xf numFmtId="49" fontId="21" fillId="0" borderId="2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71" applyFont="1" applyBorder="1" applyAlignment="1">
      <alignment horizontal="center" vertical="top"/>
      <protection/>
    </xf>
    <xf numFmtId="0" fontId="14" fillId="0" borderId="10" xfId="71" applyFont="1" applyBorder="1" applyAlignment="1">
      <alignment horizontal="center" vertical="top"/>
      <protection/>
    </xf>
    <xf numFmtId="0" fontId="14" fillId="0" borderId="14" xfId="71" applyFont="1" applyBorder="1" applyAlignment="1">
      <alignment horizontal="center" vertical="top" wrapText="1"/>
      <protection/>
    </xf>
    <xf numFmtId="0" fontId="14" fillId="0" borderId="15" xfId="71" applyFont="1" applyBorder="1" applyAlignment="1">
      <alignment horizontal="center" vertical="top" wrapText="1"/>
      <protection/>
    </xf>
    <xf numFmtId="3" fontId="14" fillId="0" borderId="13" xfId="71" applyNumberFormat="1" applyFont="1" applyBorder="1" applyAlignment="1">
      <alignment horizontal="center" vertical="top" wrapText="1"/>
      <protection/>
    </xf>
    <xf numFmtId="3" fontId="14" fillId="0" borderId="10" xfId="71" applyNumberFormat="1" applyFont="1" applyBorder="1" applyAlignment="1">
      <alignment horizontal="center" vertical="top" wrapText="1"/>
      <protection/>
    </xf>
    <xf numFmtId="0" fontId="14" fillId="0" borderId="13" xfId="71" applyFont="1" applyBorder="1" applyAlignment="1">
      <alignment horizontal="center" vertical="top" wrapText="1"/>
      <protection/>
    </xf>
    <xf numFmtId="0" fontId="14" fillId="0" borderId="10" xfId="71" applyFont="1" applyBorder="1" applyAlignment="1">
      <alignment horizontal="center" vertical="top" wrapText="1"/>
      <protection/>
    </xf>
    <xf numFmtId="0" fontId="18" fillId="0" borderId="14" xfId="71" applyFont="1" applyBorder="1" applyAlignment="1">
      <alignment horizontal="center" vertical="center" wrapText="1"/>
      <protection/>
    </xf>
    <xf numFmtId="0" fontId="18" fillId="0" borderId="28" xfId="71" applyFont="1" applyBorder="1" applyAlignment="1">
      <alignment horizontal="center" vertical="center" wrapText="1"/>
      <protection/>
    </xf>
    <xf numFmtId="0" fontId="18" fillId="0" borderId="15" xfId="71" applyFont="1" applyBorder="1" applyAlignment="1">
      <alignment horizontal="center" vertical="center" wrapText="1"/>
      <protection/>
    </xf>
    <xf numFmtId="3" fontId="13" fillId="0" borderId="0" xfId="71" applyNumberFormat="1" applyFont="1" applyAlignment="1">
      <alignment horizontal="left"/>
      <protection/>
    </xf>
    <xf numFmtId="3" fontId="13" fillId="0" borderId="0" xfId="71" applyNumberFormat="1" applyFont="1" applyAlignment="1">
      <alignment horizontal="left" wrapText="1"/>
      <protection/>
    </xf>
    <xf numFmtId="0" fontId="9" fillId="0" borderId="0" xfId="71" applyNumberFormat="1" applyFont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 wrapText="1"/>
      <protection/>
    </xf>
    <xf numFmtId="0" fontId="18" fillId="0" borderId="28" xfId="71" applyFont="1" applyFill="1" applyBorder="1" applyAlignment="1">
      <alignment horizontal="center" vertical="center" wrapText="1"/>
      <protection/>
    </xf>
    <xf numFmtId="0" fontId="18" fillId="0" borderId="15" xfId="71" applyFont="1" applyFill="1" applyBorder="1" applyAlignment="1">
      <alignment horizontal="center" vertical="center" wrapText="1"/>
      <protection/>
    </xf>
    <xf numFmtId="3" fontId="13" fillId="0" borderId="0" xfId="71" applyNumberFormat="1" applyFont="1" applyFill="1" applyAlignment="1">
      <alignment horizontal="left" wrapText="1"/>
      <protection/>
    </xf>
    <xf numFmtId="0" fontId="9" fillId="0" borderId="0" xfId="71" applyNumberFormat="1" applyFont="1" applyFill="1" applyAlignment="1">
      <alignment horizontal="center" vertical="center"/>
      <protection/>
    </xf>
    <xf numFmtId="0" fontId="14" fillId="0" borderId="13" xfId="71" applyFont="1" applyFill="1" applyBorder="1" applyAlignment="1">
      <alignment horizontal="center" vertical="top"/>
      <protection/>
    </xf>
    <xf numFmtId="0" fontId="14" fillId="0" borderId="10" xfId="71" applyFont="1" applyFill="1" applyBorder="1" applyAlignment="1">
      <alignment horizontal="center" vertical="top"/>
      <protection/>
    </xf>
    <xf numFmtId="0" fontId="14" fillId="0" borderId="14" xfId="71" applyFont="1" applyFill="1" applyBorder="1" applyAlignment="1">
      <alignment horizontal="center" vertical="top" wrapText="1"/>
      <protection/>
    </xf>
    <xf numFmtId="0" fontId="14" fillId="0" borderId="15" xfId="71" applyFont="1" applyFill="1" applyBorder="1" applyAlignment="1">
      <alignment horizontal="center" vertical="top" wrapText="1"/>
      <protection/>
    </xf>
    <xf numFmtId="3" fontId="14" fillId="0" borderId="13" xfId="71" applyNumberFormat="1" applyFont="1" applyFill="1" applyBorder="1" applyAlignment="1">
      <alignment horizontal="center" vertical="top" wrapText="1"/>
      <protection/>
    </xf>
    <xf numFmtId="3" fontId="14" fillId="0" borderId="10" xfId="71" applyNumberFormat="1" applyFont="1" applyFill="1" applyBorder="1" applyAlignment="1">
      <alignment horizontal="center" vertical="top" wrapText="1"/>
      <protection/>
    </xf>
    <xf numFmtId="0" fontId="14" fillId="0" borderId="13" xfId="71" applyFont="1" applyFill="1" applyBorder="1" applyAlignment="1">
      <alignment horizontal="center" vertical="top" wrapText="1"/>
      <protection/>
    </xf>
    <xf numFmtId="0" fontId="14" fillId="0" borderId="10" xfId="71" applyFont="1" applyFill="1" applyBorder="1" applyAlignment="1">
      <alignment horizontal="center" vertical="top" wrapText="1"/>
      <protection/>
    </xf>
    <xf numFmtId="0" fontId="33" fillId="0" borderId="0" xfId="65" applyFont="1" applyAlignment="1">
      <alignment horizontal="center"/>
      <protection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_IZ 2011" xfId="64"/>
    <cellStyle name="Normalny_RDW 2014" xfId="65"/>
    <cellStyle name="Normalny_RPO 2011" xfId="66"/>
    <cellStyle name="Normalny_Załącznik  nr 7  RPO na 2010" xfId="67"/>
    <cellStyle name="Normalny_załącznik nr 1" xfId="68"/>
    <cellStyle name="Normalny_Załącznik nr 3  do proj. budżetu na 2006r._Zał. Nr 3 i Nr 21 do proj.budż.po Autopoprawce" xfId="69"/>
    <cellStyle name="Normalny_Załącznik nr 9  PROW na 2010" xfId="70"/>
    <cellStyle name="Normalny_Załączniki do  budżetu na 2005 r" xfId="71"/>
    <cellStyle name="Normalny_Załączniki do budżetu na 2006 r._Zał. Nr 3 i Nr 21 do proj.budż.po Autopoprawce" xfId="72"/>
    <cellStyle name="Normalny_Załączniki do projektu budżetu na 2009 r." xfId="73"/>
    <cellStyle name="Obliczenia" xfId="74"/>
    <cellStyle name="Followed Hyperlink" xfId="75"/>
    <cellStyle name="Percent" xfId="76"/>
    <cellStyle name="Procentowy 2" xfId="77"/>
    <cellStyle name="Styl 1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zoomScalePageLayoutView="0" workbookViewId="0" topLeftCell="A1">
      <selection activeCell="B21" sqref="B21"/>
    </sheetView>
  </sheetViews>
  <sheetFormatPr defaultColWidth="8" defaultRowHeight="14.25"/>
  <cols>
    <col min="1" max="1" width="5" style="704" customWidth="1"/>
    <col min="2" max="2" width="27.59765625" style="705" customWidth="1"/>
    <col min="3" max="3" width="12.8984375" style="706" customWidth="1"/>
    <col min="4" max="6" width="11.3984375" style="620" customWidth="1"/>
    <col min="7" max="8" width="11.09765625" style="620" customWidth="1"/>
    <col min="9" max="10" width="10.8984375" style="620" customWidth="1"/>
    <col min="11" max="13" width="11.3984375" style="620" customWidth="1"/>
    <col min="14" max="14" width="11.09765625" style="620" customWidth="1"/>
    <col min="15" max="16" width="11.3984375" style="620" customWidth="1"/>
    <col min="17" max="18" width="8" style="620" customWidth="1"/>
    <col min="19" max="16384" width="8" style="620" customWidth="1"/>
  </cols>
  <sheetData>
    <row r="1" spans="1:16" ht="12.75">
      <c r="A1" s="616"/>
      <c r="B1" s="617"/>
      <c r="C1" s="618"/>
      <c r="D1" s="619"/>
      <c r="E1" s="619"/>
      <c r="F1" s="619"/>
      <c r="G1" s="619"/>
      <c r="H1" s="619"/>
      <c r="I1" s="619"/>
      <c r="J1" s="619"/>
      <c r="K1" s="619"/>
      <c r="L1" s="619"/>
      <c r="N1" s="619" t="s">
        <v>415</v>
      </c>
      <c r="O1" s="619"/>
      <c r="P1" s="619"/>
    </row>
    <row r="2" spans="1:16" ht="12.75">
      <c r="A2" s="616"/>
      <c r="B2" s="617"/>
      <c r="C2" s="618"/>
      <c r="D2" s="619"/>
      <c r="E2" s="619"/>
      <c r="F2" s="619"/>
      <c r="G2" s="619"/>
      <c r="H2" s="619"/>
      <c r="I2" s="619"/>
      <c r="J2" s="619"/>
      <c r="K2" s="619"/>
      <c r="L2" s="619"/>
      <c r="N2" s="619" t="s">
        <v>416</v>
      </c>
      <c r="O2" s="619"/>
      <c r="P2" s="619"/>
    </row>
    <row r="3" spans="1:16" ht="12.75">
      <c r="A3" s="616"/>
      <c r="B3" s="617"/>
      <c r="C3" s="618"/>
      <c r="D3" s="619"/>
      <c r="E3" s="619"/>
      <c r="F3" s="619"/>
      <c r="G3" s="619"/>
      <c r="H3" s="619"/>
      <c r="I3" s="619"/>
      <c r="J3" s="619"/>
      <c r="K3" s="619"/>
      <c r="L3" s="619"/>
      <c r="N3" s="619" t="s">
        <v>417</v>
      </c>
      <c r="O3" s="619"/>
      <c r="P3" s="619"/>
    </row>
    <row r="4" spans="1:16" ht="21.75" customHeight="1">
      <c r="A4" s="830" t="s">
        <v>418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</row>
    <row r="5" spans="1:16" ht="18" customHeight="1">
      <c r="A5" s="830" t="s">
        <v>351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</row>
    <row r="6" spans="1:16" ht="12.75">
      <c r="A6" s="616"/>
      <c r="B6" s="617"/>
      <c r="C6" s="618"/>
      <c r="D6" s="619"/>
      <c r="E6" s="619"/>
      <c r="F6" s="621"/>
      <c r="G6" s="621"/>
      <c r="H6" s="621"/>
      <c r="I6" s="621"/>
      <c r="J6" s="621"/>
      <c r="K6" s="621"/>
      <c r="L6" s="621"/>
      <c r="M6" s="619"/>
      <c r="N6" s="619"/>
      <c r="O6" s="622"/>
      <c r="P6" s="622" t="s">
        <v>17</v>
      </c>
    </row>
    <row r="7" spans="1:16" s="623" customFormat="1" ht="18.75" customHeight="1">
      <c r="A7" s="831" t="s">
        <v>18</v>
      </c>
      <c r="B7" s="834" t="s">
        <v>19</v>
      </c>
      <c r="C7" s="824" t="s">
        <v>20</v>
      </c>
      <c r="D7" s="839" t="s">
        <v>419</v>
      </c>
      <c r="E7" s="820" t="s">
        <v>420</v>
      </c>
      <c r="F7" s="828" t="s">
        <v>421</v>
      </c>
      <c r="G7" s="828"/>
      <c r="H7" s="828"/>
      <c r="I7" s="828"/>
      <c r="J7" s="828"/>
      <c r="K7" s="828"/>
      <c r="L7" s="828"/>
      <c r="M7" s="828"/>
      <c r="N7" s="828"/>
      <c r="O7" s="828"/>
      <c r="P7" s="828"/>
    </row>
    <row r="8" spans="1:16" s="623" customFormat="1" ht="19.5" customHeight="1">
      <c r="A8" s="832"/>
      <c r="B8" s="835"/>
      <c r="C8" s="837"/>
      <c r="D8" s="840"/>
      <c r="E8" s="841"/>
      <c r="F8" s="828" t="s">
        <v>422</v>
      </c>
      <c r="G8" s="829"/>
      <c r="H8" s="829"/>
      <c r="I8" s="829"/>
      <c r="J8" s="829"/>
      <c r="K8" s="829"/>
      <c r="L8" s="829"/>
      <c r="M8" s="828" t="s">
        <v>423</v>
      </c>
      <c r="N8" s="828"/>
      <c r="O8" s="828"/>
      <c r="P8" s="828"/>
    </row>
    <row r="9" spans="1:16" s="623" customFormat="1" ht="29.25" customHeight="1">
      <c r="A9" s="832"/>
      <c r="B9" s="835"/>
      <c r="C9" s="837"/>
      <c r="D9" s="840"/>
      <c r="E9" s="841"/>
      <c r="F9" s="824" t="s">
        <v>424</v>
      </c>
      <c r="G9" s="826" t="s">
        <v>425</v>
      </c>
      <c r="H9" s="827"/>
      <c r="I9" s="820" t="s">
        <v>426</v>
      </c>
      <c r="J9" s="820" t="s">
        <v>427</v>
      </c>
      <c r="K9" s="820" t="s">
        <v>428</v>
      </c>
      <c r="L9" s="820" t="s">
        <v>429</v>
      </c>
      <c r="M9" s="820" t="s">
        <v>430</v>
      </c>
      <c r="N9" s="820" t="s">
        <v>426</v>
      </c>
      <c r="O9" s="839" t="s">
        <v>427</v>
      </c>
      <c r="P9" s="820" t="s">
        <v>429</v>
      </c>
    </row>
    <row r="10" spans="1:16" s="623" customFormat="1" ht="42" customHeight="1">
      <c r="A10" s="833"/>
      <c r="B10" s="836"/>
      <c r="C10" s="838"/>
      <c r="D10" s="825"/>
      <c r="E10" s="821"/>
      <c r="F10" s="825"/>
      <c r="G10" s="624" t="s">
        <v>431</v>
      </c>
      <c r="H10" s="625" t="s">
        <v>432</v>
      </c>
      <c r="I10" s="821"/>
      <c r="J10" s="821"/>
      <c r="K10" s="821"/>
      <c r="L10" s="821"/>
      <c r="M10" s="821"/>
      <c r="N10" s="821"/>
      <c r="O10" s="825"/>
      <c r="P10" s="821"/>
    </row>
    <row r="11" spans="1:16" s="630" customFormat="1" ht="12" customHeight="1">
      <c r="A11" s="626" t="s">
        <v>21</v>
      </c>
      <c r="B11" s="627" t="s">
        <v>22</v>
      </c>
      <c r="C11" s="626" t="s">
        <v>23</v>
      </c>
      <c r="D11" s="626" t="s">
        <v>6</v>
      </c>
      <c r="E11" s="626" t="s">
        <v>11</v>
      </c>
      <c r="F11" s="628" t="s">
        <v>12</v>
      </c>
      <c r="G11" s="626" t="s">
        <v>13</v>
      </c>
      <c r="H11" s="629" t="s">
        <v>14</v>
      </c>
      <c r="I11" s="626" t="s">
        <v>15</v>
      </c>
      <c r="J11" s="626" t="s">
        <v>16</v>
      </c>
      <c r="K11" s="626" t="s">
        <v>0</v>
      </c>
      <c r="L11" s="626" t="s">
        <v>1</v>
      </c>
      <c r="M11" s="626" t="s">
        <v>2</v>
      </c>
      <c r="N11" s="626" t="s">
        <v>3</v>
      </c>
      <c r="O11" s="628" t="s">
        <v>103</v>
      </c>
      <c r="P11" s="626" t="s">
        <v>104</v>
      </c>
    </row>
    <row r="12" spans="1:16" s="636" customFormat="1" ht="7.5" customHeight="1">
      <c r="A12" s="631"/>
      <c r="B12" s="632"/>
      <c r="C12" s="633"/>
      <c r="D12" s="634"/>
      <c r="E12" s="634"/>
      <c r="F12" s="634"/>
      <c r="G12" s="635"/>
      <c r="H12" s="634"/>
      <c r="I12" s="634"/>
      <c r="J12" s="634"/>
      <c r="K12" s="634"/>
      <c r="L12" s="634"/>
      <c r="M12" s="634"/>
      <c r="N12" s="634"/>
      <c r="O12" s="634"/>
      <c r="P12" s="635"/>
    </row>
    <row r="13" spans="1:19" s="642" customFormat="1" ht="19.5" customHeight="1">
      <c r="A13" s="637"/>
      <c r="B13" s="638" t="s">
        <v>433</v>
      </c>
      <c r="C13" s="639">
        <f aca="true" t="shared" si="0" ref="C13:O13">SUM(C15:C35)</f>
        <v>843937081</v>
      </c>
      <c r="D13" s="639">
        <f t="shared" si="0"/>
        <v>618905129</v>
      </c>
      <c r="E13" s="639">
        <f t="shared" si="0"/>
        <v>20525430</v>
      </c>
      <c r="F13" s="640">
        <f t="shared" si="0"/>
        <v>61463905</v>
      </c>
      <c r="G13" s="639">
        <f t="shared" si="0"/>
        <v>43809683</v>
      </c>
      <c r="H13" s="641">
        <f t="shared" si="0"/>
        <v>28636971</v>
      </c>
      <c r="I13" s="639">
        <f t="shared" si="0"/>
        <v>605750</v>
      </c>
      <c r="J13" s="639">
        <f t="shared" si="0"/>
        <v>695954</v>
      </c>
      <c r="K13" s="639">
        <f t="shared" si="0"/>
        <v>1487257</v>
      </c>
      <c r="L13" s="639">
        <f t="shared" si="0"/>
        <v>445</v>
      </c>
      <c r="M13" s="639">
        <f t="shared" si="0"/>
        <v>43053000</v>
      </c>
      <c r="N13" s="639">
        <f t="shared" si="0"/>
        <v>8165393</v>
      </c>
      <c r="O13" s="640">
        <f t="shared" si="0"/>
        <v>10120366</v>
      </c>
      <c r="P13" s="639">
        <f>SUM(P15:P35)</f>
        <v>6467798</v>
      </c>
      <c r="S13" s="643"/>
    </row>
    <row r="14" spans="1:19" s="651" customFormat="1" ht="8.25" customHeight="1">
      <c r="A14" s="644"/>
      <c r="B14" s="645"/>
      <c r="C14" s="646"/>
      <c r="D14" s="647"/>
      <c r="E14" s="648"/>
      <c r="F14" s="648"/>
      <c r="G14" s="649"/>
      <c r="H14" s="648"/>
      <c r="I14" s="648"/>
      <c r="J14" s="650"/>
      <c r="K14" s="648"/>
      <c r="L14" s="648"/>
      <c r="M14" s="648"/>
      <c r="N14" s="648"/>
      <c r="O14" s="648"/>
      <c r="P14" s="649"/>
      <c r="S14" s="652"/>
    </row>
    <row r="15" spans="1:19" s="660" customFormat="1" ht="21" customHeight="1">
      <c r="A15" s="653" t="s">
        <v>24</v>
      </c>
      <c r="B15" s="654" t="s">
        <v>434</v>
      </c>
      <c r="C15" s="655">
        <f>SUM(D15:P15)</f>
        <v>12160500</v>
      </c>
      <c r="D15" s="656">
        <v>0</v>
      </c>
      <c r="E15" s="656">
        <f>6500000+50000+10500</f>
        <v>6560500</v>
      </c>
      <c r="F15" s="657">
        <v>0</v>
      </c>
      <c r="G15" s="656">
        <f>369000+3195000</f>
        <v>3564000</v>
      </c>
      <c r="H15" s="658">
        <f>211000+1825000</f>
        <v>2036000</v>
      </c>
      <c r="I15" s="656">
        <v>0</v>
      </c>
      <c r="J15" s="659">
        <v>0</v>
      </c>
      <c r="K15" s="657">
        <v>0</v>
      </c>
      <c r="L15" s="657">
        <v>0</v>
      </c>
      <c r="M15" s="656">
        <v>0</v>
      </c>
      <c r="N15" s="656">
        <v>0</v>
      </c>
      <c r="O15" s="658">
        <v>0</v>
      </c>
      <c r="P15" s="656">
        <v>0</v>
      </c>
      <c r="S15" s="661"/>
    </row>
    <row r="16" spans="1:19" s="660" customFormat="1" ht="21" customHeight="1">
      <c r="A16" s="653" t="s">
        <v>25</v>
      </c>
      <c r="B16" s="654" t="s">
        <v>26</v>
      </c>
      <c r="C16" s="662">
        <f aca="true" t="shared" si="1" ref="C16:C35">SUM(D16:P16)</f>
        <v>441000</v>
      </c>
      <c r="D16" s="656">
        <v>0</v>
      </c>
      <c r="E16" s="656">
        <v>0</v>
      </c>
      <c r="F16" s="658">
        <v>0</v>
      </c>
      <c r="G16" s="656">
        <f>285000</f>
        <v>285000</v>
      </c>
      <c r="H16" s="658">
        <v>95000</v>
      </c>
      <c r="I16" s="656">
        <v>0</v>
      </c>
      <c r="J16" s="659">
        <v>0</v>
      </c>
      <c r="K16" s="657">
        <v>0</v>
      </c>
      <c r="L16" s="657">
        <v>0</v>
      </c>
      <c r="M16" s="656">
        <v>61000</v>
      </c>
      <c r="N16" s="656">
        <v>0</v>
      </c>
      <c r="O16" s="658">
        <v>0</v>
      </c>
      <c r="P16" s="656">
        <v>0</v>
      </c>
      <c r="S16" s="661"/>
    </row>
    <row r="17" spans="1:19" s="660" customFormat="1" ht="21" customHeight="1">
      <c r="A17" s="653" t="s">
        <v>91</v>
      </c>
      <c r="B17" s="654" t="s">
        <v>92</v>
      </c>
      <c r="C17" s="662">
        <f t="shared" si="1"/>
        <v>6658145</v>
      </c>
      <c r="D17" s="656">
        <v>0</v>
      </c>
      <c r="E17" s="656">
        <v>0</v>
      </c>
      <c r="F17" s="658">
        <v>0</v>
      </c>
      <c r="G17" s="656">
        <v>0</v>
      </c>
      <c r="H17" s="658">
        <v>0</v>
      </c>
      <c r="I17" s="656">
        <v>0</v>
      </c>
      <c r="J17" s="659">
        <v>0</v>
      </c>
      <c r="K17" s="656">
        <f>190347</f>
        <v>190347</v>
      </c>
      <c r="L17" s="656">
        <v>0</v>
      </c>
      <c r="M17" s="656">
        <v>0</v>
      </c>
      <c r="N17" s="656">
        <v>0</v>
      </c>
      <c r="O17" s="658">
        <v>0</v>
      </c>
      <c r="P17" s="656">
        <v>6467798</v>
      </c>
      <c r="S17" s="661"/>
    </row>
    <row r="18" spans="1:19" s="668" customFormat="1" ht="21" customHeight="1">
      <c r="A18" s="663" t="s">
        <v>27</v>
      </c>
      <c r="B18" s="664" t="s">
        <v>28</v>
      </c>
      <c r="C18" s="662">
        <f t="shared" si="1"/>
        <v>57167591</v>
      </c>
      <c r="D18" s="665">
        <v>0</v>
      </c>
      <c r="E18" s="665">
        <f>2202775+2500+800+4550000+40700+8000+2157+23300+231700+5000</f>
        <v>7066932</v>
      </c>
      <c r="F18" s="666">
        <v>0</v>
      </c>
      <c r="G18" s="665">
        <v>0</v>
      </c>
      <c r="H18" s="667">
        <v>0</v>
      </c>
      <c r="I18" s="665">
        <v>0</v>
      </c>
      <c r="J18" s="667">
        <v>0</v>
      </c>
      <c r="K18" s="665">
        <f>170293</f>
        <v>170293</v>
      </c>
      <c r="L18" s="665">
        <v>0</v>
      </c>
      <c r="M18" s="665">
        <f>37000000+248000</f>
        <v>37248000</v>
      </c>
      <c r="N18" s="665">
        <f>2720000</f>
        <v>2720000</v>
      </c>
      <c r="O18" s="666">
        <v>9962366</v>
      </c>
      <c r="P18" s="665">
        <v>0</v>
      </c>
      <c r="S18" s="669"/>
    </row>
    <row r="19" spans="1:19" s="668" customFormat="1" ht="21" customHeight="1">
      <c r="A19" s="663" t="s">
        <v>97</v>
      </c>
      <c r="B19" s="664" t="s">
        <v>98</v>
      </c>
      <c r="C19" s="662">
        <f t="shared" si="1"/>
        <v>848495</v>
      </c>
      <c r="D19" s="665">
        <v>0</v>
      </c>
      <c r="E19" s="665">
        <v>450</v>
      </c>
      <c r="F19" s="666">
        <v>0</v>
      </c>
      <c r="G19" s="665">
        <v>0</v>
      </c>
      <c r="H19" s="667">
        <v>0</v>
      </c>
      <c r="I19" s="665">
        <v>0</v>
      </c>
      <c r="J19" s="667">
        <v>0</v>
      </c>
      <c r="K19" s="665">
        <f>670045</f>
        <v>670045</v>
      </c>
      <c r="L19" s="665">
        <v>0</v>
      </c>
      <c r="M19" s="665">
        <v>178000</v>
      </c>
      <c r="N19" s="665">
        <v>0</v>
      </c>
      <c r="O19" s="666">
        <v>0</v>
      </c>
      <c r="P19" s="665">
        <v>0</v>
      </c>
      <c r="S19" s="669"/>
    </row>
    <row r="20" spans="1:19" s="618" customFormat="1" ht="21" customHeight="1">
      <c r="A20" s="663" t="s">
        <v>29</v>
      </c>
      <c r="B20" s="664" t="s">
        <v>30</v>
      </c>
      <c r="C20" s="662">
        <f t="shared" si="1"/>
        <v>860000</v>
      </c>
      <c r="D20" s="665">
        <v>0</v>
      </c>
      <c r="E20" s="665">
        <f>215000+95000+550000</f>
        <v>860000</v>
      </c>
      <c r="F20" s="666">
        <v>0</v>
      </c>
      <c r="G20" s="665">
        <v>0</v>
      </c>
      <c r="H20" s="667">
        <v>0</v>
      </c>
      <c r="I20" s="665">
        <v>0</v>
      </c>
      <c r="J20" s="667">
        <v>0</v>
      </c>
      <c r="K20" s="665">
        <v>0</v>
      </c>
      <c r="L20" s="665">
        <v>0</v>
      </c>
      <c r="M20" s="665">
        <v>0</v>
      </c>
      <c r="N20" s="665">
        <v>0</v>
      </c>
      <c r="O20" s="666">
        <v>0</v>
      </c>
      <c r="P20" s="665">
        <v>0</v>
      </c>
      <c r="S20" s="670"/>
    </row>
    <row r="21" spans="1:19" s="618" customFormat="1" ht="21" customHeight="1">
      <c r="A21" s="663" t="s">
        <v>31</v>
      </c>
      <c r="B21" s="664" t="s">
        <v>32</v>
      </c>
      <c r="C21" s="662">
        <f t="shared" si="1"/>
        <v>380050</v>
      </c>
      <c r="D21" s="665">
        <v>0</v>
      </c>
      <c r="E21" s="665">
        <f>2700+1350+20000</f>
        <v>24050</v>
      </c>
      <c r="F21" s="666">
        <v>0</v>
      </c>
      <c r="G21" s="665">
        <v>0</v>
      </c>
      <c r="H21" s="667">
        <v>0</v>
      </c>
      <c r="I21" s="665">
        <v>0</v>
      </c>
      <c r="J21" s="667">
        <v>0</v>
      </c>
      <c r="K21" s="665">
        <v>0</v>
      </c>
      <c r="L21" s="665">
        <v>0</v>
      </c>
      <c r="M21" s="665">
        <f>256000+100000</f>
        <v>356000</v>
      </c>
      <c r="N21" s="665">
        <v>0</v>
      </c>
      <c r="O21" s="666">
        <v>0</v>
      </c>
      <c r="P21" s="665">
        <v>0</v>
      </c>
      <c r="S21" s="670"/>
    </row>
    <row r="22" spans="1:19" s="618" customFormat="1" ht="21" customHeight="1">
      <c r="A22" s="663" t="s">
        <v>33</v>
      </c>
      <c r="B22" s="664" t="s">
        <v>34</v>
      </c>
      <c r="C22" s="662">
        <f t="shared" si="1"/>
        <v>805529</v>
      </c>
      <c r="D22" s="665">
        <v>0</v>
      </c>
      <c r="E22" s="665">
        <v>0</v>
      </c>
      <c r="F22" s="666">
        <v>0</v>
      </c>
      <c r="G22" s="665">
        <v>0</v>
      </c>
      <c r="H22" s="667">
        <v>0</v>
      </c>
      <c r="I22" s="665">
        <v>57555</v>
      </c>
      <c r="J22" s="667">
        <v>0</v>
      </c>
      <c r="K22" s="666">
        <v>0</v>
      </c>
      <c r="L22" s="665">
        <v>445</v>
      </c>
      <c r="M22" s="665">
        <v>0</v>
      </c>
      <c r="N22" s="665">
        <f>747529</f>
        <v>747529</v>
      </c>
      <c r="O22" s="666">
        <v>0</v>
      </c>
      <c r="P22" s="665">
        <v>0</v>
      </c>
      <c r="S22" s="670"/>
    </row>
    <row r="23" spans="1:19" s="668" customFormat="1" ht="21" customHeight="1">
      <c r="A23" s="663" t="s">
        <v>35</v>
      </c>
      <c r="B23" s="664" t="s">
        <v>36</v>
      </c>
      <c r="C23" s="662">
        <f t="shared" si="1"/>
        <v>2873729</v>
      </c>
      <c r="D23" s="665">
        <v>0</v>
      </c>
      <c r="E23" s="665">
        <f>1000+45000+45000+100+10000+10000+30000+300</f>
        <v>141400</v>
      </c>
      <c r="F23" s="671">
        <f>163142</f>
        <v>163142</v>
      </c>
      <c r="G23" s="665">
        <f>274482+1190000</f>
        <v>1464482</v>
      </c>
      <c r="H23" s="667">
        <f>48438+221072</f>
        <v>269510</v>
      </c>
      <c r="I23" s="665">
        <v>548195</v>
      </c>
      <c r="J23" s="667">
        <v>0</v>
      </c>
      <c r="K23" s="665">
        <v>0</v>
      </c>
      <c r="L23" s="665">
        <v>0</v>
      </c>
      <c r="M23" s="665">
        <f>85000+202000</f>
        <v>287000</v>
      </c>
      <c r="N23" s="665">
        <v>0</v>
      </c>
      <c r="O23" s="666">
        <v>0</v>
      </c>
      <c r="P23" s="665">
        <v>0</v>
      </c>
      <c r="S23" s="669"/>
    </row>
    <row r="24" spans="1:19" s="668" customFormat="1" ht="21" customHeight="1">
      <c r="A24" s="663" t="s">
        <v>37</v>
      </c>
      <c r="B24" s="664" t="s">
        <v>38</v>
      </c>
      <c r="C24" s="662">
        <f t="shared" si="1"/>
        <v>5000</v>
      </c>
      <c r="D24" s="665">
        <v>0</v>
      </c>
      <c r="E24" s="665">
        <v>0</v>
      </c>
      <c r="F24" s="671">
        <v>0</v>
      </c>
      <c r="G24" s="665">
        <v>0</v>
      </c>
      <c r="H24" s="667">
        <v>0</v>
      </c>
      <c r="I24" s="665">
        <v>0</v>
      </c>
      <c r="J24" s="667">
        <v>0</v>
      </c>
      <c r="K24" s="665">
        <v>0</v>
      </c>
      <c r="L24" s="665">
        <v>0</v>
      </c>
      <c r="M24" s="665">
        <v>5000</v>
      </c>
      <c r="N24" s="665">
        <v>0</v>
      </c>
      <c r="O24" s="666">
        <v>0</v>
      </c>
      <c r="P24" s="665">
        <v>0</v>
      </c>
      <c r="S24" s="669"/>
    </row>
    <row r="25" spans="1:19" s="668" customFormat="1" ht="84.75" customHeight="1">
      <c r="A25" s="663" t="s">
        <v>435</v>
      </c>
      <c r="B25" s="664" t="s">
        <v>436</v>
      </c>
      <c r="C25" s="662">
        <f t="shared" si="1"/>
        <v>315962972</v>
      </c>
      <c r="D25" s="665">
        <f>315252272</f>
        <v>315252272</v>
      </c>
      <c r="E25" s="665">
        <f>710700</f>
        <v>710700</v>
      </c>
      <c r="F25" s="666">
        <v>0</v>
      </c>
      <c r="G25" s="665">
        <v>0</v>
      </c>
      <c r="H25" s="667">
        <v>0</v>
      </c>
      <c r="I25" s="665">
        <v>0</v>
      </c>
      <c r="J25" s="667">
        <v>0</v>
      </c>
      <c r="K25" s="665">
        <v>0</v>
      </c>
      <c r="L25" s="665">
        <v>0</v>
      </c>
      <c r="M25" s="665">
        <v>0</v>
      </c>
      <c r="N25" s="665">
        <v>0</v>
      </c>
      <c r="O25" s="666">
        <v>0</v>
      </c>
      <c r="P25" s="665">
        <v>0</v>
      </c>
      <c r="S25" s="669"/>
    </row>
    <row r="26" spans="1:19" s="668" customFormat="1" ht="18.75" customHeight="1">
      <c r="A26" s="663" t="s">
        <v>39</v>
      </c>
      <c r="B26" s="664" t="s">
        <v>40</v>
      </c>
      <c r="C26" s="662">
        <f t="shared" si="1"/>
        <v>420760870</v>
      </c>
      <c r="D26" s="665">
        <f>62865690+22495418+147890684+70401065</f>
        <v>303652857</v>
      </c>
      <c r="E26" s="665">
        <v>1714000</v>
      </c>
      <c r="F26" s="666">
        <f>4814806+22797899+17436302+11969149</f>
        <v>57018156</v>
      </c>
      <c r="G26" s="665">
        <f>35987050</f>
        <v>35987050</v>
      </c>
      <c r="H26" s="667">
        <f>7807+20884864+1496136</f>
        <v>22388807</v>
      </c>
      <c r="I26" s="665">
        <v>0</v>
      </c>
      <c r="J26" s="665">
        <v>0</v>
      </c>
      <c r="K26" s="665">
        <v>0</v>
      </c>
      <c r="L26" s="665">
        <v>0</v>
      </c>
      <c r="M26" s="665">
        <v>0</v>
      </c>
      <c r="N26" s="665">
        <v>0</v>
      </c>
      <c r="O26" s="671">
        <v>0</v>
      </c>
      <c r="P26" s="665">
        <v>0</v>
      </c>
      <c r="S26" s="669"/>
    </row>
    <row r="27" spans="1:19" s="668" customFormat="1" ht="18.75" customHeight="1">
      <c r="A27" s="663" t="s">
        <v>41</v>
      </c>
      <c r="B27" s="664" t="s">
        <v>42</v>
      </c>
      <c r="C27" s="662">
        <f t="shared" si="1"/>
        <v>1420376</v>
      </c>
      <c r="D27" s="665">
        <v>0</v>
      </c>
      <c r="E27" s="665">
        <f>3550+1150+775+3280+540000+600+1750+1300+140+20</f>
        <v>552565</v>
      </c>
      <c r="F27" s="666">
        <f>146535</f>
        <v>146535</v>
      </c>
      <c r="G27" s="665">
        <v>0</v>
      </c>
      <c r="H27" s="667">
        <v>18363</v>
      </c>
      <c r="I27" s="665">
        <v>0</v>
      </c>
      <c r="J27" s="667">
        <v>0</v>
      </c>
      <c r="K27" s="665">
        <v>22913</v>
      </c>
      <c r="L27" s="665">
        <v>0</v>
      </c>
      <c r="M27" s="665">
        <v>0</v>
      </c>
      <c r="N27" s="665">
        <f>80000+600000</f>
        <v>680000</v>
      </c>
      <c r="O27" s="666">
        <v>0</v>
      </c>
      <c r="P27" s="665">
        <v>0</v>
      </c>
      <c r="S27" s="669"/>
    </row>
    <row r="28" spans="1:19" s="668" customFormat="1" ht="18.75" customHeight="1">
      <c r="A28" s="663" t="s">
        <v>43</v>
      </c>
      <c r="B28" s="664" t="s">
        <v>44</v>
      </c>
      <c r="C28" s="662">
        <f t="shared" si="1"/>
        <v>28000</v>
      </c>
      <c r="D28" s="665">
        <v>0</v>
      </c>
      <c r="E28" s="665">
        <v>0</v>
      </c>
      <c r="F28" s="665">
        <v>0</v>
      </c>
      <c r="G28" s="665">
        <v>0</v>
      </c>
      <c r="H28" s="667">
        <v>0</v>
      </c>
      <c r="I28" s="665">
        <v>0</v>
      </c>
      <c r="J28" s="667">
        <v>0</v>
      </c>
      <c r="K28" s="665">
        <v>0</v>
      </c>
      <c r="L28" s="665">
        <v>0</v>
      </c>
      <c r="M28" s="665">
        <f>16000+12000</f>
        <v>28000</v>
      </c>
      <c r="N28" s="665">
        <v>0</v>
      </c>
      <c r="O28" s="666">
        <v>0</v>
      </c>
      <c r="P28" s="665">
        <v>0</v>
      </c>
      <c r="S28" s="669"/>
    </row>
    <row r="29" spans="1:19" s="668" customFormat="1" ht="18.75" customHeight="1">
      <c r="A29" s="663" t="s">
        <v>8</v>
      </c>
      <c r="B29" s="664" t="s">
        <v>45</v>
      </c>
      <c r="C29" s="662">
        <f t="shared" si="1"/>
        <v>4022043</v>
      </c>
      <c r="D29" s="665">
        <v>0</v>
      </c>
      <c r="E29" s="665">
        <f>3000</f>
        <v>3000</v>
      </c>
      <c r="F29" s="666">
        <f>2608212+631540</f>
        <v>3239752</v>
      </c>
      <c r="G29" s="665">
        <v>0</v>
      </c>
      <c r="H29" s="667">
        <f>486488+114803</f>
        <v>601291</v>
      </c>
      <c r="I29" s="665">
        <v>0</v>
      </c>
      <c r="J29" s="667">
        <v>0</v>
      </c>
      <c r="K29" s="665">
        <v>0</v>
      </c>
      <c r="L29" s="665">
        <v>0</v>
      </c>
      <c r="M29" s="665">
        <f>100000</f>
        <v>100000</v>
      </c>
      <c r="N29" s="665">
        <v>78000</v>
      </c>
      <c r="O29" s="666">
        <v>0</v>
      </c>
      <c r="P29" s="665">
        <v>0</v>
      </c>
      <c r="S29" s="669"/>
    </row>
    <row r="30" spans="1:19" s="668" customFormat="1" ht="29.25" customHeight="1">
      <c r="A30" s="663" t="s">
        <v>46</v>
      </c>
      <c r="B30" s="664" t="s">
        <v>437</v>
      </c>
      <c r="C30" s="662">
        <f t="shared" si="1"/>
        <v>7327401</v>
      </c>
      <c r="D30" s="665">
        <v>0</v>
      </c>
      <c r="E30" s="665">
        <f>256150+1300000+100+20000</f>
        <v>1576250</v>
      </c>
      <c r="F30" s="671">
        <v>0</v>
      </c>
      <c r="G30" s="665">
        <f>2509151</f>
        <v>2509151</v>
      </c>
      <c r="H30" s="667">
        <f>3228000</f>
        <v>3228000</v>
      </c>
      <c r="I30" s="665">
        <v>0</v>
      </c>
      <c r="J30" s="667">
        <v>0</v>
      </c>
      <c r="K30" s="665">
        <v>0</v>
      </c>
      <c r="L30" s="665">
        <v>0</v>
      </c>
      <c r="M30" s="665">
        <v>14000</v>
      </c>
      <c r="N30" s="665">
        <v>0</v>
      </c>
      <c r="O30" s="666">
        <v>0</v>
      </c>
      <c r="P30" s="665">
        <v>0</v>
      </c>
      <c r="S30" s="669"/>
    </row>
    <row r="31" spans="1:19" s="668" customFormat="1" ht="29.25" customHeight="1">
      <c r="A31" s="663" t="s">
        <v>9</v>
      </c>
      <c r="B31" s="664" t="s">
        <v>10</v>
      </c>
      <c r="C31" s="662">
        <f t="shared" si="1"/>
        <v>6320</v>
      </c>
      <c r="D31" s="665">
        <v>0</v>
      </c>
      <c r="E31" s="665">
        <f>6320</f>
        <v>6320</v>
      </c>
      <c r="F31" s="671">
        <v>0</v>
      </c>
      <c r="G31" s="665">
        <v>0</v>
      </c>
      <c r="H31" s="666">
        <v>0</v>
      </c>
      <c r="I31" s="665">
        <v>0</v>
      </c>
      <c r="J31" s="667">
        <v>0</v>
      </c>
      <c r="K31" s="671">
        <v>0</v>
      </c>
      <c r="L31" s="671">
        <v>0</v>
      </c>
      <c r="M31" s="665">
        <v>0</v>
      </c>
      <c r="N31" s="665">
        <v>0</v>
      </c>
      <c r="O31" s="666">
        <v>0</v>
      </c>
      <c r="P31" s="665">
        <v>0</v>
      </c>
      <c r="S31" s="669"/>
    </row>
    <row r="32" spans="1:19" s="668" customFormat="1" ht="18.75" customHeight="1">
      <c r="A32" s="663" t="s">
        <v>89</v>
      </c>
      <c r="B32" s="664" t="s">
        <v>90</v>
      </c>
      <c r="C32" s="662">
        <f t="shared" si="1"/>
        <v>1852000</v>
      </c>
      <c r="D32" s="665">
        <v>0</v>
      </c>
      <c r="E32" s="665">
        <v>0</v>
      </c>
      <c r="F32" s="671">
        <v>0</v>
      </c>
      <c r="G32" s="665">
        <v>0</v>
      </c>
      <c r="H32" s="666">
        <v>0</v>
      </c>
      <c r="I32" s="665">
        <v>0</v>
      </c>
      <c r="J32" s="667">
        <v>0</v>
      </c>
      <c r="K32" s="671">
        <v>0</v>
      </c>
      <c r="L32" s="671">
        <v>0</v>
      </c>
      <c r="M32" s="665">
        <v>1852000</v>
      </c>
      <c r="N32" s="665">
        <v>0</v>
      </c>
      <c r="O32" s="666">
        <v>0</v>
      </c>
      <c r="P32" s="665">
        <v>0</v>
      </c>
      <c r="S32" s="669"/>
    </row>
    <row r="33" spans="1:19" s="668" customFormat="1" ht="29.25" customHeight="1">
      <c r="A33" s="663" t="s">
        <v>47</v>
      </c>
      <c r="B33" s="664" t="s">
        <v>48</v>
      </c>
      <c r="C33" s="662">
        <f t="shared" si="1"/>
        <v>3651700</v>
      </c>
      <c r="D33" s="665">
        <v>0</v>
      </c>
      <c r="E33" s="665">
        <f>869873+22480+3510+200300+107100</f>
        <v>1203263</v>
      </c>
      <c r="F33" s="671">
        <f>626378</f>
        <v>626378</v>
      </c>
      <c r="G33" s="665">
        <v>0</v>
      </c>
      <c r="H33" s="666">
        <v>0</v>
      </c>
      <c r="I33" s="665">
        <v>0</v>
      </c>
      <c r="J33" s="667">
        <v>695954</v>
      </c>
      <c r="K33" s="665">
        <v>224105</v>
      </c>
      <c r="L33" s="665">
        <v>0</v>
      </c>
      <c r="M33" s="665">
        <f>137000+59000+548000</f>
        <v>744000</v>
      </c>
      <c r="N33" s="665">
        <v>0</v>
      </c>
      <c r="O33" s="666">
        <v>158000</v>
      </c>
      <c r="P33" s="665">
        <v>0</v>
      </c>
      <c r="S33" s="669"/>
    </row>
    <row r="34" spans="1:19" s="668" customFormat="1" ht="29.25" customHeight="1">
      <c r="A34" s="663" t="s">
        <v>49</v>
      </c>
      <c r="B34" s="664" t="s">
        <v>50</v>
      </c>
      <c r="C34" s="662">
        <f t="shared" si="1"/>
        <v>4419360</v>
      </c>
      <c r="D34" s="665">
        <v>0</v>
      </c>
      <c r="E34" s="665">
        <v>0</v>
      </c>
      <c r="F34" s="671">
        <f>269942</f>
        <v>269942</v>
      </c>
      <c r="G34" s="665">
        <v>0</v>
      </c>
      <c r="H34" s="666">
        <v>0</v>
      </c>
      <c r="I34" s="665">
        <v>0</v>
      </c>
      <c r="J34" s="667">
        <v>0</v>
      </c>
      <c r="K34" s="665">
        <v>209554</v>
      </c>
      <c r="L34" s="665">
        <v>0</v>
      </c>
      <c r="M34" s="665">
        <v>0</v>
      </c>
      <c r="N34" s="665">
        <f>470000+69864+3400000</f>
        <v>3939864</v>
      </c>
      <c r="O34" s="666">
        <v>0</v>
      </c>
      <c r="P34" s="665">
        <v>0</v>
      </c>
      <c r="S34" s="669"/>
    </row>
    <row r="35" spans="1:19" s="668" customFormat="1" ht="67.5" customHeight="1">
      <c r="A35" s="672" t="s">
        <v>376</v>
      </c>
      <c r="B35" s="673" t="s">
        <v>51</v>
      </c>
      <c r="C35" s="662">
        <f t="shared" si="1"/>
        <v>2286000</v>
      </c>
      <c r="D35" s="665">
        <v>0</v>
      </c>
      <c r="E35" s="665">
        <v>106000</v>
      </c>
      <c r="F35" s="671">
        <v>0</v>
      </c>
      <c r="G35" s="665">
        <v>0</v>
      </c>
      <c r="H35" s="667">
        <v>0</v>
      </c>
      <c r="I35" s="665">
        <v>0</v>
      </c>
      <c r="J35" s="665">
        <v>0</v>
      </c>
      <c r="K35" s="665">
        <v>0</v>
      </c>
      <c r="L35" s="665">
        <v>0</v>
      </c>
      <c r="M35" s="665">
        <v>2180000</v>
      </c>
      <c r="N35" s="665"/>
      <c r="O35" s="671">
        <v>0</v>
      </c>
      <c r="P35" s="665">
        <v>0</v>
      </c>
      <c r="S35" s="669"/>
    </row>
    <row r="36" spans="1:19" s="651" customFormat="1" ht="6" customHeight="1">
      <c r="A36" s="674"/>
      <c r="B36" s="675"/>
      <c r="C36" s="676"/>
      <c r="D36" s="677"/>
      <c r="E36" s="678"/>
      <c r="F36" s="678"/>
      <c r="G36" s="679"/>
      <c r="H36" s="678"/>
      <c r="I36" s="678"/>
      <c r="J36" s="680"/>
      <c r="K36" s="678"/>
      <c r="L36" s="678"/>
      <c r="M36" s="678"/>
      <c r="N36" s="678"/>
      <c r="O36" s="678"/>
      <c r="P36" s="679"/>
      <c r="S36" s="652"/>
    </row>
    <row r="37" spans="1:19" s="642" customFormat="1" ht="19.5" customHeight="1">
      <c r="A37" s="681"/>
      <c r="B37" s="682" t="s">
        <v>438</v>
      </c>
      <c r="C37" s="683">
        <f aca="true" t="shared" si="2" ref="C37:P37">SUM(C39:C45)</f>
        <v>267263096</v>
      </c>
      <c r="D37" s="683">
        <f t="shared" si="2"/>
        <v>0</v>
      </c>
      <c r="E37" s="683">
        <f t="shared" si="2"/>
        <v>280000</v>
      </c>
      <c r="F37" s="683">
        <f t="shared" si="2"/>
        <v>231732986</v>
      </c>
      <c r="G37" s="683">
        <f t="shared" si="2"/>
        <v>57598</v>
      </c>
      <c r="H37" s="683">
        <f t="shared" si="2"/>
        <v>18376877</v>
      </c>
      <c r="I37" s="683">
        <f t="shared" si="2"/>
        <v>16121939</v>
      </c>
      <c r="J37" s="683">
        <f t="shared" si="2"/>
        <v>480958</v>
      </c>
      <c r="K37" s="683">
        <f t="shared" si="2"/>
        <v>0</v>
      </c>
      <c r="L37" s="683">
        <f t="shared" si="2"/>
        <v>62738</v>
      </c>
      <c r="M37" s="683">
        <f t="shared" si="2"/>
        <v>0</v>
      </c>
      <c r="N37" s="683">
        <f t="shared" si="2"/>
        <v>150000</v>
      </c>
      <c r="O37" s="684">
        <f t="shared" si="2"/>
        <v>0</v>
      </c>
      <c r="P37" s="683">
        <f t="shared" si="2"/>
        <v>0</v>
      </c>
      <c r="S37" s="643"/>
    </row>
    <row r="38" spans="1:19" s="651" customFormat="1" ht="8.25" customHeight="1">
      <c r="A38" s="644"/>
      <c r="B38" s="645"/>
      <c r="C38" s="646"/>
      <c r="D38" s="647"/>
      <c r="E38" s="648"/>
      <c r="F38" s="648"/>
      <c r="G38" s="649"/>
      <c r="H38" s="648"/>
      <c r="I38" s="648"/>
      <c r="J38" s="650"/>
      <c r="K38" s="648"/>
      <c r="L38" s="648"/>
      <c r="M38" s="648"/>
      <c r="N38" s="648"/>
      <c r="O38" s="648"/>
      <c r="P38" s="649"/>
      <c r="S38" s="652"/>
    </row>
    <row r="39" spans="1:19" s="668" customFormat="1" ht="21" customHeight="1">
      <c r="A39" s="685" t="s">
        <v>27</v>
      </c>
      <c r="B39" s="686" t="s">
        <v>28</v>
      </c>
      <c r="C39" s="687">
        <f aca="true" t="shared" si="3" ref="C39:C45">SUM(D39:P39)</f>
        <v>16206396</v>
      </c>
      <c r="D39" s="688">
        <v>0</v>
      </c>
      <c r="E39" s="688">
        <v>60000</v>
      </c>
      <c r="F39" s="689">
        <v>0</v>
      </c>
      <c r="G39" s="688">
        <v>0</v>
      </c>
      <c r="H39" s="690">
        <v>0</v>
      </c>
      <c r="I39" s="688">
        <f>7893373+6609621+1493402</f>
        <v>15996396</v>
      </c>
      <c r="J39" s="690">
        <v>0</v>
      </c>
      <c r="K39" s="689">
        <v>0</v>
      </c>
      <c r="L39" s="689">
        <v>0</v>
      </c>
      <c r="M39" s="688">
        <v>0</v>
      </c>
      <c r="N39" s="688">
        <f>150000</f>
        <v>150000</v>
      </c>
      <c r="O39" s="690">
        <v>0</v>
      </c>
      <c r="P39" s="688">
        <v>0</v>
      </c>
      <c r="S39" s="669"/>
    </row>
    <row r="40" spans="1:19" s="618" customFormat="1" ht="21" customHeight="1">
      <c r="A40" s="663" t="s">
        <v>29</v>
      </c>
      <c r="B40" s="664" t="s">
        <v>30</v>
      </c>
      <c r="C40" s="662">
        <f t="shared" si="3"/>
        <v>215000</v>
      </c>
      <c r="D40" s="665">
        <v>0</v>
      </c>
      <c r="E40" s="665">
        <f>15000+200000</f>
        <v>215000</v>
      </c>
      <c r="F40" s="671">
        <v>0</v>
      </c>
      <c r="G40" s="665">
        <v>0</v>
      </c>
      <c r="H40" s="667">
        <v>0</v>
      </c>
      <c r="I40" s="665">
        <v>0</v>
      </c>
      <c r="J40" s="667">
        <v>0</v>
      </c>
      <c r="K40" s="665">
        <v>0</v>
      </c>
      <c r="L40" s="665">
        <v>0</v>
      </c>
      <c r="M40" s="665">
        <v>0</v>
      </c>
      <c r="N40" s="665">
        <v>0</v>
      </c>
      <c r="O40" s="666">
        <v>0</v>
      </c>
      <c r="P40" s="665">
        <v>0</v>
      </c>
      <c r="S40" s="670"/>
    </row>
    <row r="41" spans="1:19" s="618" customFormat="1" ht="21" customHeight="1">
      <c r="A41" s="663" t="s">
        <v>33</v>
      </c>
      <c r="B41" s="664" t="s">
        <v>34</v>
      </c>
      <c r="C41" s="662">
        <f t="shared" si="3"/>
        <v>62738</v>
      </c>
      <c r="D41" s="665">
        <v>0</v>
      </c>
      <c r="E41" s="665">
        <v>0</v>
      </c>
      <c r="F41" s="666">
        <v>0</v>
      </c>
      <c r="G41" s="665">
        <v>0</v>
      </c>
      <c r="H41" s="667">
        <v>0</v>
      </c>
      <c r="I41" s="665">
        <v>0</v>
      </c>
      <c r="J41" s="667">
        <v>0</v>
      </c>
      <c r="K41" s="666">
        <v>0</v>
      </c>
      <c r="L41" s="665">
        <f>58641+4097</f>
        <v>62738</v>
      </c>
      <c r="M41" s="665">
        <v>0</v>
      </c>
      <c r="N41" s="665">
        <v>0</v>
      </c>
      <c r="O41" s="666">
        <v>0</v>
      </c>
      <c r="P41" s="665">
        <v>0</v>
      </c>
      <c r="S41" s="670"/>
    </row>
    <row r="42" spans="1:19" s="668" customFormat="1" ht="21" customHeight="1">
      <c r="A42" s="663" t="s">
        <v>39</v>
      </c>
      <c r="B42" s="664" t="s">
        <v>40</v>
      </c>
      <c r="C42" s="662">
        <f t="shared" si="3"/>
        <v>239300119</v>
      </c>
      <c r="D42" s="665">
        <v>0</v>
      </c>
      <c r="E42" s="665"/>
      <c r="F42" s="666">
        <f>71598550+149272797+17895</f>
        <v>220889242</v>
      </c>
      <c r="G42" s="665">
        <f>34000</f>
        <v>34000</v>
      </c>
      <c r="H42" s="667">
        <f>17275736+732141+366895+2105</f>
        <v>18376877</v>
      </c>
      <c r="I42" s="665">
        <v>0</v>
      </c>
      <c r="J42" s="667">
        <v>0</v>
      </c>
      <c r="K42" s="671">
        <v>0</v>
      </c>
      <c r="L42" s="671">
        <v>0</v>
      </c>
      <c r="M42" s="665">
        <v>0</v>
      </c>
      <c r="N42" s="665">
        <v>0</v>
      </c>
      <c r="O42" s="671">
        <v>0</v>
      </c>
      <c r="P42" s="665">
        <v>0</v>
      </c>
      <c r="S42" s="669"/>
    </row>
    <row r="43" spans="1:19" s="668" customFormat="1" ht="30" customHeight="1">
      <c r="A43" s="663" t="s">
        <v>46</v>
      </c>
      <c r="B43" s="664" t="s">
        <v>437</v>
      </c>
      <c r="C43" s="662">
        <f t="shared" si="3"/>
        <v>28598</v>
      </c>
      <c r="D43" s="665">
        <v>0</v>
      </c>
      <c r="E43" s="665">
        <v>5000</v>
      </c>
      <c r="F43" s="671">
        <v>0</v>
      </c>
      <c r="G43" s="665">
        <v>23598</v>
      </c>
      <c r="H43" s="666">
        <v>0</v>
      </c>
      <c r="I43" s="665">
        <v>0</v>
      </c>
      <c r="J43" s="667">
        <v>0</v>
      </c>
      <c r="K43" s="671">
        <v>0</v>
      </c>
      <c r="L43" s="671">
        <v>0</v>
      </c>
      <c r="M43" s="665">
        <v>0</v>
      </c>
      <c r="N43" s="665">
        <v>0</v>
      </c>
      <c r="O43" s="666">
        <v>0</v>
      </c>
      <c r="P43" s="665">
        <v>0</v>
      </c>
      <c r="S43" s="669"/>
    </row>
    <row r="44" spans="1:19" s="668" customFormat="1" ht="30" customHeight="1">
      <c r="A44" s="663" t="s">
        <v>49</v>
      </c>
      <c r="B44" s="664" t="s">
        <v>50</v>
      </c>
      <c r="C44" s="662">
        <f t="shared" si="3"/>
        <v>10843744</v>
      </c>
      <c r="D44" s="665">
        <v>0</v>
      </c>
      <c r="E44" s="665">
        <v>0</v>
      </c>
      <c r="F44" s="671">
        <f>10843744</f>
        <v>10843744</v>
      </c>
      <c r="G44" s="665">
        <v>0</v>
      </c>
      <c r="H44" s="666">
        <v>0</v>
      </c>
      <c r="I44" s="665">
        <v>0</v>
      </c>
      <c r="J44" s="667">
        <v>0</v>
      </c>
      <c r="K44" s="671">
        <v>0</v>
      </c>
      <c r="L44" s="671">
        <v>0</v>
      </c>
      <c r="M44" s="665">
        <v>0</v>
      </c>
      <c r="N44" s="665">
        <v>0</v>
      </c>
      <c r="O44" s="666">
        <v>0</v>
      </c>
      <c r="P44" s="665">
        <v>0</v>
      </c>
      <c r="S44" s="669"/>
    </row>
    <row r="45" spans="1:19" s="668" customFormat="1" ht="59.25" customHeight="1">
      <c r="A45" s="691" t="s">
        <v>376</v>
      </c>
      <c r="B45" s="692" t="s">
        <v>51</v>
      </c>
      <c r="C45" s="693">
        <f t="shared" si="3"/>
        <v>606501</v>
      </c>
      <c r="D45" s="694">
        <v>0</v>
      </c>
      <c r="E45" s="694">
        <v>0</v>
      </c>
      <c r="F45" s="695">
        <v>0</v>
      </c>
      <c r="G45" s="694">
        <v>0</v>
      </c>
      <c r="H45" s="696">
        <v>0</v>
      </c>
      <c r="I45" s="697">
        <v>125543</v>
      </c>
      <c r="J45" s="698">
        <v>480958</v>
      </c>
      <c r="K45" s="695">
        <v>0</v>
      </c>
      <c r="L45" s="695">
        <v>0</v>
      </c>
      <c r="M45" s="694">
        <v>0</v>
      </c>
      <c r="N45" s="694">
        <v>0</v>
      </c>
      <c r="O45" s="696">
        <v>0</v>
      </c>
      <c r="P45" s="694">
        <v>0</v>
      </c>
      <c r="S45" s="669"/>
    </row>
    <row r="46" spans="1:19" s="702" customFormat="1" ht="29.25" customHeight="1">
      <c r="A46" s="822" t="s">
        <v>439</v>
      </c>
      <c r="B46" s="823"/>
      <c r="C46" s="699">
        <f aca="true" t="shared" si="4" ref="C46:O46">C13+C37</f>
        <v>1111200177</v>
      </c>
      <c r="D46" s="699">
        <f t="shared" si="4"/>
        <v>618905129</v>
      </c>
      <c r="E46" s="699">
        <f t="shared" si="4"/>
        <v>20805430</v>
      </c>
      <c r="F46" s="700">
        <f t="shared" si="4"/>
        <v>293196891</v>
      </c>
      <c r="G46" s="699">
        <f t="shared" si="4"/>
        <v>43867281</v>
      </c>
      <c r="H46" s="701">
        <f t="shared" si="4"/>
        <v>47013848</v>
      </c>
      <c r="I46" s="699">
        <f t="shared" si="4"/>
        <v>16727689</v>
      </c>
      <c r="J46" s="699">
        <f t="shared" si="4"/>
        <v>1176912</v>
      </c>
      <c r="K46" s="699">
        <f t="shared" si="4"/>
        <v>1487257</v>
      </c>
      <c r="L46" s="699">
        <f>L13+L37</f>
        <v>63183</v>
      </c>
      <c r="M46" s="699">
        <f t="shared" si="4"/>
        <v>43053000</v>
      </c>
      <c r="N46" s="699">
        <f t="shared" si="4"/>
        <v>8315393</v>
      </c>
      <c r="O46" s="700">
        <f t="shared" si="4"/>
        <v>10120366</v>
      </c>
      <c r="P46" s="699">
        <f>P13+P37</f>
        <v>6467798</v>
      </c>
      <c r="S46" s="703"/>
    </row>
  </sheetData>
  <sheetProtection password="C25B" sheet="1"/>
  <mergeCells count="21">
    <mergeCell ref="O9:O10"/>
    <mergeCell ref="M8:P8"/>
    <mergeCell ref="L9:L10"/>
    <mergeCell ref="K9:K10"/>
    <mergeCell ref="F8:L8"/>
    <mergeCell ref="M9:M10"/>
    <mergeCell ref="A4:P4"/>
    <mergeCell ref="A5:P5"/>
    <mergeCell ref="A7:A10"/>
    <mergeCell ref="B7:B10"/>
    <mergeCell ref="C7:C10"/>
    <mergeCell ref="P9:P10"/>
    <mergeCell ref="A46:B46"/>
    <mergeCell ref="F9:F10"/>
    <mergeCell ref="G9:H9"/>
    <mergeCell ref="I9:I10"/>
    <mergeCell ref="J9:J10"/>
    <mergeCell ref="D7:D10"/>
    <mergeCell ref="E7:E10"/>
    <mergeCell ref="F7:P7"/>
    <mergeCell ref="N9:N10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47"/>
  <sheetViews>
    <sheetView view="pageBreakPreview" zoomScaleSheetLayoutView="100" zoomScalePageLayoutView="0" workbookViewId="0" topLeftCell="A109">
      <selection activeCell="E111" sqref="E111"/>
    </sheetView>
  </sheetViews>
  <sheetFormatPr defaultColWidth="8.796875" defaultRowHeight="14.25"/>
  <cols>
    <col min="1" max="1" width="3.59765625" style="21" customWidth="1"/>
    <col min="2" max="2" width="8" style="2" customWidth="1"/>
    <col min="3" max="3" width="44.69921875" style="2" customWidth="1"/>
    <col min="4" max="4" width="10.3984375" style="2" customWidth="1"/>
    <col min="5" max="5" width="13.09765625" style="22" customWidth="1"/>
    <col min="6" max="6" width="11.19921875" style="22" customWidth="1"/>
    <col min="7" max="7" width="1.59765625" style="2" customWidth="1"/>
    <col min="8" max="8" width="47.19921875" style="2" customWidth="1"/>
    <col min="9" max="9" width="11.3984375" style="2" customWidth="1"/>
    <col min="10" max="10" width="14.5" style="22" customWidth="1"/>
    <col min="11" max="11" width="10.3984375" style="22" customWidth="1"/>
    <col min="12" max="16384" width="9" style="2" customWidth="1"/>
  </cols>
  <sheetData>
    <row r="1" spans="8:9" ht="15" customHeight="1">
      <c r="H1" s="1"/>
      <c r="I1" s="1" t="s">
        <v>1091</v>
      </c>
    </row>
    <row r="2" spans="8:9" ht="15" customHeight="1">
      <c r="H2" s="1"/>
      <c r="I2" s="1" t="s">
        <v>416</v>
      </c>
    </row>
    <row r="3" spans="8:9" ht="15" customHeight="1">
      <c r="H3" s="1"/>
      <c r="I3" s="1" t="s">
        <v>417</v>
      </c>
    </row>
    <row r="4" spans="1:33" s="110" customFormat="1" ht="17.25" customHeight="1">
      <c r="A4" s="1078" t="s">
        <v>288</v>
      </c>
      <c r="B4" s="1078"/>
      <c r="C4" s="1078"/>
      <c r="D4" s="1078"/>
      <c r="E4" s="1078"/>
      <c r="F4" s="1078"/>
      <c r="G4" s="1078"/>
      <c r="H4" s="1078"/>
      <c r="I4" s="1078"/>
      <c r="J4" s="1078"/>
      <c r="K4" s="1078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s="110" customFormat="1" ht="17.25" customHeight="1">
      <c r="A5" s="1078" t="s">
        <v>351</v>
      </c>
      <c r="B5" s="1078"/>
      <c r="C5" s="1078"/>
      <c r="D5" s="1078"/>
      <c r="E5" s="1078"/>
      <c r="F5" s="1078"/>
      <c r="G5" s="1078"/>
      <c r="H5" s="1078"/>
      <c r="I5" s="1078"/>
      <c r="J5" s="1078"/>
      <c r="K5" s="1078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110" customFormat="1" ht="3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11" ht="12.75">
      <c r="A7" s="578" t="s">
        <v>1171</v>
      </c>
      <c r="B7" s="37"/>
      <c r="C7" s="37"/>
      <c r="E7" s="2"/>
      <c r="F7" s="2"/>
      <c r="J7" s="2"/>
      <c r="K7" s="2" t="s">
        <v>17</v>
      </c>
    </row>
    <row r="8" spans="1:11" s="178" customFormat="1" ht="12.75" customHeight="1">
      <c r="A8" s="1066" t="s">
        <v>217</v>
      </c>
      <c r="B8" s="1067" t="s">
        <v>289</v>
      </c>
      <c r="C8" s="1067" t="s">
        <v>213</v>
      </c>
      <c r="D8" s="1067" t="s">
        <v>390</v>
      </c>
      <c r="E8" s="1067"/>
      <c r="F8" s="1067"/>
      <c r="G8" s="1075"/>
      <c r="H8" s="1067" t="s">
        <v>213</v>
      </c>
      <c r="I8" s="1067" t="s">
        <v>388</v>
      </c>
      <c r="J8" s="1067"/>
      <c r="K8" s="1067"/>
    </row>
    <row r="9" spans="1:11" s="178" customFormat="1" ht="14.25" customHeight="1">
      <c r="A9" s="1066"/>
      <c r="B9" s="1067"/>
      <c r="C9" s="1067"/>
      <c r="D9" s="1067" t="s">
        <v>20</v>
      </c>
      <c r="E9" s="1072" t="s">
        <v>113</v>
      </c>
      <c r="F9" s="1072"/>
      <c r="G9" s="1076"/>
      <c r="H9" s="1067"/>
      <c r="I9" s="1067" t="s">
        <v>20</v>
      </c>
      <c r="J9" s="1072" t="s">
        <v>113</v>
      </c>
      <c r="K9" s="1072"/>
    </row>
    <row r="10" spans="1:11" s="178" customFormat="1" ht="25.5">
      <c r="A10" s="1066"/>
      <c r="B10" s="1067"/>
      <c r="C10" s="1067"/>
      <c r="D10" s="1067"/>
      <c r="E10" s="179" t="s">
        <v>325</v>
      </c>
      <c r="F10" s="179" t="s">
        <v>389</v>
      </c>
      <c r="G10" s="1077"/>
      <c r="H10" s="1067"/>
      <c r="I10" s="1067"/>
      <c r="J10" s="179" t="s">
        <v>325</v>
      </c>
      <c r="K10" s="179" t="s">
        <v>389</v>
      </c>
    </row>
    <row r="11" spans="1:11" s="23" customFormat="1" ht="12.75">
      <c r="A11" s="180">
        <v>1</v>
      </c>
      <c r="B11" s="181">
        <v>2</v>
      </c>
      <c r="C11" s="180">
        <v>3</v>
      </c>
      <c r="D11" s="180">
        <v>4</v>
      </c>
      <c r="E11" s="182">
        <v>5</v>
      </c>
      <c r="F11" s="182">
        <v>6</v>
      </c>
      <c r="G11" s="183"/>
      <c r="H11" s="180">
        <v>7</v>
      </c>
      <c r="I11" s="180">
        <v>8</v>
      </c>
      <c r="J11" s="182">
        <v>9</v>
      </c>
      <c r="K11" s="182">
        <v>10</v>
      </c>
    </row>
    <row r="12" spans="1:11" ht="10.5" customHeight="1">
      <c r="A12" s="38"/>
      <c r="B12" s="150"/>
      <c r="C12" s="40"/>
      <c r="D12" s="40"/>
      <c r="E12" s="41"/>
      <c r="F12" s="41"/>
      <c r="G12" s="151"/>
      <c r="H12" s="40"/>
      <c r="I12" s="40"/>
      <c r="J12" s="41"/>
      <c r="K12" s="41"/>
    </row>
    <row r="13" spans="1:11" s="27" customFormat="1" ht="15.75">
      <c r="A13" s="147"/>
      <c r="B13" s="147"/>
      <c r="C13" s="148" t="s">
        <v>123</v>
      </c>
      <c r="D13" s="200">
        <f>D15+D23+D39+D47+D63+D73+D81+D95+D105+D119</f>
        <v>40846000</v>
      </c>
      <c r="E13" s="122">
        <f>E15+E23+E39+E47+E63+E73+E81+E95+E105+E119</f>
        <v>40688000</v>
      </c>
      <c r="F13" s="122">
        <f>F15+F23+F39+F47+F63+F73+F81+F95+F105+F119</f>
        <v>158000</v>
      </c>
      <c r="G13" s="152"/>
      <c r="H13" s="149" t="s">
        <v>123</v>
      </c>
      <c r="I13" s="200">
        <f>I15+I23+I39+I47+I63+I73+I81+I95+I105+I119</f>
        <v>40846000</v>
      </c>
      <c r="J13" s="122">
        <f>J15+J23+J39+J47+J63+J73+J81+J95+J105+J119</f>
        <v>40688000</v>
      </c>
      <c r="K13" s="122">
        <f>K15+K23+K39+K47+K63+K73+K81+K95+K105+K119</f>
        <v>158000</v>
      </c>
    </row>
    <row r="14" spans="1:11" ht="12.75">
      <c r="A14" s="24"/>
      <c r="B14" s="28"/>
      <c r="C14" s="25"/>
      <c r="D14" s="184"/>
      <c r="E14" s="26"/>
      <c r="F14" s="26"/>
      <c r="G14" s="134"/>
      <c r="H14" s="139"/>
      <c r="I14" s="199"/>
      <c r="J14" s="26"/>
      <c r="K14" s="26"/>
    </row>
    <row r="15" spans="1:11" s="29" customFormat="1" ht="14.25">
      <c r="A15" s="153"/>
      <c r="B15" s="154" t="s">
        <v>25</v>
      </c>
      <c r="C15" s="169" t="s">
        <v>26</v>
      </c>
      <c r="D15" s="114">
        <f>D17</f>
        <v>61000</v>
      </c>
      <c r="E15" s="113">
        <f>E17</f>
        <v>61000</v>
      </c>
      <c r="F15" s="113">
        <f>F17</f>
        <v>0</v>
      </c>
      <c r="G15" s="152"/>
      <c r="H15" s="170" t="s">
        <v>26</v>
      </c>
      <c r="I15" s="114">
        <f>I17</f>
        <v>61000</v>
      </c>
      <c r="J15" s="113">
        <f>J17</f>
        <v>61000</v>
      </c>
      <c r="K15" s="113">
        <f>K17</f>
        <v>0</v>
      </c>
    </row>
    <row r="16" spans="1:11" ht="12.75">
      <c r="A16" s="30"/>
      <c r="B16" s="31"/>
      <c r="C16" s="32"/>
      <c r="D16" s="185"/>
      <c r="E16" s="33"/>
      <c r="F16" s="33"/>
      <c r="G16" s="134"/>
      <c r="H16" s="135"/>
      <c r="I16" s="185"/>
      <c r="J16" s="33"/>
      <c r="K16" s="33"/>
    </row>
    <row r="17" spans="1:11" s="37" customFormat="1" ht="12.75">
      <c r="A17" s="63"/>
      <c r="B17" s="166" t="s">
        <v>384</v>
      </c>
      <c r="C17" s="167" t="s">
        <v>73</v>
      </c>
      <c r="D17" s="186">
        <f>D19</f>
        <v>61000</v>
      </c>
      <c r="E17" s="36">
        <f>E19</f>
        <v>61000</v>
      </c>
      <c r="F17" s="36">
        <f>F19</f>
        <v>0</v>
      </c>
      <c r="G17" s="134"/>
      <c r="H17" s="167" t="s">
        <v>73</v>
      </c>
      <c r="I17" s="186">
        <f>I19</f>
        <v>61000</v>
      </c>
      <c r="J17" s="36">
        <f>J19</f>
        <v>61000</v>
      </c>
      <c r="K17" s="36">
        <f>K19</f>
        <v>0</v>
      </c>
    </row>
    <row r="18" spans="1:11" ht="12.75">
      <c r="A18" s="38"/>
      <c r="B18" s="39"/>
      <c r="C18" s="40"/>
      <c r="D18" s="187"/>
      <c r="E18" s="41"/>
      <c r="F18" s="41"/>
      <c r="G18" s="134"/>
      <c r="H18" s="136"/>
      <c r="I18" s="187"/>
      <c r="J18" s="41"/>
      <c r="K18" s="41"/>
    </row>
    <row r="19" spans="1:11" s="53" customFormat="1" ht="13.5">
      <c r="A19" s="164">
        <v>1</v>
      </c>
      <c r="B19" s="1064" t="s">
        <v>290</v>
      </c>
      <c r="C19" s="1065"/>
      <c r="D19" s="188">
        <f>D21</f>
        <v>61000</v>
      </c>
      <c r="E19" s="52">
        <f>E21</f>
        <v>61000</v>
      </c>
      <c r="F19" s="52">
        <f>F21</f>
        <v>0</v>
      </c>
      <c r="G19" s="134"/>
      <c r="H19" s="165" t="s">
        <v>290</v>
      </c>
      <c r="I19" s="188">
        <f>I21</f>
        <v>61000</v>
      </c>
      <c r="J19" s="52">
        <f>J21</f>
        <v>61000</v>
      </c>
      <c r="K19" s="52">
        <f>K21</f>
        <v>0</v>
      </c>
    </row>
    <row r="20" spans="1:11" s="45" customFormat="1" ht="13.5">
      <c r="A20" s="42"/>
      <c r="B20" s="43"/>
      <c r="C20" s="43"/>
      <c r="D20" s="189"/>
      <c r="E20" s="44"/>
      <c r="F20" s="44"/>
      <c r="G20" s="134"/>
      <c r="H20" s="137"/>
      <c r="I20" s="201"/>
      <c r="J20" s="44"/>
      <c r="K20" s="44"/>
    </row>
    <row r="21" spans="1:11" ht="12.75">
      <c r="A21" s="47"/>
      <c r="B21" s="47"/>
      <c r="C21" s="48" t="s">
        <v>291</v>
      </c>
      <c r="D21" s="190">
        <f>E21+F21</f>
        <v>61000</v>
      </c>
      <c r="E21" s="41">
        <v>61000</v>
      </c>
      <c r="F21" s="41">
        <v>0</v>
      </c>
      <c r="G21" s="134"/>
      <c r="H21" s="140" t="s">
        <v>121</v>
      </c>
      <c r="I21" s="190">
        <f>J21+K21</f>
        <v>61000</v>
      </c>
      <c r="J21" s="41">
        <v>61000</v>
      </c>
      <c r="K21" s="41">
        <v>0</v>
      </c>
    </row>
    <row r="22" spans="1:11" ht="12.75">
      <c r="A22" s="47"/>
      <c r="B22" s="47"/>
      <c r="C22" s="48"/>
      <c r="D22" s="191"/>
      <c r="E22" s="49"/>
      <c r="F22" s="49"/>
      <c r="G22" s="134"/>
      <c r="H22" s="140"/>
      <c r="I22" s="190"/>
      <c r="J22" s="50"/>
      <c r="K22" s="50"/>
    </row>
    <row r="23" spans="1:11" s="29" customFormat="1" ht="14.25">
      <c r="A23" s="153"/>
      <c r="B23" s="154" t="s">
        <v>27</v>
      </c>
      <c r="C23" s="169" t="s">
        <v>28</v>
      </c>
      <c r="D23" s="114">
        <f>D25+D31</f>
        <v>37248000</v>
      </c>
      <c r="E23" s="113">
        <f>E25+E31</f>
        <v>37248000</v>
      </c>
      <c r="F23" s="113">
        <f>F25+F31</f>
        <v>0</v>
      </c>
      <c r="G23" s="152"/>
      <c r="H23" s="170" t="s">
        <v>28</v>
      </c>
      <c r="I23" s="114">
        <f>I25+I31</f>
        <v>37248000</v>
      </c>
      <c r="J23" s="113">
        <f>J25+J31</f>
        <v>37248000</v>
      </c>
      <c r="K23" s="113">
        <f>K25+K31</f>
        <v>0</v>
      </c>
    </row>
    <row r="24" spans="1:11" ht="12.75">
      <c r="A24" s="30"/>
      <c r="B24" s="31"/>
      <c r="C24" s="32"/>
      <c r="D24" s="185"/>
      <c r="E24" s="51"/>
      <c r="F24" s="51"/>
      <c r="G24" s="134"/>
      <c r="H24" s="135"/>
      <c r="I24" s="185"/>
      <c r="J24" s="33"/>
      <c r="K24" s="33"/>
    </row>
    <row r="25" spans="1:11" s="37" customFormat="1" ht="12.75">
      <c r="A25" s="63"/>
      <c r="B25" s="166" t="s">
        <v>138</v>
      </c>
      <c r="C25" s="167" t="s">
        <v>78</v>
      </c>
      <c r="D25" s="186">
        <f>D27</f>
        <v>37000000</v>
      </c>
      <c r="E25" s="36">
        <f>E27</f>
        <v>37000000</v>
      </c>
      <c r="F25" s="36">
        <f>F27</f>
        <v>0</v>
      </c>
      <c r="G25" s="134"/>
      <c r="H25" s="168" t="s">
        <v>78</v>
      </c>
      <c r="I25" s="186">
        <f>I27</f>
        <v>37000000</v>
      </c>
      <c r="J25" s="36">
        <f>J27</f>
        <v>37000000</v>
      </c>
      <c r="K25" s="36">
        <f>K27</f>
        <v>0</v>
      </c>
    </row>
    <row r="26" spans="1:11" ht="12.75">
      <c r="A26" s="38"/>
      <c r="B26" s="39"/>
      <c r="C26" s="40"/>
      <c r="D26" s="187"/>
      <c r="E26" s="5"/>
      <c r="F26" s="5"/>
      <c r="G26" s="134"/>
      <c r="H26" s="136"/>
      <c r="I26" s="187"/>
      <c r="J26" s="41"/>
      <c r="K26" s="41"/>
    </row>
    <row r="27" spans="1:11" s="53" customFormat="1" ht="27">
      <c r="A27" s="164">
        <v>2</v>
      </c>
      <c r="B27" s="1064" t="s">
        <v>292</v>
      </c>
      <c r="C27" s="1065"/>
      <c r="D27" s="188">
        <f>D29</f>
        <v>37000000</v>
      </c>
      <c r="E27" s="52">
        <f>E29</f>
        <v>37000000</v>
      </c>
      <c r="F27" s="52">
        <f>F29</f>
        <v>0</v>
      </c>
      <c r="G27" s="134"/>
      <c r="H27" s="165" t="s">
        <v>292</v>
      </c>
      <c r="I27" s="188">
        <f>I29</f>
        <v>37000000</v>
      </c>
      <c r="J27" s="52">
        <f>J29</f>
        <v>37000000</v>
      </c>
      <c r="K27" s="52">
        <f>K29</f>
        <v>0</v>
      </c>
    </row>
    <row r="28" spans="1:11" s="37" customFormat="1" ht="12.75">
      <c r="A28" s="34"/>
      <c r="B28" s="35"/>
      <c r="C28" s="54"/>
      <c r="D28" s="192"/>
      <c r="E28" s="36"/>
      <c r="F28" s="36"/>
      <c r="G28" s="134"/>
      <c r="H28" s="141"/>
      <c r="I28" s="202"/>
      <c r="J28" s="55"/>
      <c r="K28" s="55"/>
    </row>
    <row r="29" spans="1:11" ht="12.75">
      <c r="A29" s="47"/>
      <c r="B29" s="47"/>
      <c r="C29" s="48" t="s">
        <v>291</v>
      </c>
      <c r="D29" s="190">
        <f>E29+F29</f>
        <v>37000000</v>
      </c>
      <c r="E29" s="41">
        <v>37000000</v>
      </c>
      <c r="F29" s="41">
        <v>0</v>
      </c>
      <c r="G29" s="134"/>
      <c r="H29" s="140" t="s">
        <v>385</v>
      </c>
      <c r="I29" s="190">
        <f>J29+K29</f>
        <v>37000000</v>
      </c>
      <c r="J29" s="41">
        <v>37000000</v>
      </c>
      <c r="K29" s="41">
        <v>0</v>
      </c>
    </row>
    <row r="30" spans="1:11" ht="12.75">
      <c r="A30" s="38"/>
      <c r="B30" s="39"/>
      <c r="C30" s="40"/>
      <c r="D30" s="193"/>
      <c r="E30" s="5"/>
      <c r="F30" s="5"/>
      <c r="G30" s="134"/>
      <c r="H30" s="136"/>
      <c r="I30" s="197"/>
      <c r="J30" s="41"/>
      <c r="K30" s="41"/>
    </row>
    <row r="31" spans="1:11" s="37" customFormat="1" ht="12.75">
      <c r="A31" s="63"/>
      <c r="B31" s="166" t="s">
        <v>144</v>
      </c>
      <c r="C31" s="167" t="s">
        <v>73</v>
      </c>
      <c r="D31" s="36">
        <f>D33</f>
        <v>248000</v>
      </c>
      <c r="E31" s="36">
        <f>E33</f>
        <v>248000</v>
      </c>
      <c r="F31" s="36">
        <f>F33</f>
        <v>0</v>
      </c>
      <c r="G31" s="134"/>
      <c r="H31" s="168" t="s">
        <v>73</v>
      </c>
      <c r="I31" s="36">
        <f>I33</f>
        <v>248000</v>
      </c>
      <c r="J31" s="36">
        <f>J33</f>
        <v>248000</v>
      </c>
      <c r="K31" s="36">
        <f>K33</f>
        <v>0</v>
      </c>
    </row>
    <row r="32" spans="1:11" ht="13.5">
      <c r="A32" s="38"/>
      <c r="B32" s="56"/>
      <c r="C32" s="56"/>
      <c r="D32" s="5"/>
      <c r="E32" s="5"/>
      <c r="F32" s="5"/>
      <c r="G32" s="134"/>
      <c r="H32" s="136"/>
      <c r="I32" s="41"/>
      <c r="J32" s="41"/>
      <c r="K32" s="41"/>
    </row>
    <row r="33" spans="1:11" s="53" customFormat="1" ht="13.5">
      <c r="A33" s="164">
        <v>3</v>
      </c>
      <c r="B33" s="1064" t="s">
        <v>293</v>
      </c>
      <c r="C33" s="1065"/>
      <c r="D33" s="52">
        <f>D35</f>
        <v>248000</v>
      </c>
      <c r="E33" s="52">
        <f>E35</f>
        <v>248000</v>
      </c>
      <c r="F33" s="52">
        <f>F35</f>
        <v>0</v>
      </c>
      <c r="G33" s="134"/>
      <c r="H33" s="165" t="s">
        <v>293</v>
      </c>
      <c r="I33" s="52">
        <f>I35+I37</f>
        <v>248000</v>
      </c>
      <c r="J33" s="52">
        <f>J35+J37</f>
        <v>248000</v>
      </c>
      <c r="K33" s="52">
        <f>K35+K37</f>
        <v>0</v>
      </c>
    </row>
    <row r="34" spans="1:11" s="37" customFormat="1" ht="12.75">
      <c r="A34" s="34"/>
      <c r="B34" s="35"/>
      <c r="C34" s="54"/>
      <c r="D34" s="192"/>
      <c r="E34" s="36"/>
      <c r="F34" s="36"/>
      <c r="G34" s="134"/>
      <c r="H34" s="141"/>
      <c r="I34" s="202"/>
      <c r="J34" s="55"/>
      <c r="K34" s="55"/>
    </row>
    <row r="35" spans="1:11" ht="12.75">
      <c r="A35" s="47"/>
      <c r="B35" s="47"/>
      <c r="C35" s="48" t="s">
        <v>291</v>
      </c>
      <c r="D35" s="190">
        <f>E35+F35</f>
        <v>248000</v>
      </c>
      <c r="E35" s="41">
        <v>248000</v>
      </c>
      <c r="F35" s="41">
        <v>0</v>
      </c>
      <c r="G35" s="134"/>
      <c r="H35" s="140" t="s">
        <v>121</v>
      </c>
      <c r="I35" s="190">
        <f>J35+K35</f>
        <v>160900</v>
      </c>
      <c r="J35" s="41">
        <v>160900</v>
      </c>
      <c r="K35" s="41">
        <v>0</v>
      </c>
    </row>
    <row r="36" spans="1:11" ht="12.75">
      <c r="A36" s="38"/>
      <c r="B36" s="38"/>
      <c r="C36" s="57"/>
      <c r="D36" s="193"/>
      <c r="E36" s="5"/>
      <c r="F36" s="5"/>
      <c r="G36" s="134"/>
      <c r="H36" s="138"/>
      <c r="I36" s="190"/>
      <c r="J36" s="41"/>
      <c r="K36" s="41"/>
    </row>
    <row r="37" spans="1:11" ht="12.75">
      <c r="A37" s="47"/>
      <c r="B37" s="47"/>
      <c r="C37" s="123" t="s">
        <v>215</v>
      </c>
      <c r="D37" s="60" t="s">
        <v>215</v>
      </c>
      <c r="E37" s="60" t="s">
        <v>215</v>
      </c>
      <c r="F37" s="60" t="s">
        <v>215</v>
      </c>
      <c r="G37" s="134"/>
      <c r="H37" s="140" t="s">
        <v>294</v>
      </c>
      <c r="I37" s="190">
        <f>J37+K37</f>
        <v>87100</v>
      </c>
      <c r="J37" s="41">
        <v>87100</v>
      </c>
      <c r="K37" s="41">
        <v>0</v>
      </c>
    </row>
    <row r="38" spans="1:11" ht="12.75">
      <c r="A38" s="47"/>
      <c r="B38" s="47"/>
      <c r="C38" s="48"/>
      <c r="D38" s="191"/>
      <c r="E38" s="50"/>
      <c r="F38" s="50"/>
      <c r="G38" s="134"/>
      <c r="H38" s="140"/>
      <c r="I38" s="190"/>
      <c r="J38" s="50"/>
      <c r="K38" s="50"/>
    </row>
    <row r="39" spans="1:11" s="29" customFormat="1" ht="14.25">
      <c r="A39" s="153"/>
      <c r="B39" s="154" t="s">
        <v>97</v>
      </c>
      <c r="C39" s="169" t="s">
        <v>98</v>
      </c>
      <c r="D39" s="113">
        <f>D41</f>
        <v>178000</v>
      </c>
      <c r="E39" s="113">
        <f>E41</f>
        <v>178000</v>
      </c>
      <c r="F39" s="113">
        <f>F41</f>
        <v>0</v>
      </c>
      <c r="G39" s="152"/>
      <c r="H39" s="170" t="s">
        <v>98</v>
      </c>
      <c r="I39" s="113">
        <f>I41</f>
        <v>178000</v>
      </c>
      <c r="J39" s="113">
        <f>J41</f>
        <v>178000</v>
      </c>
      <c r="K39" s="113">
        <f>K41</f>
        <v>0</v>
      </c>
    </row>
    <row r="40" spans="1:11" ht="12.75">
      <c r="A40" s="30"/>
      <c r="B40" s="31"/>
      <c r="C40" s="32"/>
      <c r="D40" s="51"/>
      <c r="E40" s="51"/>
      <c r="F40" s="51"/>
      <c r="G40" s="134"/>
      <c r="H40" s="135"/>
      <c r="I40" s="33"/>
      <c r="J40" s="33"/>
      <c r="K40" s="33"/>
    </row>
    <row r="41" spans="1:11" s="37" customFormat="1" ht="12.75">
      <c r="A41" s="63"/>
      <c r="B41" s="166" t="s">
        <v>146</v>
      </c>
      <c r="C41" s="167" t="s">
        <v>73</v>
      </c>
      <c r="D41" s="36">
        <f>D43</f>
        <v>178000</v>
      </c>
      <c r="E41" s="36">
        <f>E43</f>
        <v>178000</v>
      </c>
      <c r="F41" s="36">
        <f>F43</f>
        <v>0</v>
      </c>
      <c r="G41" s="134"/>
      <c r="H41" s="168" t="s">
        <v>73</v>
      </c>
      <c r="I41" s="36">
        <f>I43</f>
        <v>178000</v>
      </c>
      <c r="J41" s="36">
        <f>J43</f>
        <v>178000</v>
      </c>
      <c r="K41" s="36">
        <f>K43</f>
        <v>0</v>
      </c>
    </row>
    <row r="42" spans="1:11" ht="12.75">
      <c r="A42" s="38"/>
      <c r="B42" s="39"/>
      <c r="C42" s="40"/>
      <c r="D42" s="5"/>
      <c r="E42" s="5"/>
      <c r="F42" s="5"/>
      <c r="G42" s="134"/>
      <c r="H42" s="136"/>
      <c r="I42" s="41"/>
      <c r="J42" s="41"/>
      <c r="K42" s="41"/>
    </row>
    <row r="43" spans="1:11" s="45" customFormat="1" ht="13.5">
      <c r="A43" s="171">
        <v>4</v>
      </c>
      <c r="B43" s="1070" t="s">
        <v>295</v>
      </c>
      <c r="C43" s="1071"/>
      <c r="D43" s="44">
        <f>D45</f>
        <v>178000</v>
      </c>
      <c r="E43" s="44">
        <f>E45</f>
        <v>178000</v>
      </c>
      <c r="F43" s="44">
        <f>F45</f>
        <v>0</v>
      </c>
      <c r="G43" s="134"/>
      <c r="H43" s="172" t="s">
        <v>295</v>
      </c>
      <c r="I43" s="44">
        <f>I45</f>
        <v>178000</v>
      </c>
      <c r="J43" s="44">
        <f>J45</f>
        <v>178000</v>
      </c>
      <c r="K43" s="44">
        <f>K45</f>
        <v>0</v>
      </c>
    </row>
    <row r="44" spans="1:11" s="37" customFormat="1" ht="12.75">
      <c r="A44" s="34"/>
      <c r="B44" s="35"/>
      <c r="C44" s="54"/>
      <c r="D44" s="192"/>
      <c r="E44" s="36"/>
      <c r="F44" s="36"/>
      <c r="G44" s="134"/>
      <c r="H44" s="141"/>
      <c r="I44" s="202"/>
      <c r="J44" s="55"/>
      <c r="K44" s="55"/>
    </row>
    <row r="45" spans="1:11" ht="12.75">
      <c r="A45" s="47"/>
      <c r="B45" s="47"/>
      <c r="C45" s="48" t="s">
        <v>291</v>
      </c>
      <c r="D45" s="190">
        <f>E45+F45</f>
        <v>178000</v>
      </c>
      <c r="E45" s="41">
        <v>178000</v>
      </c>
      <c r="F45" s="41">
        <v>0</v>
      </c>
      <c r="G45" s="134"/>
      <c r="H45" s="140" t="s">
        <v>121</v>
      </c>
      <c r="I45" s="190">
        <f>J45+K45</f>
        <v>178000</v>
      </c>
      <c r="J45" s="41">
        <v>178000</v>
      </c>
      <c r="K45" s="41">
        <v>0</v>
      </c>
    </row>
    <row r="46" spans="1:11" ht="12.75">
      <c r="A46" s="47"/>
      <c r="B46" s="58"/>
      <c r="C46" s="59"/>
      <c r="D46" s="191"/>
      <c r="E46" s="60"/>
      <c r="F46" s="60"/>
      <c r="G46" s="134"/>
      <c r="H46" s="142"/>
      <c r="I46" s="190"/>
      <c r="J46" s="50"/>
      <c r="K46" s="50"/>
    </row>
    <row r="47" spans="1:11" s="29" customFormat="1" ht="14.25">
      <c r="A47" s="153"/>
      <c r="B47" s="154" t="s">
        <v>31</v>
      </c>
      <c r="C47" s="169" t="s">
        <v>32</v>
      </c>
      <c r="D47" s="113">
        <f>D49+D57</f>
        <v>356000</v>
      </c>
      <c r="E47" s="113">
        <f>E49+E57</f>
        <v>356000</v>
      </c>
      <c r="F47" s="113">
        <f>F49+F57</f>
        <v>0</v>
      </c>
      <c r="G47" s="152"/>
      <c r="H47" s="170" t="s">
        <v>32</v>
      </c>
      <c r="I47" s="113">
        <f>I49+I57</f>
        <v>356000</v>
      </c>
      <c r="J47" s="113">
        <f>J49+J57</f>
        <v>356000</v>
      </c>
      <c r="K47" s="113">
        <f>K49+K57</f>
        <v>0</v>
      </c>
    </row>
    <row r="48" spans="1:11" ht="12.75">
      <c r="A48" s="30"/>
      <c r="B48" s="31"/>
      <c r="C48" s="32"/>
      <c r="D48" s="51"/>
      <c r="E48" s="51"/>
      <c r="F48" s="51"/>
      <c r="G48" s="134"/>
      <c r="H48" s="139"/>
      <c r="I48" s="33"/>
      <c r="J48" s="33"/>
      <c r="K48" s="33"/>
    </row>
    <row r="49" spans="1:11" s="37" customFormat="1" ht="12.75">
      <c r="A49" s="34"/>
      <c r="B49" s="35" t="s">
        <v>151</v>
      </c>
      <c r="C49" s="211" t="s">
        <v>82</v>
      </c>
      <c r="D49" s="36">
        <f>D51</f>
        <v>256000</v>
      </c>
      <c r="E49" s="36">
        <f>E51</f>
        <v>256000</v>
      </c>
      <c r="F49" s="214">
        <f>F51</f>
        <v>0</v>
      </c>
      <c r="G49" s="134"/>
      <c r="H49" s="215" t="s">
        <v>82</v>
      </c>
      <c r="I49" s="213">
        <f>I51</f>
        <v>256000</v>
      </c>
      <c r="J49" s="36">
        <f>J51</f>
        <v>256000</v>
      </c>
      <c r="K49" s="36">
        <f>K51</f>
        <v>0</v>
      </c>
    </row>
    <row r="50" spans="1:11" ht="12.75">
      <c r="A50" s="30"/>
      <c r="B50" s="31"/>
      <c r="C50" s="32"/>
      <c r="D50" s="51"/>
      <c r="E50" s="51"/>
      <c r="F50" s="51"/>
      <c r="G50" s="134"/>
      <c r="H50" s="135"/>
      <c r="I50" s="33"/>
      <c r="J50" s="33"/>
      <c r="K50" s="33"/>
    </row>
    <row r="51" spans="1:11" s="53" customFormat="1" ht="13.5">
      <c r="A51" s="164">
        <v>5</v>
      </c>
      <c r="B51" s="1064" t="s">
        <v>296</v>
      </c>
      <c r="C51" s="1065"/>
      <c r="D51" s="52">
        <f>D53</f>
        <v>256000</v>
      </c>
      <c r="E51" s="52">
        <f>E53</f>
        <v>256000</v>
      </c>
      <c r="F51" s="52">
        <f>F53</f>
        <v>0</v>
      </c>
      <c r="G51" s="134"/>
      <c r="H51" s="165" t="s">
        <v>296</v>
      </c>
      <c r="I51" s="52">
        <f>I53+I55</f>
        <v>256000</v>
      </c>
      <c r="J51" s="52">
        <f>J53+J55</f>
        <v>256000</v>
      </c>
      <c r="K51" s="52">
        <f>K53+K55</f>
        <v>0</v>
      </c>
    </row>
    <row r="52" spans="1:11" s="37" customFormat="1" ht="12.75">
      <c r="A52" s="34"/>
      <c r="B52" s="35"/>
      <c r="C52" s="54"/>
      <c r="D52" s="192"/>
      <c r="E52" s="36"/>
      <c r="F52" s="36"/>
      <c r="G52" s="134"/>
      <c r="H52" s="141"/>
      <c r="I52" s="202"/>
      <c r="J52" s="55"/>
      <c r="K52" s="55"/>
    </row>
    <row r="53" spans="1:11" ht="12.75">
      <c r="A53" s="38"/>
      <c r="B53" s="38"/>
      <c r="C53" s="46" t="s">
        <v>291</v>
      </c>
      <c r="D53" s="197">
        <f>E53+F53</f>
        <v>256000</v>
      </c>
      <c r="E53" s="41">
        <v>256000</v>
      </c>
      <c r="F53" s="41">
        <v>0</v>
      </c>
      <c r="G53" s="134"/>
      <c r="H53" s="138" t="s">
        <v>121</v>
      </c>
      <c r="I53" s="197">
        <f>J53+K53</f>
        <v>226000</v>
      </c>
      <c r="J53" s="41">
        <v>226000</v>
      </c>
      <c r="K53" s="41">
        <v>0</v>
      </c>
    </row>
    <row r="54" spans="1:11" ht="12.75">
      <c r="A54" s="30"/>
      <c r="B54" s="30"/>
      <c r="C54" s="217"/>
      <c r="D54" s="194"/>
      <c r="E54" s="33"/>
      <c r="F54" s="33"/>
      <c r="G54" s="134"/>
      <c r="H54" s="218"/>
      <c r="I54" s="216"/>
      <c r="J54" s="33"/>
      <c r="K54" s="33"/>
    </row>
    <row r="55" spans="1:11" ht="12.75">
      <c r="A55" s="38"/>
      <c r="B55" s="38"/>
      <c r="C55" s="57" t="s">
        <v>215</v>
      </c>
      <c r="D55" s="5" t="s">
        <v>215</v>
      </c>
      <c r="E55" s="5" t="s">
        <v>215</v>
      </c>
      <c r="F55" s="5" t="s">
        <v>215</v>
      </c>
      <c r="G55" s="208"/>
      <c r="H55" s="138" t="s">
        <v>294</v>
      </c>
      <c r="I55" s="197">
        <f>J55+K55</f>
        <v>30000</v>
      </c>
      <c r="J55" s="41">
        <v>30000</v>
      </c>
      <c r="K55" s="41">
        <v>0</v>
      </c>
    </row>
    <row r="56" spans="1:11" ht="12.75">
      <c r="A56" s="38"/>
      <c r="B56" s="39"/>
      <c r="C56" s="40"/>
      <c r="D56" s="193"/>
      <c r="E56" s="5"/>
      <c r="F56" s="5"/>
      <c r="G56" s="462"/>
      <c r="H56" s="136"/>
      <c r="I56" s="197"/>
      <c r="J56" s="41"/>
      <c r="K56" s="41"/>
    </row>
    <row r="57" spans="1:11" s="37" customFormat="1" ht="12.75">
      <c r="A57" s="63"/>
      <c r="B57" s="166" t="s">
        <v>152</v>
      </c>
      <c r="C57" s="167" t="s">
        <v>88</v>
      </c>
      <c r="D57" s="36">
        <f>D59</f>
        <v>100000</v>
      </c>
      <c r="E57" s="36">
        <f>E59</f>
        <v>100000</v>
      </c>
      <c r="F57" s="36">
        <f>F59</f>
        <v>0</v>
      </c>
      <c r="G57" s="134"/>
      <c r="H57" s="168" t="s">
        <v>88</v>
      </c>
      <c r="I57" s="36">
        <f>I59</f>
        <v>100000</v>
      </c>
      <c r="J57" s="36">
        <f>J59</f>
        <v>100000</v>
      </c>
      <c r="K57" s="36">
        <f>K59</f>
        <v>0</v>
      </c>
    </row>
    <row r="58" spans="1:11" ht="13.5">
      <c r="A58" s="38"/>
      <c r="B58" s="56"/>
      <c r="C58" s="56"/>
      <c r="D58" s="5"/>
      <c r="E58" s="5"/>
      <c r="F58" s="209"/>
      <c r="G58" s="134"/>
      <c r="H58" s="210"/>
      <c r="I58" s="41"/>
      <c r="J58" s="41"/>
      <c r="K58" s="41"/>
    </row>
    <row r="59" spans="1:11" s="53" customFormat="1" ht="13.5">
      <c r="A59" s="205">
        <v>6</v>
      </c>
      <c r="B59" s="1068" t="s">
        <v>297</v>
      </c>
      <c r="C59" s="1069"/>
      <c r="D59" s="206">
        <f>D61</f>
        <v>100000</v>
      </c>
      <c r="E59" s="206">
        <f>E61</f>
        <v>100000</v>
      </c>
      <c r="F59" s="206">
        <f>F61</f>
        <v>0</v>
      </c>
      <c r="G59" s="134"/>
      <c r="H59" s="207" t="s">
        <v>297</v>
      </c>
      <c r="I59" s="206">
        <f>I61</f>
        <v>100000</v>
      </c>
      <c r="J59" s="206">
        <f>J61</f>
        <v>100000</v>
      </c>
      <c r="K59" s="206">
        <f>K61</f>
        <v>0</v>
      </c>
    </row>
    <row r="60" spans="1:11" s="37" customFormat="1" ht="12.75">
      <c r="A60" s="34"/>
      <c r="B60" s="35"/>
      <c r="C60" s="54"/>
      <c r="D60" s="192"/>
      <c r="E60" s="36"/>
      <c r="F60" s="36"/>
      <c r="G60" s="134"/>
      <c r="H60" s="141"/>
      <c r="I60" s="202"/>
      <c r="J60" s="55"/>
      <c r="K60" s="55"/>
    </row>
    <row r="61" spans="1:11" ht="12.75">
      <c r="A61" s="47"/>
      <c r="B61" s="47"/>
      <c r="C61" s="48" t="s">
        <v>291</v>
      </c>
      <c r="D61" s="190">
        <f>E61+F61</f>
        <v>100000</v>
      </c>
      <c r="E61" s="41">
        <v>100000</v>
      </c>
      <c r="F61" s="41">
        <v>0</v>
      </c>
      <c r="G61" s="134"/>
      <c r="H61" s="140" t="s">
        <v>112</v>
      </c>
      <c r="I61" s="190">
        <f>J61+K61</f>
        <v>100000</v>
      </c>
      <c r="J61" s="41">
        <v>100000</v>
      </c>
      <c r="K61" s="41">
        <v>0</v>
      </c>
    </row>
    <row r="62" spans="1:11" ht="12.75">
      <c r="A62" s="47"/>
      <c r="B62" s="58"/>
      <c r="C62" s="59"/>
      <c r="D62" s="191"/>
      <c r="E62" s="60"/>
      <c r="F62" s="60"/>
      <c r="G62" s="134"/>
      <c r="H62" s="142"/>
      <c r="I62" s="190"/>
      <c r="J62" s="50"/>
      <c r="K62" s="50"/>
    </row>
    <row r="63" spans="1:11" s="29" customFormat="1" ht="14.25">
      <c r="A63" s="153"/>
      <c r="B63" s="154" t="s">
        <v>35</v>
      </c>
      <c r="C63" s="169" t="s">
        <v>36</v>
      </c>
      <c r="D63" s="113">
        <f>D65</f>
        <v>202000</v>
      </c>
      <c r="E63" s="113">
        <f>E65</f>
        <v>202000</v>
      </c>
      <c r="F63" s="113">
        <f>F65</f>
        <v>0</v>
      </c>
      <c r="G63" s="152"/>
      <c r="H63" s="170" t="s">
        <v>36</v>
      </c>
      <c r="I63" s="113">
        <f>I65</f>
        <v>202000</v>
      </c>
      <c r="J63" s="113">
        <f>J65</f>
        <v>202000</v>
      </c>
      <c r="K63" s="113">
        <f>K65</f>
        <v>0</v>
      </c>
    </row>
    <row r="64" spans="1:11" s="37" customFormat="1" ht="12.75">
      <c r="A64" s="61"/>
      <c r="B64" s="61"/>
      <c r="C64" s="51"/>
      <c r="D64" s="51"/>
      <c r="E64" s="51"/>
      <c r="F64" s="51"/>
      <c r="G64" s="134"/>
      <c r="H64" s="135"/>
      <c r="I64" s="33"/>
      <c r="J64" s="33"/>
      <c r="K64" s="33"/>
    </row>
    <row r="65" spans="1:11" s="37" customFormat="1" ht="12.75">
      <c r="A65" s="63"/>
      <c r="B65" s="166" t="s">
        <v>160</v>
      </c>
      <c r="C65" s="167" t="s">
        <v>95</v>
      </c>
      <c r="D65" s="36">
        <f>D67</f>
        <v>202000</v>
      </c>
      <c r="E65" s="36">
        <f>E67</f>
        <v>202000</v>
      </c>
      <c r="F65" s="36">
        <f>F67</f>
        <v>0</v>
      </c>
      <c r="G65" s="134"/>
      <c r="H65" s="168" t="s">
        <v>95</v>
      </c>
      <c r="I65" s="36">
        <f>I67</f>
        <v>202000</v>
      </c>
      <c r="J65" s="36">
        <f>J67</f>
        <v>202000</v>
      </c>
      <c r="K65" s="36">
        <f>K67</f>
        <v>0</v>
      </c>
    </row>
    <row r="66" spans="1:11" ht="13.5">
      <c r="A66" s="38"/>
      <c r="B66" s="56"/>
      <c r="C66" s="56"/>
      <c r="D66" s="5"/>
      <c r="E66" s="5"/>
      <c r="F66" s="5"/>
      <c r="G66" s="134"/>
      <c r="H66" s="136"/>
      <c r="I66" s="41"/>
      <c r="J66" s="41"/>
      <c r="K66" s="41"/>
    </row>
    <row r="67" spans="1:11" s="53" customFormat="1" ht="27">
      <c r="A67" s="164">
        <v>7</v>
      </c>
      <c r="B67" s="1064" t="s">
        <v>298</v>
      </c>
      <c r="C67" s="1065"/>
      <c r="D67" s="52">
        <f>D69</f>
        <v>202000</v>
      </c>
      <c r="E67" s="52">
        <f>E69</f>
        <v>202000</v>
      </c>
      <c r="F67" s="52">
        <f>F69</f>
        <v>0</v>
      </c>
      <c r="G67" s="134"/>
      <c r="H67" s="165" t="s">
        <v>298</v>
      </c>
      <c r="I67" s="52">
        <f>I69+I71</f>
        <v>202000</v>
      </c>
      <c r="J67" s="52">
        <f>J69+J71</f>
        <v>202000</v>
      </c>
      <c r="K67" s="52">
        <f>K69+K71</f>
        <v>0</v>
      </c>
    </row>
    <row r="68" spans="1:11" s="37" customFormat="1" ht="12.75">
      <c r="A68" s="34"/>
      <c r="B68" s="35"/>
      <c r="C68" s="54"/>
      <c r="D68" s="192"/>
      <c r="E68" s="36"/>
      <c r="F68" s="36"/>
      <c r="G68" s="134"/>
      <c r="H68" s="141"/>
      <c r="I68" s="202"/>
      <c r="J68" s="55"/>
      <c r="K68" s="55"/>
    </row>
    <row r="69" spans="1:11" ht="12.75">
      <c r="A69" s="47"/>
      <c r="B69" s="47"/>
      <c r="C69" s="48" t="s">
        <v>291</v>
      </c>
      <c r="D69" s="190">
        <f>E69+F69</f>
        <v>202000</v>
      </c>
      <c r="E69" s="41">
        <v>202000</v>
      </c>
      <c r="F69" s="41">
        <v>0</v>
      </c>
      <c r="G69" s="134"/>
      <c r="H69" s="140" t="s">
        <v>121</v>
      </c>
      <c r="I69" s="190">
        <f>J69+K69</f>
        <v>70000</v>
      </c>
      <c r="J69" s="41">
        <f>58509+10058+1433</f>
        <v>70000</v>
      </c>
      <c r="K69" s="41">
        <v>0</v>
      </c>
    </row>
    <row r="70" spans="1:11" ht="12.75">
      <c r="A70" s="38"/>
      <c r="B70" s="38"/>
      <c r="C70" s="46"/>
      <c r="D70" s="193"/>
      <c r="E70" s="62"/>
      <c r="F70" s="62"/>
      <c r="G70" s="134"/>
      <c r="H70" s="136"/>
      <c r="I70" s="190"/>
      <c r="J70" s="41"/>
      <c r="K70" s="41"/>
    </row>
    <row r="71" spans="1:11" ht="12.75">
      <c r="A71" s="47"/>
      <c r="B71" s="47"/>
      <c r="C71" s="60" t="s">
        <v>215</v>
      </c>
      <c r="D71" s="60" t="s">
        <v>215</v>
      </c>
      <c r="E71" s="60" t="s">
        <v>215</v>
      </c>
      <c r="F71" s="60" t="s">
        <v>215</v>
      </c>
      <c r="G71" s="134"/>
      <c r="H71" s="140" t="s">
        <v>294</v>
      </c>
      <c r="I71" s="190">
        <f>J71+K71</f>
        <v>132000</v>
      </c>
      <c r="J71" s="41">
        <f>30000+8000+7000+86500+500</f>
        <v>132000</v>
      </c>
      <c r="K71" s="41">
        <v>0</v>
      </c>
    </row>
    <row r="72" spans="1:11" ht="12.75">
      <c r="A72" s="47"/>
      <c r="B72" s="58"/>
      <c r="C72" s="59"/>
      <c r="D72" s="191"/>
      <c r="E72" s="60"/>
      <c r="F72" s="60"/>
      <c r="G72" s="134"/>
      <c r="H72" s="142"/>
      <c r="I72" s="190"/>
      <c r="J72" s="50"/>
      <c r="K72" s="50"/>
    </row>
    <row r="73" spans="1:11" s="29" customFormat="1" ht="14.25">
      <c r="A73" s="153"/>
      <c r="B73" s="154" t="s">
        <v>37</v>
      </c>
      <c r="C73" s="169" t="s">
        <v>38</v>
      </c>
      <c r="D73" s="113">
        <f>D75</f>
        <v>5000</v>
      </c>
      <c r="E73" s="113">
        <f>E75</f>
        <v>5000</v>
      </c>
      <c r="F73" s="113">
        <f>F75</f>
        <v>0</v>
      </c>
      <c r="G73" s="152"/>
      <c r="H73" s="170" t="s">
        <v>38</v>
      </c>
      <c r="I73" s="113">
        <f>I75</f>
        <v>5000</v>
      </c>
      <c r="J73" s="113">
        <f>J75</f>
        <v>5000</v>
      </c>
      <c r="K73" s="113">
        <f>K75</f>
        <v>0</v>
      </c>
    </row>
    <row r="74" spans="1:11" ht="12.75">
      <c r="A74" s="30"/>
      <c r="B74" s="31"/>
      <c r="C74" s="32"/>
      <c r="D74" s="51"/>
      <c r="E74" s="51"/>
      <c r="F74" s="51"/>
      <c r="G74" s="134"/>
      <c r="H74" s="135"/>
      <c r="I74" s="33"/>
      <c r="J74" s="33"/>
      <c r="K74" s="33"/>
    </row>
    <row r="75" spans="1:11" s="37" customFormat="1" ht="12.75">
      <c r="A75" s="63"/>
      <c r="B75" s="166" t="s">
        <v>162</v>
      </c>
      <c r="C75" s="167" t="s">
        <v>163</v>
      </c>
      <c r="D75" s="36">
        <f>D77</f>
        <v>5000</v>
      </c>
      <c r="E75" s="36">
        <f>E77</f>
        <v>5000</v>
      </c>
      <c r="F75" s="36">
        <f>F77</f>
        <v>0</v>
      </c>
      <c r="G75" s="134"/>
      <c r="H75" s="168" t="s">
        <v>163</v>
      </c>
      <c r="I75" s="36">
        <f>I77</f>
        <v>5000</v>
      </c>
      <c r="J75" s="36">
        <f>J77</f>
        <v>5000</v>
      </c>
      <c r="K75" s="36">
        <f>K77</f>
        <v>0</v>
      </c>
    </row>
    <row r="76" spans="1:11" ht="12.75">
      <c r="A76" s="38"/>
      <c r="B76" s="39"/>
      <c r="C76" s="40"/>
      <c r="D76" s="5"/>
      <c r="E76" s="5"/>
      <c r="F76" s="5"/>
      <c r="G76" s="134"/>
      <c r="H76" s="136"/>
      <c r="I76" s="41"/>
      <c r="J76" s="41"/>
      <c r="K76" s="41"/>
    </row>
    <row r="77" spans="1:11" s="53" customFormat="1" ht="13.5">
      <c r="A77" s="164">
        <v>8</v>
      </c>
      <c r="B77" s="1073" t="s">
        <v>299</v>
      </c>
      <c r="C77" s="1074"/>
      <c r="D77" s="52">
        <f>D79</f>
        <v>5000</v>
      </c>
      <c r="E77" s="52">
        <f>E79</f>
        <v>5000</v>
      </c>
      <c r="F77" s="52">
        <f>F79</f>
        <v>0</v>
      </c>
      <c r="G77" s="134"/>
      <c r="H77" s="165" t="s">
        <v>299</v>
      </c>
      <c r="I77" s="52">
        <f>I79</f>
        <v>5000</v>
      </c>
      <c r="J77" s="52">
        <f>J79</f>
        <v>5000</v>
      </c>
      <c r="K77" s="52">
        <f>K79</f>
        <v>0</v>
      </c>
    </row>
    <row r="78" spans="1:11" s="37" customFormat="1" ht="12.75">
      <c r="A78" s="34"/>
      <c r="B78" s="35"/>
      <c r="C78" s="54"/>
      <c r="D78" s="36"/>
      <c r="E78" s="36"/>
      <c r="F78" s="36"/>
      <c r="G78" s="134"/>
      <c r="H78" s="141"/>
      <c r="I78" s="202"/>
      <c r="J78" s="55"/>
      <c r="K78" s="55"/>
    </row>
    <row r="79" spans="1:11" ht="12.75">
      <c r="A79" s="38"/>
      <c r="B79" s="38"/>
      <c r="C79" s="46" t="s">
        <v>291</v>
      </c>
      <c r="D79" s="197">
        <f>E79+F79</f>
        <v>5000</v>
      </c>
      <c r="E79" s="41">
        <v>5000</v>
      </c>
      <c r="F79" s="41">
        <v>0</v>
      </c>
      <c r="G79" s="134"/>
      <c r="H79" s="138" t="s">
        <v>112</v>
      </c>
      <c r="I79" s="197">
        <f>J79+K79</f>
        <v>5000</v>
      </c>
      <c r="J79" s="41">
        <v>5000</v>
      </c>
      <c r="K79" s="41">
        <v>0</v>
      </c>
    </row>
    <row r="80" spans="1:11" ht="12.75">
      <c r="A80" s="47"/>
      <c r="B80" s="47"/>
      <c r="C80" s="48"/>
      <c r="D80" s="191"/>
      <c r="E80" s="60"/>
      <c r="F80" s="60"/>
      <c r="G80" s="134"/>
      <c r="H80" s="140"/>
      <c r="I80" s="190"/>
      <c r="J80" s="50"/>
      <c r="K80" s="50"/>
    </row>
    <row r="81" spans="1:11" s="29" customFormat="1" ht="14.25">
      <c r="A81" s="153"/>
      <c r="B81" s="154" t="s">
        <v>43</v>
      </c>
      <c r="C81" s="169" t="s">
        <v>44</v>
      </c>
      <c r="D81" s="113">
        <f>D83+D89</f>
        <v>28000</v>
      </c>
      <c r="E81" s="113">
        <f>E83+E89</f>
        <v>28000</v>
      </c>
      <c r="F81" s="113">
        <f>F83+F89</f>
        <v>0</v>
      </c>
      <c r="G81" s="152"/>
      <c r="H81" s="170" t="s">
        <v>44</v>
      </c>
      <c r="I81" s="113">
        <f>I83+I89</f>
        <v>28000</v>
      </c>
      <c r="J81" s="113">
        <f>J83+J89</f>
        <v>28000</v>
      </c>
      <c r="K81" s="113">
        <f>K83+K89</f>
        <v>0</v>
      </c>
    </row>
    <row r="82" spans="1:11" ht="12.75">
      <c r="A82" s="30"/>
      <c r="B82" s="31"/>
      <c r="C82" s="32"/>
      <c r="D82" s="51"/>
      <c r="E82" s="51"/>
      <c r="F82" s="51"/>
      <c r="G82" s="134"/>
      <c r="H82" s="135"/>
      <c r="I82" s="33"/>
      <c r="J82" s="33"/>
      <c r="K82" s="33"/>
    </row>
    <row r="83" spans="1:11" s="37" customFormat="1" ht="25.5">
      <c r="A83" s="63"/>
      <c r="B83" s="166" t="s">
        <v>300</v>
      </c>
      <c r="C83" s="167" t="s">
        <v>59</v>
      </c>
      <c r="D83" s="36">
        <f>D85</f>
        <v>16000</v>
      </c>
      <c r="E83" s="36">
        <f>E85</f>
        <v>16000</v>
      </c>
      <c r="F83" s="36">
        <f>F85</f>
        <v>0</v>
      </c>
      <c r="G83" s="134"/>
      <c r="H83" s="168" t="s">
        <v>59</v>
      </c>
      <c r="I83" s="36">
        <f>I85</f>
        <v>16000</v>
      </c>
      <c r="J83" s="36">
        <f>J85</f>
        <v>16000</v>
      </c>
      <c r="K83" s="36">
        <f>K85</f>
        <v>0</v>
      </c>
    </row>
    <row r="84" spans="1:11" ht="9" customHeight="1">
      <c r="A84" s="38"/>
      <c r="B84" s="39"/>
      <c r="C84" s="40"/>
      <c r="D84" s="5"/>
      <c r="E84" s="5"/>
      <c r="F84" s="5"/>
      <c r="G84" s="134"/>
      <c r="H84" s="136"/>
      <c r="I84" s="41"/>
      <c r="J84" s="41"/>
      <c r="K84" s="41"/>
    </row>
    <row r="85" spans="1:11" s="53" customFormat="1" ht="13.5">
      <c r="A85" s="164">
        <v>9</v>
      </c>
      <c r="B85" s="1064" t="s">
        <v>301</v>
      </c>
      <c r="C85" s="1065"/>
      <c r="D85" s="52">
        <f>D87</f>
        <v>16000</v>
      </c>
      <c r="E85" s="52">
        <f>E87</f>
        <v>16000</v>
      </c>
      <c r="F85" s="52">
        <f>F87</f>
        <v>0</v>
      </c>
      <c r="G85" s="134"/>
      <c r="H85" s="174" t="s">
        <v>301</v>
      </c>
      <c r="I85" s="52">
        <f>I87</f>
        <v>16000</v>
      </c>
      <c r="J85" s="52">
        <f>J87</f>
        <v>16000</v>
      </c>
      <c r="K85" s="52">
        <f>K87</f>
        <v>0</v>
      </c>
    </row>
    <row r="86" spans="1:11" s="37" customFormat="1" ht="12.75">
      <c r="A86" s="34"/>
      <c r="B86" s="35"/>
      <c r="C86" s="54"/>
      <c r="D86" s="192"/>
      <c r="E86" s="36"/>
      <c r="F86" s="36"/>
      <c r="G86" s="134"/>
      <c r="H86" s="141"/>
      <c r="I86" s="202"/>
      <c r="J86" s="55"/>
      <c r="K86" s="55"/>
    </row>
    <row r="87" spans="1:11" ht="12.75">
      <c r="A87" s="38"/>
      <c r="B87" s="38"/>
      <c r="C87" s="46" t="s">
        <v>291</v>
      </c>
      <c r="D87" s="197">
        <f>E87+F87</f>
        <v>16000</v>
      </c>
      <c r="E87" s="41">
        <v>16000</v>
      </c>
      <c r="F87" s="41">
        <v>0</v>
      </c>
      <c r="G87" s="134"/>
      <c r="H87" s="138" t="s">
        <v>112</v>
      </c>
      <c r="I87" s="197">
        <f>J87+K87</f>
        <v>16000</v>
      </c>
      <c r="J87" s="41">
        <v>16000</v>
      </c>
      <c r="K87" s="41">
        <v>0</v>
      </c>
    </row>
    <row r="88" spans="1:11" ht="10.5" customHeight="1">
      <c r="A88" s="38"/>
      <c r="B88" s="39"/>
      <c r="C88" s="40"/>
      <c r="D88" s="193"/>
      <c r="E88" s="5"/>
      <c r="F88" s="5"/>
      <c r="G88" s="134"/>
      <c r="H88" s="136"/>
      <c r="I88" s="203"/>
      <c r="J88" s="33"/>
      <c r="K88" s="33"/>
    </row>
    <row r="89" spans="1:11" s="37" customFormat="1" ht="12.75">
      <c r="A89" s="63"/>
      <c r="B89" s="166" t="s">
        <v>285</v>
      </c>
      <c r="C89" s="167" t="s">
        <v>73</v>
      </c>
      <c r="D89" s="36">
        <f>D91</f>
        <v>12000</v>
      </c>
      <c r="E89" s="36">
        <f>E91</f>
        <v>12000</v>
      </c>
      <c r="F89" s="36">
        <f>F91</f>
        <v>0</v>
      </c>
      <c r="G89" s="134"/>
      <c r="H89" s="175" t="s">
        <v>73</v>
      </c>
      <c r="I89" s="36">
        <f>I91</f>
        <v>12000</v>
      </c>
      <c r="J89" s="36">
        <f>J91</f>
        <v>12000</v>
      </c>
      <c r="K89" s="36">
        <f>K91</f>
        <v>0</v>
      </c>
    </row>
    <row r="90" spans="1:11" ht="9.75" customHeight="1">
      <c r="A90" s="38"/>
      <c r="B90" s="39"/>
      <c r="C90" s="40"/>
      <c r="D90" s="5"/>
      <c r="E90" s="5"/>
      <c r="F90" s="5"/>
      <c r="G90" s="134"/>
      <c r="H90" s="136"/>
      <c r="I90" s="41"/>
      <c r="J90" s="41"/>
      <c r="K90" s="41"/>
    </row>
    <row r="91" spans="1:11" s="53" customFormat="1" ht="13.5">
      <c r="A91" s="164">
        <v>10</v>
      </c>
      <c r="B91" s="1064" t="s">
        <v>302</v>
      </c>
      <c r="C91" s="1065"/>
      <c r="D91" s="52">
        <f>D93</f>
        <v>12000</v>
      </c>
      <c r="E91" s="52">
        <f>E93</f>
        <v>12000</v>
      </c>
      <c r="F91" s="52">
        <f>F93</f>
        <v>0</v>
      </c>
      <c r="G91" s="134"/>
      <c r="H91" s="174" t="s">
        <v>302</v>
      </c>
      <c r="I91" s="52">
        <f>I93</f>
        <v>12000</v>
      </c>
      <c r="J91" s="52">
        <f>J93</f>
        <v>12000</v>
      </c>
      <c r="K91" s="52">
        <f>K93</f>
        <v>0</v>
      </c>
    </row>
    <row r="92" spans="1:11" s="37" customFormat="1" ht="9" customHeight="1">
      <c r="A92" s="34"/>
      <c r="B92" s="35"/>
      <c r="C92" s="54"/>
      <c r="D92" s="192"/>
      <c r="E92" s="36"/>
      <c r="F92" s="36"/>
      <c r="G92" s="134"/>
      <c r="H92" s="141"/>
      <c r="I92" s="202"/>
      <c r="J92" s="55"/>
      <c r="K92" s="55"/>
    </row>
    <row r="93" spans="1:11" ht="12.75">
      <c r="A93" s="47"/>
      <c r="B93" s="47"/>
      <c r="C93" s="48" t="s">
        <v>291</v>
      </c>
      <c r="D93" s="198">
        <f>E93+F93</f>
        <v>12000</v>
      </c>
      <c r="E93" s="121">
        <v>12000</v>
      </c>
      <c r="F93" s="121">
        <v>0</v>
      </c>
      <c r="G93" s="134"/>
      <c r="H93" s="212" t="s">
        <v>112</v>
      </c>
      <c r="I93" s="197">
        <f>J93+K93</f>
        <v>12000</v>
      </c>
      <c r="J93" s="41">
        <v>12000</v>
      </c>
      <c r="K93" s="41">
        <v>0</v>
      </c>
    </row>
    <row r="94" spans="1:11" ht="9.75" customHeight="1">
      <c r="A94" s="47"/>
      <c r="B94" s="58"/>
      <c r="C94" s="59"/>
      <c r="D94" s="191"/>
      <c r="E94" s="60"/>
      <c r="F94" s="60"/>
      <c r="G94" s="134"/>
      <c r="H94" s="136"/>
      <c r="I94" s="190"/>
      <c r="J94" s="50"/>
      <c r="K94" s="50"/>
    </row>
    <row r="95" spans="1:11" s="29" customFormat="1" ht="28.5">
      <c r="A95" s="153"/>
      <c r="B95" s="154" t="s">
        <v>46</v>
      </c>
      <c r="C95" s="169" t="s">
        <v>61</v>
      </c>
      <c r="D95" s="113">
        <f>D97</f>
        <v>14000</v>
      </c>
      <c r="E95" s="113">
        <f>E97</f>
        <v>14000</v>
      </c>
      <c r="F95" s="113">
        <f>F97</f>
        <v>0</v>
      </c>
      <c r="G95" s="152"/>
      <c r="H95" s="170" t="s">
        <v>61</v>
      </c>
      <c r="I95" s="113">
        <f>I97</f>
        <v>14000</v>
      </c>
      <c r="J95" s="113">
        <f>J97</f>
        <v>14000</v>
      </c>
      <c r="K95" s="113">
        <f>K97</f>
        <v>0</v>
      </c>
    </row>
    <row r="96" spans="1:11" ht="10.5" customHeight="1">
      <c r="A96" s="30"/>
      <c r="B96" s="31"/>
      <c r="C96" s="32"/>
      <c r="D96" s="51"/>
      <c r="E96" s="51"/>
      <c r="F96" s="51"/>
      <c r="G96" s="134"/>
      <c r="H96" s="135"/>
      <c r="I96" s="33"/>
      <c r="J96" s="33"/>
      <c r="K96" s="33"/>
    </row>
    <row r="97" spans="1:11" s="37" customFormat="1" ht="12.75">
      <c r="A97" s="63"/>
      <c r="B97" s="166" t="s">
        <v>237</v>
      </c>
      <c r="C97" s="167" t="s">
        <v>63</v>
      </c>
      <c r="D97" s="36">
        <f>D99</f>
        <v>14000</v>
      </c>
      <c r="E97" s="36">
        <f>E99</f>
        <v>14000</v>
      </c>
      <c r="F97" s="36">
        <f>F99</f>
        <v>0</v>
      </c>
      <c r="G97" s="134"/>
      <c r="H97" s="168" t="s">
        <v>63</v>
      </c>
      <c r="I97" s="36">
        <f>I99</f>
        <v>14000</v>
      </c>
      <c r="J97" s="36">
        <f>J99</f>
        <v>14000</v>
      </c>
      <c r="K97" s="36">
        <f>K99</f>
        <v>0</v>
      </c>
    </row>
    <row r="98" spans="1:11" ht="9.75" customHeight="1">
      <c r="A98" s="38"/>
      <c r="B98" s="39"/>
      <c r="C98" s="40"/>
      <c r="D98" s="5"/>
      <c r="E98" s="5"/>
      <c r="F98" s="5"/>
      <c r="G98" s="134"/>
      <c r="H98" s="136"/>
      <c r="I98" s="41"/>
      <c r="J98" s="41"/>
      <c r="K98" s="41"/>
    </row>
    <row r="99" spans="1:11" s="53" customFormat="1" ht="13.5">
      <c r="A99" s="164">
        <v>11</v>
      </c>
      <c r="B99" s="1064" t="s">
        <v>303</v>
      </c>
      <c r="C99" s="1065"/>
      <c r="D99" s="52">
        <f>D101</f>
        <v>14000</v>
      </c>
      <c r="E99" s="52">
        <f>E101</f>
        <v>14000</v>
      </c>
      <c r="F99" s="52">
        <f>F101</f>
        <v>0</v>
      </c>
      <c r="G99" s="134"/>
      <c r="H99" s="165" t="s">
        <v>303</v>
      </c>
      <c r="I99" s="52">
        <f>I101+I103</f>
        <v>14000</v>
      </c>
      <c r="J99" s="52">
        <f>J101+J103</f>
        <v>14000</v>
      </c>
      <c r="K99" s="52">
        <f>K101+K103</f>
        <v>0</v>
      </c>
    </row>
    <row r="100" spans="1:11" s="37" customFormat="1" ht="10.5" customHeight="1">
      <c r="A100" s="34"/>
      <c r="B100" s="35"/>
      <c r="C100" s="54"/>
      <c r="D100" s="192"/>
      <c r="E100" s="36"/>
      <c r="F100" s="36"/>
      <c r="G100" s="134"/>
      <c r="H100" s="141"/>
      <c r="I100" s="202"/>
      <c r="J100" s="55"/>
      <c r="K100" s="55"/>
    </row>
    <row r="101" spans="1:11" ht="12.75">
      <c r="A101" s="38"/>
      <c r="B101" s="38"/>
      <c r="C101" s="46" t="s">
        <v>291</v>
      </c>
      <c r="D101" s="197">
        <f>E101+F101</f>
        <v>14000</v>
      </c>
      <c r="E101" s="41">
        <v>14000</v>
      </c>
      <c r="F101" s="41">
        <v>0</v>
      </c>
      <c r="G101" s="134"/>
      <c r="H101" s="138" t="s">
        <v>121</v>
      </c>
      <c r="I101" s="197">
        <f>J101+K101</f>
        <v>11000</v>
      </c>
      <c r="J101" s="41">
        <v>11000</v>
      </c>
      <c r="K101" s="41">
        <v>0</v>
      </c>
    </row>
    <row r="102" spans="1:11" ht="12.75">
      <c r="A102" s="30"/>
      <c r="B102" s="31"/>
      <c r="C102" s="32"/>
      <c r="D102" s="194"/>
      <c r="E102" s="33"/>
      <c r="F102" s="33"/>
      <c r="G102" s="134"/>
      <c r="H102" s="135"/>
      <c r="I102" s="216"/>
      <c r="J102" s="33"/>
      <c r="K102" s="33"/>
    </row>
    <row r="103" spans="1:11" s="37" customFormat="1" ht="12.75">
      <c r="A103" s="63"/>
      <c r="B103" s="63"/>
      <c r="C103" s="60" t="s">
        <v>215</v>
      </c>
      <c r="D103" s="60" t="s">
        <v>215</v>
      </c>
      <c r="E103" s="60" t="s">
        <v>215</v>
      </c>
      <c r="F103" s="60" t="s">
        <v>215</v>
      </c>
      <c r="G103" s="134"/>
      <c r="H103" s="140" t="s">
        <v>294</v>
      </c>
      <c r="I103" s="190">
        <f>J103+K103</f>
        <v>3000</v>
      </c>
      <c r="J103" s="41">
        <v>3000</v>
      </c>
      <c r="K103" s="41">
        <v>0</v>
      </c>
    </row>
    <row r="104" spans="1:11" s="37" customFormat="1" ht="12.75">
      <c r="A104" s="63"/>
      <c r="B104" s="63"/>
      <c r="C104" s="60"/>
      <c r="D104" s="60"/>
      <c r="E104" s="60"/>
      <c r="F104" s="60"/>
      <c r="G104" s="134"/>
      <c r="H104" s="140"/>
      <c r="I104" s="190"/>
      <c r="J104" s="50"/>
      <c r="K104" s="50"/>
    </row>
    <row r="105" spans="1:11" s="29" customFormat="1" ht="14.25">
      <c r="A105" s="153"/>
      <c r="B105" s="154" t="s">
        <v>89</v>
      </c>
      <c r="C105" s="169" t="s">
        <v>90</v>
      </c>
      <c r="D105" s="113">
        <f>D107</f>
        <v>1852000</v>
      </c>
      <c r="E105" s="113">
        <f>E107</f>
        <v>1852000</v>
      </c>
      <c r="F105" s="113">
        <f>F107</f>
        <v>0</v>
      </c>
      <c r="G105" s="152"/>
      <c r="H105" s="170" t="s">
        <v>90</v>
      </c>
      <c r="I105" s="113">
        <f>I107</f>
        <v>1852000</v>
      </c>
      <c r="J105" s="113">
        <f>J107</f>
        <v>1852000</v>
      </c>
      <c r="K105" s="113">
        <f>K107</f>
        <v>0</v>
      </c>
    </row>
    <row r="106" spans="1:11" ht="12.75">
      <c r="A106" s="38"/>
      <c r="B106" s="39"/>
      <c r="C106" s="40"/>
      <c r="D106" s="5"/>
      <c r="E106" s="5"/>
      <c r="F106" s="5"/>
      <c r="G106" s="152"/>
      <c r="H106" s="136"/>
      <c r="I106" s="41"/>
      <c r="J106" s="41"/>
      <c r="K106" s="41"/>
    </row>
    <row r="107" spans="1:11" s="37" customFormat="1" ht="12.75">
      <c r="A107" s="63"/>
      <c r="B107" s="166" t="s">
        <v>287</v>
      </c>
      <c r="C107" s="167" t="s">
        <v>96</v>
      </c>
      <c r="D107" s="36">
        <f>D109+D113</f>
        <v>1852000</v>
      </c>
      <c r="E107" s="36">
        <f>E109+E113</f>
        <v>1852000</v>
      </c>
      <c r="F107" s="36">
        <f>F109+F113</f>
        <v>0</v>
      </c>
      <c r="G107" s="462"/>
      <c r="H107" s="168" t="s">
        <v>96</v>
      </c>
      <c r="I107" s="36">
        <f>I109+I113</f>
        <v>1852000</v>
      </c>
      <c r="J107" s="36">
        <f>J109+J113</f>
        <v>1852000</v>
      </c>
      <c r="K107" s="36">
        <f>K109+K113</f>
        <v>0</v>
      </c>
    </row>
    <row r="108" spans="1:11" ht="12.75">
      <c r="A108" s="38"/>
      <c r="B108" s="39"/>
      <c r="C108" s="40"/>
      <c r="D108" s="5"/>
      <c r="E108" s="5"/>
      <c r="F108" s="209"/>
      <c r="G108" s="134"/>
      <c r="H108" s="210"/>
      <c r="I108" s="41"/>
      <c r="J108" s="41"/>
      <c r="K108" s="41"/>
    </row>
    <row r="109" spans="1:11" s="53" customFormat="1" ht="27">
      <c r="A109" s="205">
        <v>12</v>
      </c>
      <c r="B109" s="1068" t="s">
        <v>304</v>
      </c>
      <c r="C109" s="1069"/>
      <c r="D109" s="206">
        <f>D111</f>
        <v>430000</v>
      </c>
      <c r="E109" s="206">
        <f>E111</f>
        <v>430000</v>
      </c>
      <c r="F109" s="206">
        <f>F111</f>
        <v>0</v>
      </c>
      <c r="G109" s="134"/>
      <c r="H109" s="207" t="s">
        <v>304</v>
      </c>
      <c r="I109" s="206">
        <f>I111</f>
        <v>430000</v>
      </c>
      <c r="J109" s="206">
        <f>J111</f>
        <v>430000</v>
      </c>
      <c r="K109" s="206">
        <f>K111</f>
        <v>0</v>
      </c>
    </row>
    <row r="110" spans="1:11" s="37" customFormat="1" ht="12.75">
      <c r="A110" s="34"/>
      <c r="B110" s="35"/>
      <c r="C110" s="54"/>
      <c r="D110" s="192"/>
      <c r="E110" s="36"/>
      <c r="F110" s="36"/>
      <c r="G110" s="134"/>
      <c r="H110" s="141"/>
      <c r="I110" s="202"/>
      <c r="J110" s="55"/>
      <c r="K110" s="55"/>
    </row>
    <row r="111" spans="1:11" ht="12.75">
      <c r="A111" s="47"/>
      <c r="B111" s="47"/>
      <c r="C111" s="48" t="s">
        <v>291</v>
      </c>
      <c r="D111" s="190">
        <f>E111+F111</f>
        <v>430000</v>
      </c>
      <c r="E111" s="41">
        <v>430000</v>
      </c>
      <c r="F111" s="41">
        <v>0</v>
      </c>
      <c r="G111" s="134"/>
      <c r="H111" s="140" t="s">
        <v>386</v>
      </c>
      <c r="I111" s="190">
        <f>J111+K111</f>
        <v>430000</v>
      </c>
      <c r="J111" s="41">
        <v>430000</v>
      </c>
      <c r="K111" s="41">
        <v>0</v>
      </c>
    </row>
    <row r="112" spans="1:11" ht="12.75">
      <c r="A112" s="38"/>
      <c r="B112" s="39"/>
      <c r="C112" s="40"/>
      <c r="D112" s="193"/>
      <c r="E112" s="5"/>
      <c r="F112" s="5"/>
      <c r="G112" s="134"/>
      <c r="H112" s="136"/>
      <c r="I112" s="197"/>
      <c r="J112" s="41"/>
      <c r="K112" s="41"/>
    </row>
    <row r="113" spans="1:11" s="53" customFormat="1" ht="27">
      <c r="A113" s="164">
        <v>13</v>
      </c>
      <c r="B113" s="1064" t="s">
        <v>305</v>
      </c>
      <c r="C113" s="1065"/>
      <c r="D113" s="52">
        <f>D115</f>
        <v>1422000</v>
      </c>
      <c r="E113" s="52">
        <f>E115</f>
        <v>1422000</v>
      </c>
      <c r="F113" s="52">
        <f>F115</f>
        <v>0</v>
      </c>
      <c r="G113" s="134"/>
      <c r="H113" s="165" t="s">
        <v>305</v>
      </c>
      <c r="I113" s="52">
        <f>I115+I117</f>
        <v>1422000</v>
      </c>
      <c r="J113" s="52">
        <f>J115+J117</f>
        <v>1422000</v>
      </c>
      <c r="K113" s="52">
        <f>K115+K117</f>
        <v>0</v>
      </c>
    </row>
    <row r="114" spans="1:11" s="37" customFormat="1" ht="12.75">
      <c r="A114" s="34"/>
      <c r="B114" s="35"/>
      <c r="C114" s="54"/>
      <c r="D114" s="192"/>
      <c r="E114" s="36"/>
      <c r="F114" s="36"/>
      <c r="G114" s="134"/>
      <c r="H114" s="141"/>
      <c r="I114" s="202"/>
      <c r="J114" s="55"/>
      <c r="K114" s="55"/>
    </row>
    <row r="115" spans="1:11" ht="12.75">
      <c r="A115" s="47"/>
      <c r="B115" s="47"/>
      <c r="C115" s="48" t="s">
        <v>291</v>
      </c>
      <c r="D115" s="190">
        <f>E115+F115</f>
        <v>1422000</v>
      </c>
      <c r="E115" s="41">
        <v>1422000</v>
      </c>
      <c r="F115" s="41">
        <v>0</v>
      </c>
      <c r="G115" s="134"/>
      <c r="H115" s="140" t="s">
        <v>121</v>
      </c>
      <c r="I115" s="190">
        <f>J115+K115</f>
        <v>1262275</v>
      </c>
      <c r="J115" s="41">
        <f>929275+142000+175000+16000</f>
        <v>1262275</v>
      </c>
      <c r="K115" s="41">
        <v>0</v>
      </c>
    </row>
    <row r="116" spans="1:11" ht="12.75">
      <c r="A116" s="38"/>
      <c r="B116" s="39"/>
      <c r="C116" s="40"/>
      <c r="D116" s="193"/>
      <c r="E116" s="41"/>
      <c r="F116" s="41"/>
      <c r="G116" s="134"/>
      <c r="H116" s="136"/>
      <c r="I116" s="190"/>
      <c r="J116" s="41"/>
      <c r="K116" s="41"/>
    </row>
    <row r="117" spans="1:11" s="37" customFormat="1" ht="12.75">
      <c r="A117" s="63"/>
      <c r="B117" s="63"/>
      <c r="C117" s="60" t="s">
        <v>215</v>
      </c>
      <c r="D117" s="60" t="s">
        <v>215</v>
      </c>
      <c r="E117" s="60" t="s">
        <v>215</v>
      </c>
      <c r="F117" s="60" t="s">
        <v>215</v>
      </c>
      <c r="G117" s="134"/>
      <c r="H117" s="140" t="s">
        <v>294</v>
      </c>
      <c r="I117" s="190">
        <f>J117+K117</f>
        <v>159725</v>
      </c>
      <c r="J117" s="41">
        <f>1000+7820+5000+25000+4500+1500+30000+7000+20000+12000+100+41305+2500+2000</f>
        <v>159725</v>
      </c>
      <c r="K117" s="41">
        <v>0</v>
      </c>
    </row>
    <row r="118" spans="1:11" s="37" customFormat="1" ht="12.75">
      <c r="A118" s="63"/>
      <c r="B118" s="63"/>
      <c r="C118" s="60"/>
      <c r="D118" s="60"/>
      <c r="E118" s="60"/>
      <c r="F118" s="60"/>
      <c r="G118" s="134"/>
      <c r="H118" s="140"/>
      <c r="I118" s="190"/>
      <c r="J118" s="50"/>
      <c r="K118" s="50"/>
    </row>
    <row r="119" spans="1:11" s="29" customFormat="1" ht="28.5">
      <c r="A119" s="153"/>
      <c r="B119" s="154" t="s">
        <v>47</v>
      </c>
      <c r="C119" s="169" t="s">
        <v>48</v>
      </c>
      <c r="D119" s="113">
        <f>D121+D127+D133</f>
        <v>902000</v>
      </c>
      <c r="E119" s="113">
        <f>E121+E127+E133</f>
        <v>744000</v>
      </c>
      <c r="F119" s="113">
        <f>F121+F127+F133</f>
        <v>158000</v>
      </c>
      <c r="G119" s="152"/>
      <c r="H119" s="170" t="s">
        <v>48</v>
      </c>
      <c r="I119" s="113">
        <f>I121+I127+I133</f>
        <v>902000</v>
      </c>
      <c r="J119" s="113">
        <f>J121+J127+J133</f>
        <v>744000</v>
      </c>
      <c r="K119" s="113">
        <f>K121+K127+K133</f>
        <v>158000</v>
      </c>
    </row>
    <row r="120" spans="1:11" s="29" customFormat="1" ht="14.25">
      <c r="A120" s="64"/>
      <c r="B120" s="65"/>
      <c r="C120" s="66"/>
      <c r="D120" s="3"/>
      <c r="E120" s="3"/>
      <c r="F120" s="3"/>
      <c r="G120" s="134"/>
      <c r="H120" s="143"/>
      <c r="I120" s="3"/>
      <c r="J120" s="3"/>
      <c r="K120" s="3"/>
    </row>
    <row r="121" spans="1:11" s="37" customFormat="1" ht="12.75">
      <c r="A121" s="63"/>
      <c r="B121" s="166" t="s">
        <v>269</v>
      </c>
      <c r="C121" s="167" t="s">
        <v>66</v>
      </c>
      <c r="D121" s="36">
        <f>D123</f>
        <v>295000</v>
      </c>
      <c r="E121" s="36">
        <f>E123</f>
        <v>137000</v>
      </c>
      <c r="F121" s="36">
        <f>F123</f>
        <v>158000</v>
      </c>
      <c r="G121" s="134"/>
      <c r="H121" s="168" t="s">
        <v>66</v>
      </c>
      <c r="I121" s="36">
        <f>I123</f>
        <v>295000</v>
      </c>
      <c r="J121" s="36">
        <f>J123</f>
        <v>137000</v>
      </c>
      <c r="K121" s="36">
        <f>K123</f>
        <v>158000</v>
      </c>
    </row>
    <row r="122" spans="1:11" ht="12.75">
      <c r="A122" s="38"/>
      <c r="B122" s="67"/>
      <c r="C122" s="40"/>
      <c r="D122" s="5"/>
      <c r="E122" s="5"/>
      <c r="F122" s="5"/>
      <c r="G122" s="134"/>
      <c r="H122" s="136"/>
      <c r="I122" s="41"/>
      <c r="J122" s="41"/>
      <c r="K122" s="41"/>
    </row>
    <row r="123" spans="1:11" s="53" customFormat="1" ht="13.5">
      <c r="A123" s="164">
        <v>14</v>
      </c>
      <c r="B123" s="1064" t="s">
        <v>306</v>
      </c>
      <c r="C123" s="1065"/>
      <c r="D123" s="52">
        <f>D125</f>
        <v>295000</v>
      </c>
      <c r="E123" s="52">
        <f>E125</f>
        <v>137000</v>
      </c>
      <c r="F123" s="52">
        <f>F125</f>
        <v>158000</v>
      </c>
      <c r="G123" s="134"/>
      <c r="H123" s="165" t="s">
        <v>306</v>
      </c>
      <c r="I123" s="52">
        <f>I125</f>
        <v>295000</v>
      </c>
      <c r="J123" s="52">
        <f>J125</f>
        <v>137000</v>
      </c>
      <c r="K123" s="52">
        <f>K125</f>
        <v>158000</v>
      </c>
    </row>
    <row r="124" spans="1:11" s="37" customFormat="1" ht="12.75">
      <c r="A124" s="34"/>
      <c r="B124" s="35"/>
      <c r="C124" s="54"/>
      <c r="D124" s="192"/>
      <c r="E124" s="36"/>
      <c r="F124" s="36"/>
      <c r="G124" s="134"/>
      <c r="H124" s="141"/>
      <c r="I124" s="202"/>
      <c r="J124" s="55"/>
      <c r="K124" s="55"/>
    </row>
    <row r="125" spans="1:11" ht="12.75">
      <c r="A125" s="47"/>
      <c r="B125" s="47"/>
      <c r="C125" s="48" t="s">
        <v>291</v>
      </c>
      <c r="D125" s="190">
        <f>E125+F125</f>
        <v>295000</v>
      </c>
      <c r="E125" s="41">
        <v>137000</v>
      </c>
      <c r="F125" s="41">
        <v>158000</v>
      </c>
      <c r="G125" s="134"/>
      <c r="H125" s="140" t="s">
        <v>112</v>
      </c>
      <c r="I125" s="190">
        <f>J125+K125</f>
        <v>295000</v>
      </c>
      <c r="J125" s="41">
        <v>137000</v>
      </c>
      <c r="K125" s="41">
        <v>158000</v>
      </c>
    </row>
    <row r="126" spans="1:11" ht="12.75">
      <c r="A126" s="38"/>
      <c r="B126" s="39"/>
      <c r="C126" s="40"/>
      <c r="D126" s="193"/>
      <c r="E126" s="5"/>
      <c r="F126" s="5"/>
      <c r="G126" s="134"/>
      <c r="H126" s="136"/>
      <c r="I126" s="197"/>
      <c r="J126" s="41"/>
      <c r="K126" s="41"/>
    </row>
    <row r="127" spans="1:11" s="37" customFormat="1" ht="12.75">
      <c r="A127" s="63"/>
      <c r="B127" s="166" t="s">
        <v>307</v>
      </c>
      <c r="C127" s="167" t="s">
        <v>67</v>
      </c>
      <c r="D127" s="36">
        <f>D129</f>
        <v>59000</v>
      </c>
      <c r="E127" s="36">
        <f>E129</f>
        <v>59000</v>
      </c>
      <c r="F127" s="36">
        <f>F129</f>
        <v>0</v>
      </c>
      <c r="G127" s="134"/>
      <c r="H127" s="168" t="s">
        <v>67</v>
      </c>
      <c r="I127" s="36">
        <f>I129</f>
        <v>59000</v>
      </c>
      <c r="J127" s="36">
        <f>J129</f>
        <v>59000</v>
      </c>
      <c r="K127" s="36">
        <f>K129</f>
        <v>0</v>
      </c>
    </row>
    <row r="128" spans="1:11" ht="12.75">
      <c r="A128" s="38"/>
      <c r="B128" s="39"/>
      <c r="C128" s="40"/>
      <c r="D128" s="5"/>
      <c r="E128" s="5"/>
      <c r="F128" s="5"/>
      <c r="G128" s="134"/>
      <c r="H128" s="136"/>
      <c r="I128" s="41"/>
      <c r="J128" s="41"/>
      <c r="K128" s="41"/>
    </row>
    <row r="129" spans="1:11" s="53" customFormat="1" ht="13.5">
      <c r="A129" s="164">
        <v>15</v>
      </c>
      <c r="B129" s="1064" t="s">
        <v>308</v>
      </c>
      <c r="C129" s="1065"/>
      <c r="D129" s="52">
        <f>D131</f>
        <v>59000</v>
      </c>
      <c r="E129" s="52">
        <f>E131</f>
        <v>59000</v>
      </c>
      <c r="F129" s="52">
        <f>F131</f>
        <v>0</v>
      </c>
      <c r="G129" s="134"/>
      <c r="H129" s="165" t="s">
        <v>308</v>
      </c>
      <c r="I129" s="52">
        <f>I131</f>
        <v>59000</v>
      </c>
      <c r="J129" s="52">
        <f>J131</f>
        <v>59000</v>
      </c>
      <c r="K129" s="52">
        <f>K131</f>
        <v>0</v>
      </c>
    </row>
    <row r="130" spans="1:11" s="37" customFormat="1" ht="12.75">
      <c r="A130" s="34"/>
      <c r="B130" s="35"/>
      <c r="C130" s="54"/>
      <c r="D130" s="192"/>
      <c r="E130" s="36"/>
      <c r="F130" s="36"/>
      <c r="G130" s="134"/>
      <c r="H130" s="141"/>
      <c r="I130" s="202"/>
      <c r="J130" s="55"/>
      <c r="K130" s="55"/>
    </row>
    <row r="131" spans="1:11" ht="12.75">
      <c r="A131" s="47"/>
      <c r="B131" s="47"/>
      <c r="C131" s="48" t="s">
        <v>291</v>
      </c>
      <c r="D131" s="190">
        <f>E131+F131</f>
        <v>59000</v>
      </c>
      <c r="E131" s="41">
        <v>59000</v>
      </c>
      <c r="F131" s="41">
        <v>0</v>
      </c>
      <c r="G131" s="134"/>
      <c r="H131" s="140" t="s">
        <v>112</v>
      </c>
      <c r="I131" s="190">
        <f>J131+K131</f>
        <v>59000</v>
      </c>
      <c r="J131" s="41">
        <v>59000</v>
      </c>
      <c r="K131" s="41">
        <v>0</v>
      </c>
    </row>
    <row r="132" spans="1:11" ht="12.75">
      <c r="A132" s="38"/>
      <c r="B132" s="38"/>
      <c r="C132" s="46"/>
      <c r="D132" s="41"/>
      <c r="E132" s="41"/>
      <c r="F132" s="41"/>
      <c r="G132" s="134"/>
      <c r="H132" s="138"/>
      <c r="I132" s="197"/>
      <c r="J132" s="41"/>
      <c r="K132" s="41"/>
    </row>
    <row r="133" spans="1:11" s="37" customFormat="1" ht="12.75">
      <c r="A133" s="63"/>
      <c r="B133" s="166" t="s">
        <v>286</v>
      </c>
      <c r="C133" s="167" t="s">
        <v>73</v>
      </c>
      <c r="D133" s="36">
        <f>D135</f>
        <v>548000</v>
      </c>
      <c r="E133" s="36">
        <f>E135</f>
        <v>548000</v>
      </c>
      <c r="F133" s="36">
        <f>F135</f>
        <v>0</v>
      </c>
      <c r="G133" s="134"/>
      <c r="H133" s="168" t="s">
        <v>73</v>
      </c>
      <c r="I133" s="36">
        <f>I135</f>
        <v>548000</v>
      </c>
      <c r="J133" s="36">
        <f>J135</f>
        <v>548000</v>
      </c>
      <c r="K133" s="36">
        <f>K135</f>
        <v>0</v>
      </c>
    </row>
    <row r="134" spans="1:11" ht="12.75">
      <c r="A134" s="38"/>
      <c r="B134" s="39"/>
      <c r="C134" s="40"/>
      <c r="D134" s="5"/>
      <c r="E134" s="5"/>
      <c r="F134" s="209"/>
      <c r="G134" s="134"/>
      <c r="H134" s="210"/>
      <c r="I134" s="41"/>
      <c r="J134" s="41"/>
      <c r="K134" s="41"/>
    </row>
    <row r="135" spans="1:11" s="53" customFormat="1" ht="13.5">
      <c r="A135" s="205">
        <v>16</v>
      </c>
      <c r="B135" s="1068" t="s">
        <v>309</v>
      </c>
      <c r="C135" s="1069"/>
      <c r="D135" s="206">
        <f>D137</f>
        <v>548000</v>
      </c>
      <c r="E135" s="206">
        <f>E137</f>
        <v>548000</v>
      </c>
      <c r="F135" s="206">
        <f>F137</f>
        <v>0</v>
      </c>
      <c r="G135" s="134"/>
      <c r="H135" s="207" t="s">
        <v>309</v>
      </c>
      <c r="I135" s="206">
        <f>I137</f>
        <v>548000</v>
      </c>
      <c r="J135" s="206">
        <f>J137</f>
        <v>548000</v>
      </c>
      <c r="K135" s="206">
        <f>K137</f>
        <v>0</v>
      </c>
    </row>
    <row r="136" spans="1:11" s="37" customFormat="1" ht="12.75">
      <c r="A136" s="34"/>
      <c r="B136" s="35"/>
      <c r="C136" s="54"/>
      <c r="D136" s="192"/>
      <c r="E136" s="36"/>
      <c r="F136" s="36"/>
      <c r="G136" s="134"/>
      <c r="H136" s="141"/>
      <c r="I136" s="202"/>
      <c r="J136" s="55"/>
      <c r="K136" s="55"/>
    </row>
    <row r="137" spans="1:11" ht="12.75">
      <c r="A137" s="47"/>
      <c r="B137" s="47"/>
      <c r="C137" s="48" t="s">
        <v>291</v>
      </c>
      <c r="D137" s="190">
        <f>E137+F137</f>
        <v>548000</v>
      </c>
      <c r="E137" s="41">
        <v>548000</v>
      </c>
      <c r="F137" s="41">
        <v>0</v>
      </c>
      <c r="G137" s="134"/>
      <c r="H137" s="140" t="s">
        <v>121</v>
      </c>
      <c r="I137" s="190">
        <f>J137+K137</f>
        <v>548000</v>
      </c>
      <c r="J137" s="41">
        <v>548000</v>
      </c>
      <c r="K137" s="41">
        <v>0</v>
      </c>
    </row>
    <row r="138" spans="1:11" ht="12.75">
      <c r="A138" s="47"/>
      <c r="B138" s="58"/>
      <c r="C138" s="59"/>
      <c r="D138" s="191"/>
      <c r="E138" s="60"/>
      <c r="F138" s="60"/>
      <c r="G138" s="134"/>
      <c r="H138" s="142"/>
      <c r="I138" s="190"/>
      <c r="J138" s="50"/>
      <c r="K138" s="50"/>
    </row>
    <row r="139" spans="1:11" s="27" customFormat="1" ht="15.75">
      <c r="A139" s="147"/>
      <c r="B139" s="147"/>
      <c r="C139" s="148" t="s">
        <v>123</v>
      </c>
      <c r="D139" s="122">
        <f>D13</f>
        <v>40846000</v>
      </c>
      <c r="E139" s="122">
        <f>E13</f>
        <v>40688000</v>
      </c>
      <c r="F139" s="122">
        <f>F13</f>
        <v>158000</v>
      </c>
      <c r="G139" s="173"/>
      <c r="H139" s="149" t="s">
        <v>123</v>
      </c>
      <c r="I139" s="200">
        <f>I141+I143+I145</f>
        <v>40846000</v>
      </c>
      <c r="J139" s="122">
        <f>J141+J143+J145</f>
        <v>40688000</v>
      </c>
      <c r="K139" s="122">
        <f>K141+K143+K145</f>
        <v>158000</v>
      </c>
    </row>
    <row r="140" spans="1:11" ht="12.75">
      <c r="A140" s="112"/>
      <c r="C140" s="69"/>
      <c r="D140" s="195"/>
      <c r="E140" s="70"/>
      <c r="F140" s="70"/>
      <c r="G140" s="144"/>
      <c r="H140" s="145" t="s">
        <v>113</v>
      </c>
      <c r="I140" s="185"/>
      <c r="J140" s="71"/>
      <c r="K140" s="71"/>
    </row>
    <row r="141" spans="1:11" ht="12.75">
      <c r="A141" s="112"/>
      <c r="C141" s="72"/>
      <c r="D141" s="196"/>
      <c r="E141" s="73"/>
      <c r="F141" s="73"/>
      <c r="G141" s="146"/>
      <c r="H141" s="138" t="s">
        <v>310</v>
      </c>
      <c r="I141" s="187">
        <f>I21+I35+I45+I53+I69+I101+I115+I137</f>
        <v>2517175</v>
      </c>
      <c r="J141" s="41">
        <f>J21+J35+J45+J53+J69+J101+J115+J137</f>
        <v>2517175</v>
      </c>
      <c r="K141" s="41">
        <f>K21+K35+K45+K53+K69+K101+K115+K137</f>
        <v>0</v>
      </c>
    </row>
    <row r="142" spans="1:11" ht="10.5" customHeight="1">
      <c r="A142" s="112"/>
      <c r="C142" s="75"/>
      <c r="D142" s="196"/>
      <c r="E142" s="73"/>
      <c r="F142" s="73"/>
      <c r="G142" s="146"/>
      <c r="H142" s="136"/>
      <c r="I142" s="187"/>
      <c r="J142" s="41"/>
      <c r="K142" s="41"/>
    </row>
    <row r="143" spans="1:11" ht="12.75">
      <c r="A143" s="2"/>
      <c r="C143" s="72"/>
      <c r="D143" s="196"/>
      <c r="E143" s="73"/>
      <c r="F143" s="73"/>
      <c r="G143" s="146"/>
      <c r="H143" s="138" t="s">
        <v>311</v>
      </c>
      <c r="I143" s="187">
        <f>I37+I55+I61+I71+I79+I87+I93+I103+I117+I125+I131</f>
        <v>898825</v>
      </c>
      <c r="J143" s="41">
        <f>J37+J55+J61+J71+J79+J87+J93+J103+J117+J125+J131</f>
        <v>740825</v>
      </c>
      <c r="K143" s="41">
        <f>K37+K55+K61+K71+K79+K87+K93+K103+K117+K125+K131</f>
        <v>158000</v>
      </c>
    </row>
    <row r="144" spans="1:11" ht="10.5" customHeight="1">
      <c r="A144" s="2"/>
      <c r="C144" s="75"/>
      <c r="D144" s="196"/>
      <c r="E144" s="73"/>
      <c r="F144" s="73"/>
      <c r="G144" s="146"/>
      <c r="H144" s="136"/>
      <c r="I144" s="187"/>
      <c r="J144" s="41"/>
      <c r="K144" s="41"/>
    </row>
    <row r="145" spans="3:11" ht="12.75">
      <c r="C145" s="72"/>
      <c r="D145" s="196"/>
      <c r="E145" s="73"/>
      <c r="F145" s="73"/>
      <c r="G145" s="146"/>
      <c r="H145" s="138" t="s">
        <v>387</v>
      </c>
      <c r="I145" s="187">
        <f>I29+I111</f>
        <v>37430000</v>
      </c>
      <c r="J145" s="41">
        <f>J29+J111</f>
        <v>37430000</v>
      </c>
      <c r="K145" s="41">
        <f>K29+K111</f>
        <v>0</v>
      </c>
    </row>
    <row r="146" spans="7:9" ht="12.75">
      <c r="G146" s="133"/>
      <c r="H146" s="133"/>
      <c r="I146" s="204"/>
    </row>
    <row r="147" ht="12.75">
      <c r="I147" s="204"/>
    </row>
  </sheetData>
  <sheetProtection password="C25B" sheet="1"/>
  <mergeCells count="29">
    <mergeCell ref="I9:I10"/>
    <mergeCell ref="J9:K9"/>
    <mergeCell ref="G8:G10"/>
    <mergeCell ref="A4:K4"/>
    <mergeCell ref="A5:K5"/>
    <mergeCell ref="C8:C10"/>
    <mergeCell ref="D8:F8"/>
    <mergeCell ref="H8:H10"/>
    <mergeCell ref="I8:K8"/>
    <mergeCell ref="D9:D10"/>
    <mergeCell ref="E9:F9"/>
    <mergeCell ref="B135:C135"/>
    <mergeCell ref="B129:C129"/>
    <mergeCell ref="B123:C123"/>
    <mergeCell ref="B113:C113"/>
    <mergeCell ref="B109:C109"/>
    <mergeCell ref="B99:C99"/>
    <mergeCell ref="B91:C91"/>
    <mergeCell ref="B85:C85"/>
    <mergeCell ref="B77:C77"/>
    <mergeCell ref="B19:C19"/>
    <mergeCell ref="A8:A10"/>
    <mergeCell ref="B8:B10"/>
    <mergeCell ref="B67:C67"/>
    <mergeCell ref="B59:C59"/>
    <mergeCell ref="B51:C51"/>
    <mergeCell ref="B43:C43"/>
    <mergeCell ref="B33:C33"/>
    <mergeCell ref="B27:C2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F7" sqref="F7"/>
    </sheetView>
  </sheetViews>
  <sheetFormatPr defaultColWidth="8.796875" defaultRowHeight="14.25"/>
  <cols>
    <col min="1" max="1" width="3.59765625" style="21" customWidth="1"/>
    <col min="2" max="2" width="7.19921875" style="2" customWidth="1"/>
    <col min="3" max="3" width="36.09765625" style="2" customWidth="1"/>
    <col min="4" max="5" width="12.5" style="2" customWidth="1"/>
    <col min="6" max="6" width="11.3984375" style="2" customWidth="1"/>
    <col min="7" max="7" width="2.09765625" style="2" customWidth="1"/>
    <col min="8" max="8" width="13.09765625" style="2" customWidth="1"/>
    <col min="9" max="9" width="13" style="2" customWidth="1"/>
    <col min="10" max="11" width="11.19921875" style="2" customWidth="1"/>
    <col min="12" max="16384" width="9" style="2" customWidth="1"/>
  </cols>
  <sheetData>
    <row r="1" spans="3:11" ht="12.75">
      <c r="C1" s="72"/>
      <c r="D1" s="74"/>
      <c r="E1" s="74"/>
      <c r="F1" s="74"/>
      <c r="G1" s="74"/>
      <c r="H1" s="68"/>
      <c r="I1" s="68"/>
      <c r="J1" s="68"/>
      <c r="K1" s="68"/>
    </row>
    <row r="2" spans="1:14" s="80" customFormat="1" ht="16.5" customHeight="1">
      <c r="A2" s="1079" t="s">
        <v>312</v>
      </c>
      <c r="B2" s="1079"/>
      <c r="C2" s="1079"/>
      <c r="D2" s="1079"/>
      <c r="E2" s="1079"/>
      <c r="F2" s="1079"/>
      <c r="G2" s="76"/>
      <c r="H2" s="77"/>
      <c r="I2" s="78"/>
      <c r="J2" s="79"/>
      <c r="K2" s="79"/>
      <c r="L2" s="79"/>
      <c r="M2" s="79"/>
      <c r="N2" s="79"/>
    </row>
    <row r="3" spans="1:14" s="80" customFormat="1" ht="16.5" customHeight="1">
      <c r="A3" s="1079" t="s">
        <v>356</v>
      </c>
      <c r="B3" s="1079"/>
      <c r="C3" s="1079"/>
      <c r="D3" s="1079"/>
      <c r="E3" s="1079"/>
      <c r="F3" s="1079"/>
      <c r="G3" s="76"/>
      <c r="H3" s="77"/>
      <c r="I3" s="78"/>
      <c r="J3" s="79"/>
      <c r="K3" s="79"/>
      <c r="L3" s="79"/>
      <c r="M3" s="79"/>
      <c r="N3" s="79"/>
    </row>
    <row r="4" spans="1:14" s="85" customFormat="1" ht="15">
      <c r="A4" s="1080"/>
      <c r="B4" s="1080"/>
      <c r="C4" s="1080"/>
      <c r="D4" s="1080"/>
      <c r="E4" s="1080"/>
      <c r="F4" s="1080"/>
      <c r="G4" s="81"/>
      <c r="H4" s="82"/>
      <c r="I4" s="83"/>
      <c r="J4" s="84"/>
      <c r="K4" s="84"/>
      <c r="L4" s="84"/>
      <c r="M4" s="84"/>
      <c r="N4" s="84"/>
    </row>
    <row r="5" spans="1:14" s="80" customFormat="1" ht="13.5" customHeight="1">
      <c r="A5" s="579" t="s">
        <v>1172</v>
      </c>
      <c r="B5" s="580"/>
      <c r="C5" s="580"/>
      <c r="D5" s="76"/>
      <c r="E5" s="86"/>
      <c r="F5" s="87" t="s">
        <v>17</v>
      </c>
      <c r="G5" s="88"/>
      <c r="H5" s="77"/>
      <c r="I5" s="78"/>
      <c r="J5" s="79"/>
      <c r="K5" s="79"/>
      <c r="L5" s="79"/>
      <c r="M5" s="79"/>
      <c r="N5" s="79"/>
    </row>
    <row r="6" spans="1:14" s="80" customFormat="1" ht="15" customHeight="1">
      <c r="A6" s="968" t="s">
        <v>217</v>
      </c>
      <c r="B6" s="968" t="s">
        <v>313</v>
      </c>
      <c r="C6" s="968" t="s">
        <v>314</v>
      </c>
      <c r="D6" s="968" t="s">
        <v>20</v>
      </c>
      <c r="E6" s="1081" t="s">
        <v>315</v>
      </c>
      <c r="F6" s="1081"/>
      <c r="G6" s="86"/>
      <c r="H6" s="77"/>
      <c r="I6" s="78"/>
      <c r="J6" s="79"/>
      <c r="K6" s="79"/>
      <c r="L6" s="79"/>
      <c r="M6" s="79"/>
      <c r="N6" s="79"/>
    </row>
    <row r="7" spans="1:14" s="80" customFormat="1" ht="29.25" customHeight="1">
      <c r="A7" s="968"/>
      <c r="B7" s="968"/>
      <c r="C7" s="968"/>
      <c r="D7" s="968"/>
      <c r="E7" s="9" t="s">
        <v>316</v>
      </c>
      <c r="F7" s="9" t="s">
        <v>317</v>
      </c>
      <c r="G7" s="89"/>
      <c r="H7" s="77"/>
      <c r="I7" s="78"/>
      <c r="J7" s="79"/>
      <c r="K7" s="79"/>
      <c r="L7" s="79"/>
      <c r="M7" s="90"/>
      <c r="N7" s="90"/>
    </row>
    <row r="8" spans="1:14" s="80" customFormat="1" ht="16.5" customHeight="1">
      <c r="A8" s="91">
        <v>1</v>
      </c>
      <c r="B8" s="91">
        <v>2</v>
      </c>
      <c r="C8" s="91">
        <v>3</v>
      </c>
      <c r="D8" s="91">
        <v>4</v>
      </c>
      <c r="E8" s="91" t="s">
        <v>318</v>
      </c>
      <c r="F8" s="91" t="s">
        <v>319</v>
      </c>
      <c r="G8" s="92"/>
      <c r="H8" s="77"/>
      <c r="I8" s="78"/>
      <c r="J8" s="79"/>
      <c r="K8" s="79"/>
      <c r="L8" s="79"/>
      <c r="M8" s="90"/>
      <c r="N8" s="90"/>
    </row>
    <row r="9" spans="1:14" s="80" customFormat="1" ht="7.5" customHeight="1">
      <c r="A9" s="9"/>
      <c r="B9" s="9"/>
      <c r="C9" s="9"/>
      <c r="D9" s="9"/>
      <c r="E9" s="9"/>
      <c r="F9" s="9"/>
      <c r="G9" s="89"/>
      <c r="H9" s="77"/>
      <c r="I9" s="78"/>
      <c r="J9" s="79"/>
      <c r="K9" s="79"/>
      <c r="L9" s="79"/>
      <c r="M9" s="90"/>
      <c r="N9" s="90"/>
    </row>
    <row r="10" spans="1:14" s="98" customFormat="1" ht="13.5">
      <c r="A10" s="162"/>
      <c r="B10" s="162"/>
      <c r="C10" s="160" t="s">
        <v>123</v>
      </c>
      <c r="D10" s="219">
        <f>D12+D18+D24+D30</f>
        <v>142000</v>
      </c>
      <c r="E10" s="219">
        <f>E12+E18+E24+E30</f>
        <v>134900</v>
      </c>
      <c r="F10" s="219">
        <f>F12+F18+F24+F30</f>
        <v>7100</v>
      </c>
      <c r="G10" s="93"/>
      <c r="H10" s="94"/>
      <c r="I10" s="95"/>
      <c r="J10" s="96"/>
      <c r="K10" s="96"/>
      <c r="L10" s="96"/>
      <c r="M10" s="97"/>
      <c r="N10" s="97"/>
    </row>
    <row r="11" spans="1:14" s="98" customFormat="1" ht="7.5" customHeight="1">
      <c r="A11" s="162"/>
      <c r="B11" s="220"/>
      <c r="C11" s="160"/>
      <c r="D11" s="219"/>
      <c r="E11" s="219"/>
      <c r="F11" s="219"/>
      <c r="G11" s="93"/>
      <c r="H11" s="94"/>
      <c r="I11" s="95"/>
      <c r="J11" s="96"/>
      <c r="K11" s="96"/>
      <c r="L11" s="96"/>
      <c r="M11" s="97"/>
      <c r="N11" s="97"/>
    </row>
    <row r="12" spans="1:14" s="98" customFormat="1" ht="13.5">
      <c r="A12" s="220"/>
      <c r="B12" s="220" t="s">
        <v>27</v>
      </c>
      <c r="C12" s="160" t="s">
        <v>28</v>
      </c>
      <c r="D12" s="219">
        <f>D14</f>
        <v>100000</v>
      </c>
      <c r="E12" s="219">
        <f>E14</f>
        <v>95000</v>
      </c>
      <c r="F12" s="219">
        <f>F14</f>
        <v>5000</v>
      </c>
      <c r="G12" s="93"/>
      <c r="H12" s="94"/>
      <c r="I12" s="95"/>
      <c r="J12" s="96"/>
      <c r="K12" s="96"/>
      <c r="L12" s="96"/>
      <c r="M12" s="97"/>
      <c r="N12" s="97"/>
    </row>
    <row r="13" spans="1:14" s="98" customFormat="1" ht="7.5" customHeight="1">
      <c r="A13" s="220"/>
      <c r="B13" s="220"/>
      <c r="C13" s="160"/>
      <c r="D13" s="219"/>
      <c r="E13" s="219"/>
      <c r="F13" s="219"/>
      <c r="G13" s="93"/>
      <c r="H13" s="94"/>
      <c r="I13" s="95"/>
      <c r="J13" s="96"/>
      <c r="K13" s="96"/>
      <c r="L13" s="96"/>
      <c r="M13" s="97"/>
      <c r="N13" s="97"/>
    </row>
    <row r="14" spans="1:14" s="98" customFormat="1" ht="27">
      <c r="A14" s="101"/>
      <c r="B14" s="101" t="s">
        <v>144</v>
      </c>
      <c r="C14" s="102" t="s">
        <v>320</v>
      </c>
      <c r="D14" s="99">
        <f>D16</f>
        <v>100000</v>
      </c>
      <c r="E14" s="99">
        <f>E16</f>
        <v>95000</v>
      </c>
      <c r="F14" s="99">
        <f>F16</f>
        <v>5000</v>
      </c>
      <c r="G14" s="100"/>
      <c r="H14" s="94"/>
      <c r="I14" s="95"/>
      <c r="J14" s="96"/>
      <c r="K14" s="96"/>
      <c r="L14" s="96"/>
      <c r="M14" s="97"/>
      <c r="N14" s="97"/>
    </row>
    <row r="15" spans="1:14" s="98" customFormat="1" ht="7.5" customHeight="1">
      <c r="A15" s="101"/>
      <c r="B15" s="101"/>
      <c r="C15" s="102"/>
      <c r="D15" s="99"/>
      <c r="E15" s="103"/>
      <c r="F15" s="103"/>
      <c r="G15" s="104"/>
      <c r="H15" s="94"/>
      <c r="I15" s="95"/>
      <c r="J15" s="96"/>
      <c r="K15" s="96"/>
      <c r="L15" s="96"/>
      <c r="M15" s="97"/>
      <c r="N15" s="97"/>
    </row>
    <row r="16" spans="1:14" s="80" customFormat="1" ht="12.75">
      <c r="A16" s="107"/>
      <c r="B16" s="107" t="s">
        <v>74</v>
      </c>
      <c r="C16" s="108" t="s">
        <v>75</v>
      </c>
      <c r="D16" s="105">
        <f>E16+F16</f>
        <v>100000</v>
      </c>
      <c r="E16" s="105">
        <v>95000</v>
      </c>
      <c r="F16" s="105">
        <v>5000</v>
      </c>
      <c r="G16" s="106"/>
      <c r="H16" s="77"/>
      <c r="I16" s="78"/>
      <c r="J16" s="79"/>
      <c r="K16" s="79"/>
      <c r="L16" s="79"/>
      <c r="M16" s="90"/>
      <c r="N16" s="90"/>
    </row>
    <row r="17" spans="1:14" s="80" customFormat="1" ht="7.5" customHeight="1">
      <c r="A17" s="107"/>
      <c r="B17" s="107"/>
      <c r="C17" s="108"/>
      <c r="D17" s="105"/>
      <c r="E17" s="105"/>
      <c r="F17" s="105"/>
      <c r="G17" s="106"/>
      <c r="H17" s="77"/>
      <c r="I17" s="78"/>
      <c r="J17" s="79"/>
      <c r="K17" s="79"/>
      <c r="L17" s="79"/>
      <c r="M17" s="90"/>
      <c r="N17" s="90"/>
    </row>
    <row r="18" spans="1:14" s="98" customFormat="1" ht="13.5">
      <c r="A18" s="220"/>
      <c r="B18" s="220" t="s">
        <v>97</v>
      </c>
      <c r="C18" s="160" t="s">
        <v>98</v>
      </c>
      <c r="D18" s="219">
        <f>D20</f>
        <v>9000</v>
      </c>
      <c r="E18" s="219">
        <f>E20</f>
        <v>8550</v>
      </c>
      <c r="F18" s="219">
        <f>F20</f>
        <v>450</v>
      </c>
      <c r="G18" s="93"/>
      <c r="H18" s="94"/>
      <c r="I18" s="95"/>
      <c r="J18" s="96"/>
      <c r="K18" s="96"/>
      <c r="L18" s="96"/>
      <c r="M18" s="97"/>
      <c r="N18" s="97"/>
    </row>
    <row r="19" spans="1:14" s="98" customFormat="1" ht="7.5" customHeight="1">
      <c r="A19" s="220"/>
      <c r="B19" s="220"/>
      <c r="C19" s="160"/>
      <c r="D19" s="219"/>
      <c r="E19" s="219"/>
      <c r="F19" s="219"/>
      <c r="G19" s="93"/>
      <c r="H19" s="94"/>
      <c r="I19" s="95"/>
      <c r="J19" s="96"/>
      <c r="K19" s="96"/>
      <c r="L19" s="96"/>
      <c r="M19" s="97"/>
      <c r="N19" s="97"/>
    </row>
    <row r="20" spans="1:14" s="98" customFormat="1" ht="27">
      <c r="A20" s="101"/>
      <c r="B20" s="101" t="s">
        <v>146</v>
      </c>
      <c r="C20" s="102" t="s">
        <v>321</v>
      </c>
      <c r="D20" s="99">
        <f>D22</f>
        <v>9000</v>
      </c>
      <c r="E20" s="99">
        <f>E22</f>
        <v>8550</v>
      </c>
      <c r="F20" s="99">
        <f>F22</f>
        <v>450</v>
      </c>
      <c r="G20" s="100"/>
      <c r="H20" s="94"/>
      <c r="I20" s="95"/>
      <c r="J20" s="96"/>
      <c r="K20" s="96"/>
      <c r="L20" s="96"/>
      <c r="M20" s="97"/>
      <c r="N20" s="97"/>
    </row>
    <row r="21" spans="1:14" s="98" customFormat="1" ht="7.5" customHeight="1">
      <c r="A21" s="101"/>
      <c r="B21" s="101"/>
      <c r="C21" s="102"/>
      <c r="D21" s="99"/>
      <c r="E21" s="103"/>
      <c r="F21" s="103"/>
      <c r="G21" s="104"/>
      <c r="H21" s="94"/>
      <c r="I21" s="95"/>
      <c r="J21" s="96"/>
      <c r="K21" s="96"/>
      <c r="L21" s="96"/>
      <c r="M21" s="97"/>
      <c r="N21" s="97"/>
    </row>
    <row r="22" spans="1:14" s="80" customFormat="1" ht="12.75">
      <c r="A22" s="107"/>
      <c r="B22" s="107" t="s">
        <v>74</v>
      </c>
      <c r="C22" s="108" t="s">
        <v>75</v>
      </c>
      <c r="D22" s="105">
        <f>E22+F22</f>
        <v>9000</v>
      </c>
      <c r="E22" s="105">
        <v>8550</v>
      </c>
      <c r="F22" s="105">
        <v>450</v>
      </c>
      <c r="G22" s="106"/>
      <c r="H22" s="77"/>
      <c r="I22" s="78"/>
      <c r="J22" s="79"/>
      <c r="K22" s="79"/>
      <c r="L22" s="79"/>
      <c r="M22" s="90"/>
      <c r="N22" s="90"/>
    </row>
    <row r="23" spans="1:14" s="80" customFormat="1" ht="7.5" customHeight="1">
      <c r="A23" s="107"/>
      <c r="B23" s="107"/>
      <c r="C23" s="108"/>
      <c r="D23" s="105"/>
      <c r="E23" s="105"/>
      <c r="F23" s="105"/>
      <c r="G23" s="106"/>
      <c r="H23" s="77"/>
      <c r="I23" s="78"/>
      <c r="J23" s="79"/>
      <c r="K23" s="79"/>
      <c r="L23" s="79"/>
      <c r="M23" s="90"/>
      <c r="N23" s="90"/>
    </row>
    <row r="24" spans="1:14" s="98" customFormat="1" ht="13.5">
      <c r="A24" s="220"/>
      <c r="B24" s="220" t="s">
        <v>31</v>
      </c>
      <c r="C24" s="160" t="s">
        <v>32</v>
      </c>
      <c r="D24" s="219">
        <f>D26</f>
        <v>27000</v>
      </c>
      <c r="E24" s="219">
        <f>E26</f>
        <v>25650</v>
      </c>
      <c r="F24" s="219">
        <f>F26</f>
        <v>1350</v>
      </c>
      <c r="G24" s="93"/>
      <c r="H24" s="94"/>
      <c r="I24" s="95"/>
      <c r="J24" s="96"/>
      <c r="K24" s="96"/>
      <c r="L24" s="96"/>
      <c r="M24" s="97"/>
      <c r="N24" s="97"/>
    </row>
    <row r="25" spans="1:14" s="80" customFormat="1" ht="7.5" customHeight="1">
      <c r="A25" s="107"/>
      <c r="B25" s="107"/>
      <c r="C25" s="108"/>
      <c r="D25" s="105"/>
      <c r="E25" s="105"/>
      <c r="F25" s="105"/>
      <c r="G25" s="106"/>
      <c r="H25" s="77"/>
      <c r="I25" s="78"/>
      <c r="J25" s="79"/>
      <c r="K25" s="79"/>
      <c r="L25" s="79"/>
      <c r="M25" s="90"/>
      <c r="N25" s="90"/>
    </row>
    <row r="26" spans="1:14" s="98" customFormat="1" ht="27">
      <c r="A26" s="101"/>
      <c r="B26" s="101" t="s">
        <v>151</v>
      </c>
      <c r="C26" s="102" t="s">
        <v>322</v>
      </c>
      <c r="D26" s="99">
        <f>D28</f>
        <v>27000</v>
      </c>
      <c r="E26" s="99">
        <f>E28</f>
        <v>25650</v>
      </c>
      <c r="F26" s="99">
        <f>F28</f>
        <v>1350</v>
      </c>
      <c r="G26" s="100"/>
      <c r="H26" s="94"/>
      <c r="I26" s="95"/>
      <c r="J26" s="96"/>
      <c r="K26" s="96"/>
      <c r="L26" s="96"/>
      <c r="M26" s="97"/>
      <c r="N26" s="97"/>
    </row>
    <row r="27" spans="1:14" s="98" customFormat="1" ht="7.5" customHeight="1">
      <c r="A27" s="101"/>
      <c r="B27" s="101"/>
      <c r="C27" s="102"/>
      <c r="D27" s="99"/>
      <c r="E27" s="103"/>
      <c r="F27" s="103"/>
      <c r="G27" s="104"/>
      <c r="H27" s="94"/>
      <c r="I27" s="95"/>
      <c r="J27" s="96"/>
      <c r="K27" s="96"/>
      <c r="L27" s="96"/>
      <c r="M27" s="97"/>
      <c r="N27" s="97"/>
    </row>
    <row r="28" spans="1:14" s="80" customFormat="1" ht="12.75">
      <c r="A28" s="107"/>
      <c r="B28" s="107" t="s">
        <v>4</v>
      </c>
      <c r="C28" s="108" t="s">
        <v>5</v>
      </c>
      <c r="D28" s="105">
        <f>E28+F28</f>
        <v>27000</v>
      </c>
      <c r="E28" s="105">
        <v>25650</v>
      </c>
      <c r="F28" s="105">
        <v>1350</v>
      </c>
      <c r="G28" s="106"/>
      <c r="H28" s="77"/>
      <c r="I28" s="78"/>
      <c r="J28" s="79"/>
      <c r="K28" s="79"/>
      <c r="L28" s="79"/>
      <c r="M28" s="90"/>
      <c r="N28" s="90"/>
    </row>
    <row r="29" spans="1:14" s="80" customFormat="1" ht="7.5" customHeight="1">
      <c r="A29" s="107"/>
      <c r="B29" s="107"/>
      <c r="C29" s="108"/>
      <c r="D29" s="105"/>
      <c r="E29" s="105"/>
      <c r="F29" s="105"/>
      <c r="G29" s="106"/>
      <c r="H29" s="77"/>
      <c r="I29" s="78"/>
      <c r="J29" s="79"/>
      <c r="K29" s="79"/>
      <c r="L29" s="79"/>
      <c r="M29" s="90"/>
      <c r="N29" s="90"/>
    </row>
    <row r="30" spans="1:14" s="98" customFormat="1" ht="13.5">
      <c r="A30" s="220"/>
      <c r="B30" s="220" t="s">
        <v>35</v>
      </c>
      <c r="C30" s="160" t="s">
        <v>36</v>
      </c>
      <c r="D30" s="219">
        <f>D32</f>
        <v>6000</v>
      </c>
      <c r="E30" s="219">
        <f>E32</f>
        <v>5700</v>
      </c>
      <c r="F30" s="219">
        <f>F32</f>
        <v>300</v>
      </c>
      <c r="G30" s="93"/>
      <c r="H30" s="94"/>
      <c r="I30" s="95"/>
      <c r="J30" s="96"/>
      <c r="K30" s="96"/>
      <c r="L30" s="96"/>
      <c r="M30" s="97"/>
      <c r="N30" s="97"/>
    </row>
    <row r="31" spans="1:14" s="80" customFormat="1" ht="7.5" customHeight="1">
      <c r="A31" s="107"/>
      <c r="B31" s="107"/>
      <c r="C31" s="108"/>
      <c r="D31" s="105"/>
      <c r="E31" s="105"/>
      <c r="F31" s="105"/>
      <c r="G31" s="106"/>
      <c r="H31" s="77"/>
      <c r="I31" s="78"/>
      <c r="J31" s="79"/>
      <c r="K31" s="79"/>
      <c r="L31" s="79"/>
      <c r="M31" s="90"/>
      <c r="N31" s="90"/>
    </row>
    <row r="32" spans="1:14" s="98" customFormat="1" ht="27">
      <c r="A32" s="101"/>
      <c r="B32" s="101" t="s">
        <v>323</v>
      </c>
      <c r="C32" s="102" t="s">
        <v>324</v>
      </c>
      <c r="D32" s="99">
        <f>D34</f>
        <v>6000</v>
      </c>
      <c r="E32" s="99">
        <f>E34</f>
        <v>5700</v>
      </c>
      <c r="F32" s="99">
        <f>F34</f>
        <v>300</v>
      </c>
      <c r="G32" s="100"/>
      <c r="H32" s="94"/>
      <c r="I32" s="95"/>
      <c r="J32" s="96"/>
      <c r="K32" s="96"/>
      <c r="L32" s="96"/>
      <c r="M32" s="97"/>
      <c r="N32" s="97"/>
    </row>
    <row r="33" spans="1:14" s="98" customFormat="1" ht="7.5" customHeight="1">
      <c r="A33" s="101"/>
      <c r="B33" s="101"/>
      <c r="C33" s="102"/>
      <c r="D33" s="99"/>
      <c r="E33" s="103"/>
      <c r="F33" s="103"/>
      <c r="G33" s="104"/>
      <c r="H33" s="94"/>
      <c r="I33" s="95"/>
      <c r="J33" s="96"/>
      <c r="K33" s="96"/>
      <c r="L33" s="96"/>
      <c r="M33" s="97"/>
      <c r="N33" s="97"/>
    </row>
    <row r="34" spans="1:14" s="80" customFormat="1" ht="12.75">
      <c r="A34" s="107"/>
      <c r="B34" s="107" t="s">
        <v>74</v>
      </c>
      <c r="C34" s="108" t="s">
        <v>75</v>
      </c>
      <c r="D34" s="105">
        <f>E34+F34</f>
        <v>6000</v>
      </c>
      <c r="E34" s="105">
        <v>5700</v>
      </c>
      <c r="F34" s="105">
        <v>300</v>
      </c>
      <c r="G34" s="106"/>
      <c r="H34" s="77"/>
      <c r="I34" s="78"/>
      <c r="J34" s="79"/>
      <c r="K34" s="79"/>
      <c r="L34" s="79"/>
      <c r="M34" s="90"/>
      <c r="N34" s="90"/>
    </row>
    <row r="35" spans="1:14" s="80" customFormat="1" ht="7.5" customHeight="1">
      <c r="A35" s="107"/>
      <c r="B35" s="107"/>
      <c r="C35" s="108"/>
      <c r="D35" s="105"/>
      <c r="E35" s="105"/>
      <c r="F35" s="105"/>
      <c r="G35" s="106"/>
      <c r="H35" s="77"/>
      <c r="I35" s="78"/>
      <c r="J35" s="79"/>
      <c r="K35" s="79"/>
      <c r="L35" s="79"/>
      <c r="M35" s="90"/>
      <c r="N35" s="90"/>
    </row>
  </sheetData>
  <sheetProtection password="C25B" sheet="1"/>
  <mergeCells count="8">
    <mergeCell ref="A2:F2"/>
    <mergeCell ref="A3:F3"/>
    <mergeCell ref="A4:F4"/>
    <mergeCell ref="A6:A7"/>
    <mergeCell ref="B6:B7"/>
    <mergeCell ref="C6:C7"/>
    <mergeCell ref="D6:D7"/>
    <mergeCell ref="E6:F6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E7" sqref="E6:E7"/>
    </sheetView>
  </sheetViews>
  <sheetFormatPr defaultColWidth="8" defaultRowHeight="14.25"/>
  <cols>
    <col min="1" max="1" width="5.3984375" style="463" customWidth="1"/>
    <col min="2" max="2" width="7.59765625" style="463" customWidth="1"/>
    <col min="3" max="3" width="16" style="465" customWidth="1"/>
    <col min="4" max="4" width="34.59765625" style="465" customWidth="1"/>
    <col min="5" max="5" width="12.8984375" style="488" customWidth="1"/>
    <col min="6" max="6" width="14.3984375" style="465" customWidth="1"/>
    <col min="7" max="7" width="8.19921875" style="465" bestFit="1" customWidth="1"/>
    <col min="8" max="16384" width="8" style="466" customWidth="1"/>
  </cols>
  <sheetData>
    <row r="1" spans="3:6" ht="15" customHeight="1">
      <c r="C1" s="464"/>
      <c r="D1" s="464"/>
      <c r="E1" s="1093" t="s">
        <v>1092</v>
      </c>
      <c r="F1" s="1093"/>
    </row>
    <row r="2" spans="3:6" ht="15" customHeight="1">
      <c r="C2" s="464"/>
      <c r="D2" s="464"/>
      <c r="E2" s="1094" t="s">
        <v>1093</v>
      </c>
      <c r="F2" s="1094"/>
    </row>
    <row r="3" spans="5:6" ht="15.75" customHeight="1">
      <c r="E3" s="1094" t="s">
        <v>1094</v>
      </c>
      <c r="F3" s="1094"/>
    </row>
    <row r="4" spans="5:6" ht="16.5" customHeight="1">
      <c r="E4" s="464"/>
      <c r="F4" s="464"/>
    </row>
    <row r="5" spans="5:6" ht="16.5" customHeight="1">
      <c r="E5" s="464"/>
      <c r="F5" s="464"/>
    </row>
    <row r="6" spans="5:6" ht="16.5" customHeight="1">
      <c r="E6" s="464"/>
      <c r="F6" s="464"/>
    </row>
    <row r="7" spans="5:6" ht="11.25" customHeight="1">
      <c r="E7" s="464"/>
      <c r="F7" s="464"/>
    </row>
    <row r="8" spans="1:6" ht="18" customHeight="1">
      <c r="A8" s="1095" t="s">
        <v>1095</v>
      </c>
      <c r="B8" s="1095"/>
      <c r="C8" s="1095"/>
      <c r="D8" s="1095"/>
      <c r="E8" s="1095"/>
      <c r="F8" s="1095"/>
    </row>
    <row r="9" spans="1:6" ht="18" customHeight="1">
      <c r="A9" s="1095" t="s">
        <v>1096</v>
      </c>
      <c r="B9" s="1095"/>
      <c r="C9" s="1095"/>
      <c r="D9" s="1095"/>
      <c r="E9" s="1095"/>
      <c r="F9" s="1095"/>
    </row>
    <row r="10" spans="1:6" ht="16.5" customHeight="1">
      <c r="A10" s="1095" t="s">
        <v>351</v>
      </c>
      <c r="B10" s="1095"/>
      <c r="C10" s="1095"/>
      <c r="D10" s="1095"/>
      <c r="E10" s="1095"/>
      <c r="F10" s="1095"/>
    </row>
    <row r="11" spans="5:6" ht="16.5" customHeight="1">
      <c r="E11" s="464"/>
      <c r="F11" s="464"/>
    </row>
    <row r="12" spans="5:6" ht="16.5" customHeight="1">
      <c r="E12" s="464"/>
      <c r="F12" s="464"/>
    </row>
    <row r="13" spans="5:6" ht="11.25" customHeight="1">
      <c r="E13" s="464"/>
      <c r="F13" s="467" t="s">
        <v>17</v>
      </c>
    </row>
    <row r="14" spans="1:7" s="470" customFormat="1" ht="25.5" customHeight="1">
      <c r="A14" s="1082" t="s">
        <v>18</v>
      </c>
      <c r="B14" s="1082" t="s">
        <v>218</v>
      </c>
      <c r="C14" s="1084" t="s">
        <v>213</v>
      </c>
      <c r="D14" s="1085"/>
      <c r="E14" s="1086" t="s">
        <v>1097</v>
      </c>
      <c r="F14" s="1088" t="s">
        <v>1098</v>
      </c>
      <c r="G14" s="469"/>
    </row>
    <row r="15" spans="1:7" s="470" customFormat="1" ht="29.25" customHeight="1">
      <c r="A15" s="1083"/>
      <c r="B15" s="1083"/>
      <c r="C15" s="468" t="s">
        <v>1099</v>
      </c>
      <c r="D15" s="468" t="s">
        <v>1100</v>
      </c>
      <c r="E15" s="1087"/>
      <c r="F15" s="1089"/>
      <c r="G15" s="469"/>
    </row>
    <row r="16" spans="1:7" s="475" customFormat="1" ht="11.25">
      <c r="A16" s="471">
        <v>1</v>
      </c>
      <c r="B16" s="471">
        <v>2</v>
      </c>
      <c r="C16" s="472">
        <v>3</v>
      </c>
      <c r="D16" s="472">
        <v>4</v>
      </c>
      <c r="E16" s="473">
        <v>5</v>
      </c>
      <c r="F16" s="472">
        <v>6</v>
      </c>
      <c r="G16" s="474"/>
    </row>
    <row r="17" spans="1:6" s="477" customFormat="1" ht="22.5" customHeight="1">
      <c r="A17" s="1090" t="s">
        <v>123</v>
      </c>
      <c r="B17" s="1091"/>
      <c r="C17" s="1091"/>
      <c r="D17" s="1092"/>
      <c r="E17" s="476">
        <f>E18+E19+E20+E21+E22+E23</f>
        <v>7702920</v>
      </c>
      <c r="F17" s="476">
        <f>F18+F19+F20+F21+F22+F23</f>
        <v>7738800</v>
      </c>
    </row>
    <row r="18" spans="1:7" s="484" customFormat="1" ht="34.5" customHeight="1">
      <c r="A18" s="478" t="s">
        <v>24</v>
      </c>
      <c r="B18" s="478" t="s">
        <v>72</v>
      </c>
      <c r="C18" s="479" t="s">
        <v>1101</v>
      </c>
      <c r="D18" s="480" t="s">
        <v>1102</v>
      </c>
      <c r="E18" s="481">
        <v>4300000</v>
      </c>
      <c r="F18" s="482">
        <v>4300000</v>
      </c>
      <c r="G18" s="483"/>
    </row>
    <row r="19" spans="1:7" s="484" customFormat="1" ht="70.5" customHeight="1">
      <c r="A19" s="485"/>
      <c r="B19" s="485"/>
      <c r="C19" s="479" t="s">
        <v>1101</v>
      </c>
      <c r="D19" s="480" t="s">
        <v>1103</v>
      </c>
      <c r="E19" s="481">
        <v>100000</v>
      </c>
      <c r="F19" s="482">
        <v>100000</v>
      </c>
      <c r="G19" s="483"/>
    </row>
    <row r="20" spans="1:7" s="484" customFormat="1" ht="70.5" customHeight="1">
      <c r="A20" s="486"/>
      <c r="B20" s="486"/>
      <c r="C20" s="479" t="s">
        <v>1101</v>
      </c>
      <c r="D20" s="480" t="s">
        <v>1104</v>
      </c>
      <c r="E20" s="481">
        <v>1200000</v>
      </c>
      <c r="F20" s="482">
        <v>1200000</v>
      </c>
      <c r="G20" s="483"/>
    </row>
    <row r="21" spans="1:7" s="484" customFormat="1" ht="30.75" customHeight="1">
      <c r="A21" s="487" t="s">
        <v>25</v>
      </c>
      <c r="B21" s="487" t="s">
        <v>76</v>
      </c>
      <c r="C21" s="479" t="s">
        <v>1101</v>
      </c>
      <c r="D21" s="480" t="s">
        <v>1105</v>
      </c>
      <c r="E21" s="481">
        <v>380000</v>
      </c>
      <c r="F21" s="482">
        <v>380000</v>
      </c>
      <c r="G21" s="483"/>
    </row>
    <row r="22" spans="1:7" s="484" customFormat="1" ht="42" customHeight="1">
      <c r="A22" s="478" t="s">
        <v>35</v>
      </c>
      <c r="B22" s="478" t="s">
        <v>161</v>
      </c>
      <c r="C22" s="479" t="s">
        <v>1106</v>
      </c>
      <c r="D22" s="480" t="s">
        <v>1107</v>
      </c>
      <c r="E22" s="481">
        <v>1400000</v>
      </c>
      <c r="F22" s="482">
        <v>1400000</v>
      </c>
      <c r="G22" s="483"/>
    </row>
    <row r="23" spans="1:7" s="484" customFormat="1" ht="42.75" customHeight="1">
      <c r="A23" s="486"/>
      <c r="B23" s="486"/>
      <c r="C23" s="479" t="s">
        <v>1106</v>
      </c>
      <c r="D23" s="480" t="s">
        <v>1108</v>
      </c>
      <c r="E23" s="481">
        <v>322920</v>
      </c>
      <c r="F23" s="482">
        <v>358800</v>
      </c>
      <c r="G23" s="483"/>
    </row>
    <row r="24" spans="1:7" s="490" customFormat="1" ht="27" customHeight="1">
      <c r="A24" s="463"/>
      <c r="B24" s="463"/>
      <c r="C24" s="465"/>
      <c r="D24" s="465"/>
      <c r="E24" s="488"/>
      <c r="F24" s="489"/>
      <c r="G24" s="489"/>
    </row>
    <row r="25" ht="27" customHeight="1"/>
    <row r="26" spans="1:7" s="492" customFormat="1" ht="24.75" customHeight="1">
      <c r="A26" s="463"/>
      <c r="B26" s="463"/>
      <c r="C26" s="465"/>
      <c r="D26" s="465"/>
      <c r="E26" s="488"/>
      <c r="F26" s="491"/>
      <c r="G26" s="491"/>
    </row>
    <row r="27" ht="30" customHeight="1"/>
    <row r="28" ht="30" customHeight="1"/>
    <row r="29" spans="1:7" s="494" customFormat="1" ht="22.5" customHeight="1">
      <c r="A29" s="463"/>
      <c r="B29" s="463"/>
      <c r="C29" s="465"/>
      <c r="D29" s="465"/>
      <c r="E29" s="488"/>
      <c r="F29" s="493"/>
      <c r="G29" s="493"/>
    </row>
    <row r="30" ht="30" customHeight="1"/>
    <row r="31" ht="28.5" customHeight="1"/>
    <row r="32" spans="1:7" s="490" customFormat="1" ht="24.75" customHeight="1">
      <c r="A32" s="463"/>
      <c r="B32" s="463"/>
      <c r="C32" s="465"/>
      <c r="D32" s="465"/>
      <c r="E32" s="488"/>
      <c r="F32" s="489"/>
      <c r="G32" s="489"/>
    </row>
    <row r="33" ht="24.75" customHeight="1"/>
    <row r="34" spans="1:7" s="492" customFormat="1" ht="21" customHeight="1">
      <c r="A34" s="463"/>
      <c r="B34" s="463"/>
      <c r="C34" s="465"/>
      <c r="D34" s="465"/>
      <c r="E34" s="488"/>
      <c r="F34" s="491"/>
      <c r="G34" s="491"/>
    </row>
    <row r="36" ht="9" customHeight="1"/>
    <row r="37" spans="1:5" s="495" customFormat="1" ht="35.25" customHeight="1">
      <c r="A37" s="463"/>
      <c r="B37" s="463"/>
      <c r="C37" s="465"/>
      <c r="D37" s="465"/>
      <c r="E37" s="488"/>
    </row>
    <row r="38" spans="1:7" s="490" customFormat="1" ht="22.5" customHeight="1">
      <c r="A38" s="463"/>
      <c r="B38" s="463"/>
      <c r="C38" s="465"/>
      <c r="D38" s="465"/>
      <c r="E38" s="488"/>
      <c r="F38" s="489"/>
      <c r="G38" s="489"/>
    </row>
    <row r="39" ht="41.25" customHeight="1"/>
    <row r="40" spans="1:5" s="495" customFormat="1" ht="21.75" customHeight="1">
      <c r="A40" s="463"/>
      <c r="B40" s="463"/>
      <c r="C40" s="465"/>
      <c r="D40" s="465"/>
      <c r="E40" s="488"/>
    </row>
    <row r="41" spans="6:7" ht="21.75" customHeight="1">
      <c r="F41" s="466"/>
      <c r="G41" s="466"/>
    </row>
    <row r="42" spans="6:7" ht="24.75" customHeight="1">
      <c r="F42" s="466"/>
      <c r="G42" s="466"/>
    </row>
    <row r="43" spans="6:7" ht="12" customHeight="1">
      <c r="F43" s="466"/>
      <c r="G43" s="466"/>
    </row>
    <row r="44" spans="1:5" s="496" customFormat="1" ht="30.75" customHeight="1">
      <c r="A44" s="463"/>
      <c r="B44" s="463"/>
      <c r="C44" s="465"/>
      <c r="D44" s="465"/>
      <c r="E44" s="488"/>
    </row>
    <row r="45" spans="1:5" s="495" customFormat="1" ht="21.75" customHeight="1">
      <c r="A45" s="463"/>
      <c r="B45" s="463"/>
      <c r="C45" s="465"/>
      <c r="D45" s="465"/>
      <c r="E45" s="488"/>
    </row>
    <row r="46" spans="1:5" s="497" customFormat="1" ht="21.75" customHeight="1">
      <c r="A46" s="463"/>
      <c r="B46" s="463"/>
      <c r="C46" s="465"/>
      <c r="D46" s="465"/>
      <c r="E46" s="488"/>
    </row>
    <row r="47" spans="1:5" s="497" customFormat="1" ht="21.75" customHeight="1">
      <c r="A47" s="463"/>
      <c r="B47" s="463"/>
      <c r="C47" s="465"/>
      <c r="D47" s="465"/>
      <c r="E47" s="488"/>
    </row>
    <row r="49" spans="1:7" s="470" customFormat="1" ht="24" customHeight="1">
      <c r="A49" s="463"/>
      <c r="B49" s="463"/>
      <c r="C49" s="465"/>
      <c r="D49" s="465"/>
      <c r="E49" s="488"/>
      <c r="F49" s="469"/>
      <c r="G49" s="469"/>
    </row>
    <row r="50" spans="1:7" s="470" customFormat="1" ht="24" customHeight="1">
      <c r="A50" s="463"/>
      <c r="B50" s="463"/>
      <c r="C50" s="465"/>
      <c r="D50" s="465"/>
      <c r="E50" s="488"/>
      <c r="F50" s="469"/>
      <c r="G50" s="469"/>
    </row>
    <row r="51" spans="1:7" s="499" customFormat="1" ht="24" customHeight="1">
      <c r="A51" s="463"/>
      <c r="B51" s="463"/>
      <c r="C51" s="465"/>
      <c r="D51" s="465"/>
      <c r="E51" s="488"/>
      <c r="F51" s="498"/>
      <c r="G51" s="498"/>
    </row>
    <row r="52" spans="1:7" s="499" customFormat="1" ht="24" customHeight="1">
      <c r="A52" s="463"/>
      <c r="B52" s="463"/>
      <c r="C52" s="465"/>
      <c r="D52" s="465"/>
      <c r="E52" s="488"/>
      <c r="F52" s="498"/>
      <c r="G52" s="498"/>
    </row>
    <row r="53" spans="1:7" s="470" customFormat="1" ht="21" customHeight="1">
      <c r="A53" s="463"/>
      <c r="B53" s="463"/>
      <c r="C53" s="465"/>
      <c r="D53" s="465"/>
      <c r="E53" s="488"/>
      <c r="F53" s="469"/>
      <c r="G53" s="469"/>
    </row>
    <row r="54" ht="19.5" customHeight="1"/>
    <row r="55" ht="21.75" customHeight="1"/>
  </sheetData>
  <sheetProtection password="C25B" sheet="1"/>
  <mergeCells count="12">
    <mergeCell ref="E1:F1"/>
    <mergeCell ref="E2:F2"/>
    <mergeCell ref="E3:F3"/>
    <mergeCell ref="A8:F8"/>
    <mergeCell ref="A9:F9"/>
    <mergeCell ref="A10:F10"/>
    <mergeCell ref="A14:A15"/>
    <mergeCell ref="B14:B15"/>
    <mergeCell ref="C14:D14"/>
    <mergeCell ref="E14:E15"/>
    <mergeCell ref="F14:F15"/>
    <mergeCell ref="A17:D17"/>
  </mergeCells>
  <printOptions horizontalCentered="1"/>
  <pageMargins left="0.984251968503937" right="0.7086614173228347" top="0.984251968503937" bottom="0.7480314960629921" header="0" footer="0.1968503937007874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E19" sqref="E19"/>
    </sheetView>
  </sheetViews>
  <sheetFormatPr defaultColWidth="8" defaultRowHeight="14.25"/>
  <cols>
    <col min="1" max="1" width="4.59765625" style="460" customWidth="1"/>
    <col min="2" max="2" width="6.59765625" style="460" customWidth="1"/>
    <col min="3" max="3" width="15.59765625" style="453" customWidth="1"/>
    <col min="4" max="4" width="42" style="453" customWidth="1"/>
    <col min="5" max="5" width="13.69921875" style="455" customWidth="1"/>
    <col min="6" max="6" width="16.09765625" style="453" customWidth="1"/>
    <col min="7" max="7" width="2.8984375" style="453" customWidth="1"/>
    <col min="8" max="16384" width="8" style="456" customWidth="1"/>
  </cols>
  <sheetData>
    <row r="1" spans="3:6" ht="15" customHeight="1">
      <c r="C1" s="500"/>
      <c r="D1" s="501" t="s">
        <v>1109</v>
      </c>
      <c r="E1" s="501" t="s">
        <v>1110</v>
      </c>
      <c r="F1" s="501"/>
    </row>
    <row r="2" spans="3:6" ht="15" customHeight="1">
      <c r="C2" s="500"/>
      <c r="D2" s="500" t="s">
        <v>1111</v>
      </c>
      <c r="E2" s="1099" t="s">
        <v>1112</v>
      </c>
      <c r="F2" s="1099"/>
    </row>
    <row r="3" spans="4:6" ht="17.25" customHeight="1">
      <c r="D3" s="500" t="s">
        <v>1113</v>
      </c>
      <c r="E3" s="1099" t="s">
        <v>1114</v>
      </c>
      <c r="F3" s="1099"/>
    </row>
    <row r="4" spans="5:6" ht="16.5" customHeight="1">
      <c r="E4" s="500"/>
      <c r="F4" s="500"/>
    </row>
    <row r="5" spans="5:6" ht="11.25" customHeight="1">
      <c r="E5" s="500"/>
      <c r="F5" s="500"/>
    </row>
    <row r="6" spans="1:6" ht="18" customHeight="1">
      <c r="A6" s="1100" t="s">
        <v>1115</v>
      </c>
      <c r="B6" s="1100"/>
      <c r="C6" s="1100"/>
      <c r="D6" s="1100"/>
      <c r="E6" s="1100"/>
      <c r="F6" s="1100"/>
    </row>
    <row r="7" spans="1:6" ht="18" customHeight="1">
      <c r="A7" s="1100" t="s">
        <v>1116</v>
      </c>
      <c r="B7" s="1100"/>
      <c r="C7" s="1100"/>
      <c r="D7" s="1100"/>
      <c r="E7" s="1100"/>
      <c r="F7" s="1100"/>
    </row>
    <row r="8" spans="1:6" ht="16.5" customHeight="1">
      <c r="A8" s="1100" t="s">
        <v>351</v>
      </c>
      <c r="B8" s="1100"/>
      <c r="C8" s="1100"/>
      <c r="D8" s="1100"/>
      <c r="E8" s="1100"/>
      <c r="F8" s="1100"/>
    </row>
    <row r="9" spans="5:6" ht="16.5" customHeight="1">
      <c r="E9" s="500"/>
      <c r="F9" s="500"/>
    </row>
    <row r="10" spans="5:6" ht="16.5" customHeight="1">
      <c r="E10" s="500"/>
      <c r="F10" s="500"/>
    </row>
    <row r="11" spans="5:6" ht="11.25" customHeight="1">
      <c r="E11" s="500"/>
      <c r="F11" s="502" t="s">
        <v>17</v>
      </c>
    </row>
    <row r="12" spans="1:7" s="389" customFormat="1" ht="15.75" customHeight="1">
      <c r="A12" s="1101" t="s">
        <v>18</v>
      </c>
      <c r="B12" s="1101" t="s">
        <v>218</v>
      </c>
      <c r="C12" s="1103" t="s">
        <v>213</v>
      </c>
      <c r="D12" s="1104"/>
      <c r="E12" s="1105" t="s">
        <v>1117</v>
      </c>
      <c r="F12" s="1107" t="s">
        <v>1098</v>
      </c>
      <c r="G12" s="504"/>
    </row>
    <row r="13" spans="1:7" s="389" customFormat="1" ht="38.25" customHeight="1">
      <c r="A13" s="1102"/>
      <c r="B13" s="1102"/>
      <c r="C13" s="503" t="s">
        <v>1118</v>
      </c>
      <c r="D13" s="503" t="s">
        <v>1100</v>
      </c>
      <c r="E13" s="1106"/>
      <c r="F13" s="1108"/>
      <c r="G13" s="504"/>
    </row>
    <row r="14" spans="1:7" s="398" customFormat="1" ht="11.25">
      <c r="A14" s="505">
        <v>1</v>
      </c>
      <c r="B14" s="505">
        <v>2</v>
      </c>
      <c r="C14" s="506">
        <v>3</v>
      </c>
      <c r="D14" s="506">
        <v>4</v>
      </c>
      <c r="E14" s="507">
        <v>5</v>
      </c>
      <c r="F14" s="506">
        <v>6</v>
      </c>
      <c r="G14" s="508"/>
    </row>
    <row r="15" spans="1:6" s="510" customFormat="1" ht="22.5" customHeight="1">
      <c r="A15" s="1096" t="s">
        <v>123</v>
      </c>
      <c r="B15" s="1097"/>
      <c r="C15" s="1097"/>
      <c r="D15" s="1098"/>
      <c r="E15" s="509">
        <f>E17+E18+E19+E20+E21+E22+E23+E24+E25+E26+E27+E28+E29+E30+E31+E32+E33+E34+E35+E36+E37+E38+E39+E40+E41</f>
        <v>25043082</v>
      </c>
      <c r="F15" s="509">
        <f>F17+F18+F19+F20+F21+F22+F23+F24+F25+F26+F27+F28+F29+F30+F31+F32+F33+F34+F35+F36+F37+F38+F39+F40+F41</f>
        <v>203520144</v>
      </c>
    </row>
    <row r="16" spans="1:6" s="510" customFormat="1" ht="9" customHeight="1">
      <c r="A16" s="1096"/>
      <c r="B16" s="1097"/>
      <c r="C16" s="1097"/>
      <c r="D16" s="1097"/>
      <c r="E16" s="1097"/>
      <c r="F16" s="1098"/>
    </row>
    <row r="17" spans="1:7" s="417" customFormat="1" ht="30" customHeight="1">
      <c r="A17" s="511" t="s">
        <v>27</v>
      </c>
      <c r="B17" s="511" t="s">
        <v>136</v>
      </c>
      <c r="C17" s="512" t="s">
        <v>1119</v>
      </c>
      <c r="D17" s="513" t="s">
        <v>1019</v>
      </c>
      <c r="E17" s="514">
        <v>220000</v>
      </c>
      <c r="F17" s="515">
        <v>220000</v>
      </c>
      <c r="G17" s="516"/>
    </row>
    <row r="18" spans="1:7" s="417" customFormat="1" ht="30" customHeight="1">
      <c r="A18" s="517"/>
      <c r="B18" s="518"/>
      <c r="C18" s="512" t="s">
        <v>1120</v>
      </c>
      <c r="D18" s="513" t="s">
        <v>1019</v>
      </c>
      <c r="E18" s="514">
        <v>2500000</v>
      </c>
      <c r="F18" s="515">
        <v>2500000</v>
      </c>
      <c r="G18" s="516"/>
    </row>
    <row r="19" spans="1:7" s="526" customFormat="1" ht="53.25" customHeight="1">
      <c r="A19" s="519"/>
      <c r="B19" s="520">
        <v>60013</v>
      </c>
      <c r="C19" s="521" t="s">
        <v>1121</v>
      </c>
      <c r="D19" s="522" t="s">
        <v>1122</v>
      </c>
      <c r="E19" s="523">
        <v>150000</v>
      </c>
      <c r="F19" s="524">
        <v>150000</v>
      </c>
      <c r="G19" s="525"/>
    </row>
    <row r="20" spans="1:7" s="526" customFormat="1" ht="39.75" customHeight="1">
      <c r="A20" s="519"/>
      <c r="B20" s="519"/>
      <c r="C20" s="521" t="s">
        <v>1123</v>
      </c>
      <c r="D20" s="522" t="s">
        <v>1124</v>
      </c>
      <c r="E20" s="523">
        <v>269354</v>
      </c>
      <c r="F20" s="524">
        <v>1795693</v>
      </c>
      <c r="G20" s="525"/>
    </row>
    <row r="21" spans="1:7" s="526" customFormat="1" ht="84" customHeight="1">
      <c r="A21" s="519"/>
      <c r="B21" s="519"/>
      <c r="C21" s="521" t="s">
        <v>1125</v>
      </c>
      <c r="D21" s="522" t="s">
        <v>1126</v>
      </c>
      <c r="E21" s="523">
        <v>3523235</v>
      </c>
      <c r="F21" s="524">
        <v>6532240</v>
      </c>
      <c r="G21" s="525"/>
    </row>
    <row r="22" spans="1:7" s="526" customFormat="1" ht="67.5" customHeight="1">
      <c r="A22" s="519"/>
      <c r="B22" s="519"/>
      <c r="C22" s="521" t="s">
        <v>1125</v>
      </c>
      <c r="D22" s="522" t="s">
        <v>1127</v>
      </c>
      <c r="E22" s="523">
        <v>2395875</v>
      </c>
      <c r="F22" s="524">
        <v>4333520</v>
      </c>
      <c r="G22" s="525"/>
    </row>
    <row r="23" spans="1:7" s="526" customFormat="1" ht="84.75" customHeight="1">
      <c r="A23" s="519"/>
      <c r="B23" s="519"/>
      <c r="C23" s="521" t="s">
        <v>1125</v>
      </c>
      <c r="D23" s="522" t="s">
        <v>1128</v>
      </c>
      <c r="E23" s="523">
        <v>2183913</v>
      </c>
      <c r="F23" s="524">
        <v>4261394</v>
      </c>
      <c r="G23" s="525"/>
    </row>
    <row r="24" spans="1:7" s="526" customFormat="1" ht="67.5" customHeight="1">
      <c r="A24" s="519"/>
      <c r="B24" s="519"/>
      <c r="C24" s="521" t="s">
        <v>1123</v>
      </c>
      <c r="D24" s="522" t="s">
        <v>1129</v>
      </c>
      <c r="E24" s="523">
        <v>1056000</v>
      </c>
      <c r="F24" s="524">
        <v>17256000</v>
      </c>
      <c r="G24" s="525"/>
    </row>
    <row r="25" spans="1:7" s="526" customFormat="1" ht="39.75" customHeight="1">
      <c r="A25" s="519"/>
      <c r="B25" s="519"/>
      <c r="C25" s="521" t="s">
        <v>1125</v>
      </c>
      <c r="D25" s="522" t="s">
        <v>1130</v>
      </c>
      <c r="E25" s="523">
        <v>1004909</v>
      </c>
      <c r="F25" s="524">
        <v>12976021</v>
      </c>
      <c r="G25" s="525"/>
    </row>
    <row r="26" spans="1:7" s="526" customFormat="1" ht="52.5" customHeight="1">
      <c r="A26" s="519"/>
      <c r="B26" s="519"/>
      <c r="C26" s="521" t="s">
        <v>1123</v>
      </c>
      <c r="D26" s="522" t="s">
        <v>1131</v>
      </c>
      <c r="E26" s="523">
        <v>4371456</v>
      </c>
      <c r="F26" s="524">
        <v>29550609</v>
      </c>
      <c r="G26" s="525"/>
    </row>
    <row r="27" spans="1:7" s="526" customFormat="1" ht="39.75" customHeight="1">
      <c r="A27" s="519"/>
      <c r="B27" s="519"/>
      <c r="C27" s="521" t="s">
        <v>1123</v>
      </c>
      <c r="D27" s="522" t="s">
        <v>1132</v>
      </c>
      <c r="E27" s="523">
        <v>1191654</v>
      </c>
      <c r="F27" s="524">
        <v>39701971</v>
      </c>
      <c r="G27" s="525"/>
    </row>
    <row r="28" spans="1:7" s="417" customFormat="1" ht="30" customHeight="1">
      <c r="A28" s="511" t="s">
        <v>33</v>
      </c>
      <c r="B28" s="511" t="s">
        <v>153</v>
      </c>
      <c r="C28" s="512" t="s">
        <v>1123</v>
      </c>
      <c r="D28" s="513" t="s">
        <v>1133</v>
      </c>
      <c r="E28" s="514">
        <v>747529</v>
      </c>
      <c r="F28" s="515">
        <v>2449543</v>
      </c>
      <c r="G28" s="516"/>
    </row>
    <row r="29" spans="1:7" s="417" customFormat="1" ht="30" customHeight="1">
      <c r="A29" s="518"/>
      <c r="B29" s="518"/>
      <c r="C29" s="512" t="s">
        <v>1125</v>
      </c>
      <c r="D29" s="513" t="s">
        <v>1134</v>
      </c>
      <c r="E29" s="514">
        <v>57555</v>
      </c>
      <c r="F29" s="515">
        <v>49230046</v>
      </c>
      <c r="G29" s="516"/>
    </row>
    <row r="30" spans="1:7" s="417" customFormat="1" ht="53.25" customHeight="1">
      <c r="A30" s="511" t="s">
        <v>35</v>
      </c>
      <c r="B30" s="511" t="s">
        <v>159</v>
      </c>
      <c r="C30" s="512" t="s">
        <v>1123</v>
      </c>
      <c r="D30" s="513" t="s">
        <v>1135</v>
      </c>
      <c r="E30" s="514">
        <v>262351</v>
      </c>
      <c r="F30" s="515">
        <v>4120160</v>
      </c>
      <c r="G30" s="516"/>
    </row>
    <row r="31" spans="1:7" s="417" customFormat="1" ht="30" customHeight="1">
      <c r="A31" s="517"/>
      <c r="B31" s="518"/>
      <c r="C31" s="512" t="s">
        <v>1123</v>
      </c>
      <c r="D31" s="513" t="s">
        <v>1136</v>
      </c>
      <c r="E31" s="514">
        <v>285844</v>
      </c>
      <c r="F31" s="515">
        <v>2411075</v>
      </c>
      <c r="G31" s="516"/>
    </row>
    <row r="32" spans="1:7" s="417" customFormat="1" ht="39.75" customHeight="1">
      <c r="A32" s="527" t="s">
        <v>41</v>
      </c>
      <c r="B32" s="527" t="s">
        <v>182</v>
      </c>
      <c r="C32" s="512" t="s">
        <v>1125</v>
      </c>
      <c r="D32" s="513" t="s">
        <v>1137</v>
      </c>
      <c r="E32" s="514">
        <v>680000</v>
      </c>
      <c r="F32" s="515">
        <v>680000</v>
      </c>
      <c r="G32" s="516"/>
    </row>
    <row r="33" spans="1:7" s="417" customFormat="1" ht="30" customHeight="1">
      <c r="A33" s="527" t="s">
        <v>8</v>
      </c>
      <c r="B33" s="527" t="s">
        <v>1043</v>
      </c>
      <c r="C33" s="512" t="s">
        <v>1123</v>
      </c>
      <c r="D33" s="513" t="s">
        <v>1138</v>
      </c>
      <c r="E33" s="514">
        <v>78000</v>
      </c>
      <c r="F33" s="515">
        <v>400000</v>
      </c>
      <c r="G33" s="516"/>
    </row>
    <row r="34" spans="1:7" s="417" customFormat="1" ht="30" customHeight="1">
      <c r="A34" s="517" t="s">
        <v>49</v>
      </c>
      <c r="B34" s="528" t="s">
        <v>1139</v>
      </c>
      <c r="C34" s="512" t="s">
        <v>1140</v>
      </c>
      <c r="D34" s="513" t="s">
        <v>1141</v>
      </c>
      <c r="E34" s="514">
        <v>240000</v>
      </c>
      <c r="F34" s="515">
        <v>690000</v>
      </c>
      <c r="G34" s="516"/>
    </row>
    <row r="35" spans="1:7" s="417" customFormat="1" ht="30" customHeight="1">
      <c r="A35" s="517"/>
      <c r="B35" s="528" t="s">
        <v>1139</v>
      </c>
      <c r="C35" s="512" t="s">
        <v>1140</v>
      </c>
      <c r="D35" s="513" t="s">
        <v>1142</v>
      </c>
      <c r="E35" s="514">
        <v>200000</v>
      </c>
      <c r="F35" s="515">
        <v>650000</v>
      </c>
      <c r="G35" s="516"/>
    </row>
    <row r="36" spans="1:7" s="417" customFormat="1" ht="30" customHeight="1">
      <c r="A36" s="517"/>
      <c r="B36" s="528" t="s">
        <v>1143</v>
      </c>
      <c r="C36" s="512" t="s">
        <v>1140</v>
      </c>
      <c r="D36" s="513" t="s">
        <v>1144</v>
      </c>
      <c r="E36" s="514">
        <v>10000</v>
      </c>
      <c r="F36" s="515">
        <v>61000</v>
      </c>
      <c r="G36" s="516"/>
    </row>
    <row r="37" spans="1:7" s="417" customFormat="1" ht="30" customHeight="1">
      <c r="A37" s="517"/>
      <c r="B37" s="528" t="s">
        <v>1145</v>
      </c>
      <c r="C37" s="512" t="s">
        <v>1140</v>
      </c>
      <c r="D37" s="513" t="s">
        <v>1146</v>
      </c>
      <c r="E37" s="514">
        <v>20000</v>
      </c>
      <c r="F37" s="515">
        <v>65000</v>
      </c>
      <c r="G37" s="516"/>
    </row>
    <row r="38" spans="1:7" s="417" customFormat="1" ht="30" customHeight="1">
      <c r="A38" s="517"/>
      <c r="B38" s="527" t="s">
        <v>242</v>
      </c>
      <c r="C38" s="512" t="s">
        <v>1147</v>
      </c>
      <c r="D38" s="513" t="s">
        <v>1148</v>
      </c>
      <c r="E38" s="514">
        <v>69864</v>
      </c>
      <c r="F38" s="515">
        <v>920714</v>
      </c>
      <c r="G38" s="516"/>
    </row>
    <row r="39" spans="1:7" s="417" customFormat="1" ht="30" customHeight="1">
      <c r="A39" s="517"/>
      <c r="B39" s="511" t="s">
        <v>283</v>
      </c>
      <c r="C39" s="512" t="s">
        <v>1140</v>
      </c>
      <c r="D39" s="513" t="s">
        <v>1149</v>
      </c>
      <c r="E39" s="514">
        <v>2200000</v>
      </c>
      <c r="F39" s="515">
        <v>11510000</v>
      </c>
      <c r="G39" s="516"/>
    </row>
    <row r="40" spans="1:7" s="417" customFormat="1" ht="30" customHeight="1">
      <c r="A40" s="518"/>
      <c r="B40" s="518"/>
      <c r="C40" s="512" t="s">
        <v>1150</v>
      </c>
      <c r="D40" s="513" t="s">
        <v>1151</v>
      </c>
      <c r="E40" s="514">
        <v>1200000</v>
      </c>
      <c r="F40" s="515">
        <v>9717300</v>
      </c>
      <c r="G40" s="516"/>
    </row>
    <row r="41" spans="1:7" s="417" customFormat="1" ht="53.25" customHeight="1">
      <c r="A41" s="527" t="s">
        <v>376</v>
      </c>
      <c r="B41" s="527" t="s">
        <v>377</v>
      </c>
      <c r="C41" s="512" t="s">
        <v>1152</v>
      </c>
      <c r="D41" s="513" t="s">
        <v>1153</v>
      </c>
      <c r="E41" s="514">
        <v>125543</v>
      </c>
      <c r="F41" s="515">
        <v>1337858</v>
      </c>
      <c r="G41" s="516"/>
    </row>
    <row r="42" spans="1:13" ht="15">
      <c r="A42" s="450" t="s">
        <v>1089</v>
      </c>
      <c r="B42" s="451"/>
      <c r="C42" s="452"/>
      <c r="D42" s="451"/>
      <c r="E42" s="452"/>
      <c r="G42" s="454"/>
      <c r="H42" s="455"/>
      <c r="I42" s="455"/>
      <c r="J42" s="455"/>
      <c r="K42" s="455"/>
      <c r="L42" s="455"/>
      <c r="M42" s="455"/>
    </row>
    <row r="43" spans="1:13" s="377" customFormat="1" ht="20.25" customHeight="1">
      <c r="A43" s="457" t="s">
        <v>1154</v>
      </c>
      <c r="B43" s="458"/>
      <c r="C43" s="459"/>
      <c r="D43" s="458"/>
      <c r="E43" s="459"/>
      <c r="F43" s="383"/>
      <c r="G43" s="386"/>
      <c r="H43" s="529"/>
      <c r="I43" s="529"/>
      <c r="J43" s="529"/>
      <c r="K43" s="529"/>
      <c r="L43" s="529"/>
      <c r="M43" s="529"/>
    </row>
    <row r="44" ht="24.75" customHeight="1"/>
    <row r="45" spans="1:7" s="530" customFormat="1" ht="21" customHeight="1">
      <c r="A45" s="460"/>
      <c r="B45" s="460"/>
      <c r="C45" s="453"/>
      <c r="D45" s="453"/>
      <c r="E45" s="455"/>
      <c r="F45" s="452"/>
      <c r="G45" s="452"/>
    </row>
    <row r="47" ht="9" customHeight="1"/>
    <row r="48" spans="1:5" s="411" customFormat="1" ht="35.25" customHeight="1">
      <c r="A48" s="460"/>
      <c r="B48" s="460"/>
      <c r="C48" s="453"/>
      <c r="D48" s="453"/>
      <c r="E48" s="455"/>
    </row>
    <row r="49" spans="1:7" s="531" customFormat="1" ht="22.5" customHeight="1">
      <c r="A49" s="460"/>
      <c r="B49" s="460"/>
      <c r="C49" s="453"/>
      <c r="D49" s="453"/>
      <c r="E49" s="455"/>
      <c r="F49" s="459"/>
      <c r="G49" s="459"/>
    </row>
    <row r="50" ht="41.25" customHeight="1"/>
    <row r="51" spans="1:5" s="411" customFormat="1" ht="21.75" customHeight="1">
      <c r="A51" s="460"/>
      <c r="B51" s="460"/>
      <c r="C51" s="453"/>
      <c r="D51" s="453"/>
      <c r="E51" s="455"/>
    </row>
    <row r="52" spans="6:7" ht="21.75" customHeight="1">
      <c r="F52" s="456"/>
      <c r="G52" s="456"/>
    </row>
    <row r="53" spans="6:7" ht="24.75" customHeight="1">
      <c r="F53" s="456"/>
      <c r="G53" s="456"/>
    </row>
    <row r="54" spans="6:7" ht="12" customHeight="1">
      <c r="F54" s="456"/>
      <c r="G54" s="456"/>
    </row>
    <row r="55" spans="1:5" s="532" customFormat="1" ht="30.75" customHeight="1">
      <c r="A55" s="460"/>
      <c r="B55" s="460"/>
      <c r="C55" s="453"/>
      <c r="D55" s="453"/>
      <c r="E55" s="455"/>
    </row>
    <row r="56" spans="1:5" s="411" customFormat="1" ht="21.75" customHeight="1">
      <c r="A56" s="460"/>
      <c r="B56" s="460"/>
      <c r="C56" s="453"/>
      <c r="D56" s="453"/>
      <c r="E56" s="455"/>
    </row>
    <row r="57" spans="1:5" s="533" customFormat="1" ht="21.75" customHeight="1">
      <c r="A57" s="460"/>
      <c r="B57" s="460"/>
      <c r="C57" s="453"/>
      <c r="D57" s="453"/>
      <c r="E57" s="455"/>
    </row>
    <row r="58" spans="1:5" s="533" customFormat="1" ht="21.75" customHeight="1">
      <c r="A58" s="460"/>
      <c r="B58" s="460"/>
      <c r="C58" s="453"/>
      <c r="D58" s="453"/>
      <c r="E58" s="455"/>
    </row>
    <row r="60" spans="1:7" s="389" customFormat="1" ht="24" customHeight="1">
      <c r="A60" s="460"/>
      <c r="B60" s="460"/>
      <c r="C60" s="453"/>
      <c r="D60" s="453"/>
      <c r="E60" s="455"/>
      <c r="F60" s="504"/>
      <c r="G60" s="504"/>
    </row>
    <row r="61" spans="1:7" s="389" customFormat="1" ht="24" customHeight="1">
      <c r="A61" s="460"/>
      <c r="B61" s="460"/>
      <c r="C61" s="453"/>
      <c r="D61" s="453"/>
      <c r="E61" s="455"/>
      <c r="F61" s="504"/>
      <c r="G61" s="504"/>
    </row>
    <row r="62" spans="1:7" s="377" customFormat="1" ht="24" customHeight="1">
      <c r="A62" s="460"/>
      <c r="B62" s="460"/>
      <c r="C62" s="453"/>
      <c r="D62" s="453"/>
      <c r="E62" s="455"/>
      <c r="F62" s="383"/>
      <c r="G62" s="383"/>
    </row>
    <row r="63" spans="1:7" s="377" customFormat="1" ht="24" customHeight="1">
      <c r="A63" s="460"/>
      <c r="B63" s="460"/>
      <c r="C63" s="453"/>
      <c r="D63" s="453"/>
      <c r="E63" s="455"/>
      <c r="F63" s="383"/>
      <c r="G63" s="383"/>
    </row>
    <row r="64" spans="1:7" s="389" customFormat="1" ht="21" customHeight="1">
      <c r="A64" s="460"/>
      <c r="B64" s="460"/>
      <c r="C64" s="453"/>
      <c r="D64" s="453"/>
      <c r="E64" s="455"/>
      <c r="F64" s="504"/>
      <c r="G64" s="504"/>
    </row>
    <row r="65" ht="19.5" customHeight="1"/>
    <row r="66" ht="21.75" customHeight="1"/>
  </sheetData>
  <sheetProtection password="C25B" sheet="1"/>
  <mergeCells count="12">
    <mergeCell ref="E12:E13"/>
    <mergeCell ref="F12:F13"/>
    <mergeCell ref="A15:D15"/>
    <mergeCell ref="A16:F16"/>
    <mergeCell ref="E2:F2"/>
    <mergeCell ref="E3:F3"/>
    <mergeCell ref="A6:F6"/>
    <mergeCell ref="A7:F7"/>
    <mergeCell ref="A8:F8"/>
    <mergeCell ref="A12:A13"/>
    <mergeCell ref="B12:B13"/>
    <mergeCell ref="C12:D12"/>
  </mergeCells>
  <printOptions horizontalCentered="1"/>
  <pageMargins left="0.7874015748031497" right="0.7086614173228347" top="0.984251968503937" bottom="0.7480314960629921" header="0" footer="0.196850393700787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F12" sqref="F12"/>
    </sheetView>
  </sheetViews>
  <sheetFormatPr defaultColWidth="8.796875" defaultRowHeight="14.25"/>
  <cols>
    <col min="1" max="1" width="3.8984375" style="542" customWidth="1"/>
    <col min="2" max="2" width="53.5" style="543" customWidth="1"/>
    <col min="3" max="3" width="7.09765625" style="544" customWidth="1"/>
    <col min="4" max="4" width="12" style="544" customWidth="1"/>
    <col min="5" max="6" width="10.19921875" style="545" customWidth="1"/>
    <col min="7" max="7" width="12" style="541" customWidth="1"/>
    <col min="8" max="16384" width="9" style="541" customWidth="1"/>
  </cols>
  <sheetData>
    <row r="1" spans="1:6" s="539" customFormat="1" ht="12.75">
      <c r="A1" s="534"/>
      <c r="B1" s="535"/>
      <c r="C1" s="536"/>
      <c r="D1" s="537"/>
      <c r="E1" s="537" t="s">
        <v>1168</v>
      </c>
      <c r="F1" s="538"/>
    </row>
    <row r="2" spans="1:6" s="539" customFormat="1" ht="12.75">
      <c r="A2" s="534"/>
      <c r="B2" s="535"/>
      <c r="C2" s="536"/>
      <c r="D2" s="540"/>
      <c r="E2" s="540" t="s">
        <v>1170</v>
      </c>
      <c r="F2" s="538"/>
    </row>
    <row r="3" spans="1:6" s="539" customFormat="1" ht="12.75">
      <c r="A3" s="534"/>
      <c r="B3" s="535"/>
      <c r="C3" s="536"/>
      <c r="D3" s="538"/>
      <c r="E3" s="538" t="s">
        <v>1169</v>
      </c>
      <c r="F3" s="538"/>
    </row>
    <row r="4" spans="1:6" s="539" customFormat="1" ht="12.75">
      <c r="A4" s="534"/>
      <c r="B4" s="535"/>
      <c r="C4" s="536"/>
      <c r="D4" s="536"/>
      <c r="E4" s="538"/>
      <c r="F4" s="538"/>
    </row>
    <row r="6" spans="1:7" ht="15.75">
      <c r="A6" s="1109" t="s">
        <v>1155</v>
      </c>
      <c r="B6" s="1109"/>
      <c r="C6" s="1109"/>
      <c r="D6" s="1109"/>
      <c r="E6" s="1109"/>
      <c r="F6" s="1109"/>
      <c r="G6" s="1109"/>
    </row>
    <row r="7" spans="1:7" ht="15.75">
      <c r="A7" s="1109" t="s">
        <v>351</v>
      </c>
      <c r="B7" s="1109"/>
      <c r="C7" s="1109"/>
      <c r="D7" s="1109"/>
      <c r="E7" s="1109"/>
      <c r="F7" s="1109"/>
      <c r="G7" s="1109"/>
    </row>
    <row r="9" ht="12.75">
      <c r="G9" s="546" t="s">
        <v>17</v>
      </c>
    </row>
    <row r="10" spans="1:7" s="548" customFormat="1" ht="44.25" customHeight="1">
      <c r="A10" s="547" t="s">
        <v>396</v>
      </c>
      <c r="B10" s="547" t="s">
        <v>1156</v>
      </c>
      <c r="C10" s="547" t="s">
        <v>218</v>
      </c>
      <c r="D10" s="547" t="s">
        <v>1157</v>
      </c>
      <c r="E10" s="547" t="s">
        <v>601</v>
      </c>
      <c r="F10" s="547" t="s">
        <v>616</v>
      </c>
      <c r="G10" s="547" t="s">
        <v>1158</v>
      </c>
    </row>
    <row r="11" spans="1:7" s="550" customFormat="1" ht="12.75">
      <c r="A11" s="549" t="s">
        <v>397</v>
      </c>
      <c r="B11" s="549" t="s">
        <v>398</v>
      </c>
      <c r="C11" s="549" t="s">
        <v>399</v>
      </c>
      <c r="D11" s="549" t="s">
        <v>400</v>
      </c>
      <c r="E11" s="549" t="s">
        <v>401</v>
      </c>
      <c r="F11" s="549" t="s">
        <v>402</v>
      </c>
      <c r="G11" s="549" t="s">
        <v>403</v>
      </c>
    </row>
    <row r="12" spans="1:7" s="557" customFormat="1" ht="46.5" customHeight="1">
      <c r="A12" s="551" t="s">
        <v>397</v>
      </c>
      <c r="B12" s="552" t="s">
        <v>1159</v>
      </c>
      <c r="C12" s="553">
        <v>80147</v>
      </c>
      <c r="D12" s="554">
        <v>0</v>
      </c>
      <c r="E12" s="555">
        <v>34970</v>
      </c>
      <c r="F12" s="555">
        <v>34970</v>
      </c>
      <c r="G12" s="556">
        <f aca="true" t="shared" si="0" ref="G12:G24">D12+E12-F12</f>
        <v>0</v>
      </c>
    </row>
    <row r="13" spans="1:7" s="557" customFormat="1" ht="46.5" customHeight="1">
      <c r="A13" s="551" t="s">
        <v>398</v>
      </c>
      <c r="B13" s="552" t="s">
        <v>234</v>
      </c>
      <c r="C13" s="553">
        <v>80146</v>
      </c>
      <c r="D13" s="554">
        <v>0</v>
      </c>
      <c r="E13" s="555">
        <v>400000</v>
      </c>
      <c r="F13" s="555">
        <v>400000</v>
      </c>
      <c r="G13" s="556">
        <f t="shared" si="0"/>
        <v>0</v>
      </c>
    </row>
    <row r="14" spans="1:7" s="557" customFormat="1" ht="46.5" customHeight="1">
      <c r="A14" s="551" t="s">
        <v>399</v>
      </c>
      <c r="B14" s="552" t="s">
        <v>1160</v>
      </c>
      <c r="C14" s="553">
        <v>80146</v>
      </c>
      <c r="D14" s="554">
        <v>0</v>
      </c>
      <c r="E14" s="555">
        <v>320000</v>
      </c>
      <c r="F14" s="555">
        <v>320000</v>
      </c>
      <c r="G14" s="556">
        <f t="shared" si="0"/>
        <v>0</v>
      </c>
    </row>
    <row r="15" spans="1:7" s="557" customFormat="1" ht="46.5" customHeight="1">
      <c r="A15" s="558" t="s">
        <v>400</v>
      </c>
      <c r="B15" s="559" t="s">
        <v>1161</v>
      </c>
      <c r="C15" s="553" t="s">
        <v>215</v>
      </c>
      <c r="D15" s="555">
        <f>D16+D17</f>
        <v>0</v>
      </c>
      <c r="E15" s="555">
        <f>E16+E17</f>
        <v>141500</v>
      </c>
      <c r="F15" s="555">
        <f>F16+F17</f>
        <v>141500</v>
      </c>
      <c r="G15" s="555">
        <f>G16+G17</f>
        <v>0</v>
      </c>
    </row>
    <row r="16" spans="1:7" s="566" customFormat="1" ht="30" customHeight="1">
      <c r="A16" s="560"/>
      <c r="B16" s="561"/>
      <c r="C16" s="562">
        <v>80146</v>
      </c>
      <c r="D16" s="563">
        <v>0</v>
      </c>
      <c r="E16" s="564">
        <v>125800</v>
      </c>
      <c r="F16" s="564">
        <v>125800</v>
      </c>
      <c r="G16" s="565">
        <v>0</v>
      </c>
    </row>
    <row r="17" spans="1:7" s="566" customFormat="1" ht="30" customHeight="1">
      <c r="A17" s="567"/>
      <c r="B17" s="568"/>
      <c r="C17" s="562">
        <v>80147</v>
      </c>
      <c r="D17" s="563">
        <v>0</v>
      </c>
      <c r="E17" s="564">
        <v>15700</v>
      </c>
      <c r="F17" s="564">
        <v>15700</v>
      </c>
      <c r="G17" s="565">
        <v>0</v>
      </c>
    </row>
    <row r="18" spans="1:7" s="557" customFormat="1" ht="46.5" customHeight="1">
      <c r="A18" s="551" t="s">
        <v>401</v>
      </c>
      <c r="B18" s="552" t="s">
        <v>411</v>
      </c>
      <c r="C18" s="553">
        <v>85410</v>
      </c>
      <c r="D18" s="554">
        <v>0</v>
      </c>
      <c r="E18" s="555">
        <v>444150</v>
      </c>
      <c r="F18" s="555">
        <v>444150</v>
      </c>
      <c r="G18" s="556">
        <f>D18+E18-F18</f>
        <v>0</v>
      </c>
    </row>
    <row r="19" spans="1:7" s="557" customFormat="1" ht="46.5" customHeight="1">
      <c r="A19" s="551" t="s">
        <v>402</v>
      </c>
      <c r="B19" s="552" t="s">
        <v>1162</v>
      </c>
      <c r="C19" s="553">
        <v>85403</v>
      </c>
      <c r="D19" s="554">
        <v>0</v>
      </c>
      <c r="E19" s="555">
        <v>252000</v>
      </c>
      <c r="F19" s="555">
        <v>252000</v>
      </c>
      <c r="G19" s="556">
        <f>D19+E19-F19</f>
        <v>0</v>
      </c>
    </row>
    <row r="20" spans="1:7" s="570" customFormat="1" ht="46.5" customHeight="1">
      <c r="A20" s="551" t="s">
        <v>403</v>
      </c>
      <c r="B20" s="569" t="s">
        <v>1163</v>
      </c>
      <c r="C20" s="553">
        <v>85403</v>
      </c>
      <c r="D20" s="554">
        <v>0</v>
      </c>
      <c r="E20" s="555">
        <v>350000</v>
      </c>
      <c r="F20" s="555">
        <v>350000</v>
      </c>
      <c r="G20" s="556">
        <f>D20+E20-F20</f>
        <v>0</v>
      </c>
    </row>
    <row r="21" spans="1:7" s="571" customFormat="1" ht="46.5" customHeight="1">
      <c r="A21" s="551" t="s">
        <v>404</v>
      </c>
      <c r="B21" s="569" t="s">
        <v>1164</v>
      </c>
      <c r="C21" s="553">
        <v>85403</v>
      </c>
      <c r="D21" s="554">
        <v>0</v>
      </c>
      <c r="E21" s="555">
        <v>235000</v>
      </c>
      <c r="F21" s="555">
        <v>235000</v>
      </c>
      <c r="G21" s="556">
        <f>D21+E21-F21</f>
        <v>0</v>
      </c>
    </row>
    <row r="22" spans="1:7" s="557" customFormat="1" ht="46.5" customHeight="1">
      <c r="A22" s="551" t="s">
        <v>405</v>
      </c>
      <c r="B22" s="552" t="s">
        <v>1165</v>
      </c>
      <c r="C22" s="572">
        <v>80116</v>
      </c>
      <c r="D22" s="556">
        <v>0</v>
      </c>
      <c r="E22" s="555">
        <v>9200</v>
      </c>
      <c r="F22" s="555">
        <v>9200</v>
      </c>
      <c r="G22" s="556">
        <f t="shared" si="0"/>
        <v>0</v>
      </c>
    </row>
    <row r="23" spans="1:7" s="557" customFormat="1" ht="46.5" customHeight="1">
      <c r="A23" s="551" t="s">
        <v>406</v>
      </c>
      <c r="B23" s="552" t="s">
        <v>1166</v>
      </c>
      <c r="C23" s="553">
        <v>80116</v>
      </c>
      <c r="D23" s="554">
        <v>0</v>
      </c>
      <c r="E23" s="555">
        <v>2060</v>
      </c>
      <c r="F23" s="555">
        <v>2060</v>
      </c>
      <c r="G23" s="556">
        <f t="shared" si="0"/>
        <v>0</v>
      </c>
    </row>
    <row r="24" spans="1:7" s="557" customFormat="1" ht="46.5" customHeight="1">
      <c r="A24" s="551" t="s">
        <v>407</v>
      </c>
      <c r="B24" s="552" t="s">
        <v>1167</v>
      </c>
      <c r="C24" s="553">
        <v>80147</v>
      </c>
      <c r="D24" s="554">
        <v>0</v>
      </c>
      <c r="E24" s="555">
        <v>19000</v>
      </c>
      <c r="F24" s="555">
        <v>19000</v>
      </c>
      <c r="G24" s="556">
        <f t="shared" si="0"/>
        <v>0</v>
      </c>
    </row>
    <row r="25" spans="1:7" s="577" customFormat="1" ht="46.5" customHeight="1">
      <c r="A25" s="573"/>
      <c r="B25" s="574" t="s">
        <v>248</v>
      </c>
      <c r="C25" s="575"/>
      <c r="D25" s="576">
        <f>D12+D13+D14+D15+D18+D24+D19+D20+D21+D22+D23</f>
        <v>0</v>
      </c>
      <c r="E25" s="576">
        <f>E12+E13+E14+E15+E18+E24+E19+E20+E21+E22+E23</f>
        <v>2207880</v>
      </c>
      <c r="F25" s="576">
        <f>F12+F13+F14+F15+F18+F24+F19+F20+F21+F22+F23</f>
        <v>2207880</v>
      </c>
      <c r="G25" s="576">
        <f>G12+G13+G14+G15+G18+G24+G19+G20+G21+G22+G23</f>
        <v>0</v>
      </c>
    </row>
  </sheetData>
  <sheetProtection password="C25B" sheet="1"/>
  <mergeCells count="2">
    <mergeCell ref="A6:G6"/>
    <mergeCell ref="A7:G7"/>
  </mergeCells>
  <printOptions horizontalCentered="1"/>
  <pageMargins left="0.7874015748031497" right="0.7874015748031497" top="0.984251968503937" bottom="0.7480314960629921" header="0.5118110236220472" footer="0.5118110236220472"/>
  <pageSetup fitToHeight="2" fitToWidth="1" horizontalDpi="600" verticalDpi="600" orientation="portrait" paperSize="9" scale="71" r:id="rId1"/>
  <rowBreaks count="1" manualBreakCount="1">
    <brk id="19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3"/>
  <sheetViews>
    <sheetView view="pageBreakPreview" zoomScaleSheetLayoutView="100" zoomScalePageLayoutView="0" workbookViewId="0" topLeftCell="A1">
      <selection activeCell="B15" sqref="B15"/>
    </sheetView>
  </sheetViews>
  <sheetFormatPr defaultColWidth="8.796875" defaultRowHeight="14.25"/>
  <cols>
    <col min="1" max="1" width="10.09765625" style="707" customWidth="1"/>
    <col min="2" max="2" width="9.3984375" style="708" customWidth="1"/>
    <col min="3" max="3" width="62.5" style="743" customWidth="1"/>
    <col min="4" max="4" width="15.09765625" style="744" customWidth="1"/>
    <col min="5" max="16384" width="9" style="710" customWidth="1"/>
  </cols>
  <sheetData>
    <row r="1" spans="3:4" ht="15">
      <c r="C1" s="842" t="s">
        <v>521</v>
      </c>
      <c r="D1" s="842"/>
    </row>
    <row r="2" spans="3:4" ht="15">
      <c r="C2" s="842" t="s">
        <v>523</v>
      </c>
      <c r="D2" s="842"/>
    </row>
    <row r="3" spans="3:4" ht="15">
      <c r="C3" s="842" t="s">
        <v>524</v>
      </c>
      <c r="D3" s="842"/>
    </row>
    <row r="4" spans="3:4" ht="9.75" customHeight="1">
      <c r="C4" s="709"/>
      <c r="D4" s="711"/>
    </row>
    <row r="5" spans="1:4" ht="15">
      <c r="A5" s="843" t="s">
        <v>440</v>
      </c>
      <c r="B5" s="843"/>
      <c r="C5" s="843"/>
      <c r="D5" s="843"/>
    </row>
    <row r="6" spans="1:4" ht="15">
      <c r="A6" s="843" t="s">
        <v>351</v>
      </c>
      <c r="B6" s="843"/>
      <c r="C6" s="843"/>
      <c r="D6" s="843"/>
    </row>
    <row r="7" spans="1:4" ht="14.25" customHeight="1">
      <c r="A7" s="844" t="s">
        <v>525</v>
      </c>
      <c r="B7" s="844"/>
      <c r="C7" s="844"/>
      <c r="D7" s="844"/>
    </row>
    <row r="8" spans="1:4" s="715" customFormat="1" ht="28.5">
      <c r="A8" s="712" t="s">
        <v>441</v>
      </c>
      <c r="B8" s="712" t="s">
        <v>442</v>
      </c>
      <c r="C8" s="713" t="s">
        <v>19</v>
      </c>
      <c r="D8" s="714" t="s">
        <v>443</v>
      </c>
    </row>
    <row r="9" spans="1:4" s="719" customFormat="1" ht="13.5" customHeight="1">
      <c r="A9" s="716" t="s">
        <v>21</v>
      </c>
      <c r="B9" s="716" t="s">
        <v>22</v>
      </c>
      <c r="C9" s="717">
        <v>3</v>
      </c>
      <c r="D9" s="718">
        <v>4</v>
      </c>
    </row>
    <row r="10" spans="1:4" s="719" customFormat="1" ht="18.75" customHeight="1">
      <c r="A10" s="716"/>
      <c r="B10" s="716"/>
      <c r="C10" s="720" t="s">
        <v>444</v>
      </c>
      <c r="D10" s="721">
        <f>D11+D22+D28+D33+D58+D63+D70+D80+D88+D110+D113+D122+D151+D178+D183+D194+D207+D214+D217+D237+D248</f>
        <v>1111200177</v>
      </c>
    </row>
    <row r="11" spans="1:4" s="725" customFormat="1" ht="14.25">
      <c r="A11" s="722" t="s">
        <v>24</v>
      </c>
      <c r="B11" s="722" t="s">
        <v>445</v>
      </c>
      <c r="C11" s="723" t="s">
        <v>52</v>
      </c>
      <c r="D11" s="724">
        <f>D12+D17+D20</f>
        <v>12160500</v>
      </c>
    </row>
    <row r="12" spans="1:4" s="725" customFormat="1" ht="14.25">
      <c r="A12" s="726" t="s">
        <v>72</v>
      </c>
      <c r="B12" s="726" t="s">
        <v>445</v>
      </c>
      <c r="C12" s="727" t="s">
        <v>446</v>
      </c>
      <c r="D12" s="728">
        <f>SUM(D13:D16)</f>
        <v>5600000</v>
      </c>
    </row>
    <row r="13" spans="1:4" ht="60">
      <c r="A13" s="729" t="s">
        <v>445</v>
      </c>
      <c r="B13" s="729">
        <v>2008</v>
      </c>
      <c r="C13" s="730" t="s">
        <v>447</v>
      </c>
      <c r="D13" s="731">
        <v>369000</v>
      </c>
    </row>
    <row r="14" spans="1:4" ht="60">
      <c r="A14" s="729" t="s">
        <v>445</v>
      </c>
      <c r="B14" s="729">
        <v>2009</v>
      </c>
      <c r="C14" s="730" t="s">
        <v>447</v>
      </c>
      <c r="D14" s="731">
        <v>211000</v>
      </c>
    </row>
    <row r="15" spans="1:4" ht="60">
      <c r="A15" s="729" t="s">
        <v>445</v>
      </c>
      <c r="B15" s="729">
        <v>2058</v>
      </c>
      <c r="C15" s="730" t="s">
        <v>448</v>
      </c>
      <c r="D15" s="731">
        <v>3195000</v>
      </c>
    </row>
    <row r="16" spans="1:4" ht="60">
      <c r="A16" s="729" t="s">
        <v>445</v>
      </c>
      <c r="B16" s="729">
        <v>2059</v>
      </c>
      <c r="C16" s="730" t="s">
        <v>448</v>
      </c>
      <c r="D16" s="731">
        <v>1825000</v>
      </c>
    </row>
    <row r="17" spans="1:4" s="725" customFormat="1" ht="14.25">
      <c r="A17" s="726" t="s">
        <v>83</v>
      </c>
      <c r="B17" s="726" t="s">
        <v>445</v>
      </c>
      <c r="C17" s="727" t="s">
        <v>84</v>
      </c>
      <c r="D17" s="728">
        <f>SUM(D18:D19)</f>
        <v>6550000</v>
      </c>
    </row>
    <row r="18" spans="1:4" ht="15">
      <c r="A18" s="729" t="s">
        <v>445</v>
      </c>
      <c r="B18" s="729" t="s">
        <v>74</v>
      </c>
      <c r="C18" s="730" t="s">
        <v>75</v>
      </c>
      <c r="D18" s="731">
        <v>6500000</v>
      </c>
    </row>
    <row r="19" spans="1:4" ht="15">
      <c r="A19" s="729" t="s">
        <v>445</v>
      </c>
      <c r="B19" s="729" t="s">
        <v>449</v>
      </c>
      <c r="C19" s="730" t="s">
        <v>450</v>
      </c>
      <c r="D19" s="731">
        <v>50000</v>
      </c>
    </row>
    <row r="20" spans="1:4" s="725" customFormat="1" ht="14.25">
      <c r="A20" s="726" t="s">
        <v>85</v>
      </c>
      <c r="B20" s="726" t="s">
        <v>445</v>
      </c>
      <c r="C20" s="727" t="s">
        <v>73</v>
      </c>
      <c r="D20" s="728">
        <f>D21</f>
        <v>10500</v>
      </c>
    </row>
    <row r="21" spans="1:4" ht="15">
      <c r="A21" s="729" t="s">
        <v>445</v>
      </c>
      <c r="B21" s="729" t="s">
        <v>4</v>
      </c>
      <c r="C21" s="730" t="s">
        <v>5</v>
      </c>
      <c r="D21" s="731">
        <v>10500</v>
      </c>
    </row>
    <row r="22" spans="1:4" s="725" customFormat="1" ht="14.25">
      <c r="A22" s="722" t="s">
        <v>25</v>
      </c>
      <c r="B22" s="722" t="s">
        <v>445</v>
      </c>
      <c r="C22" s="732" t="s">
        <v>26</v>
      </c>
      <c r="D22" s="724">
        <f>D23+D26</f>
        <v>441000</v>
      </c>
    </row>
    <row r="23" spans="1:4" s="725" customFormat="1" ht="42.75">
      <c r="A23" s="726" t="s">
        <v>76</v>
      </c>
      <c r="B23" s="726" t="s">
        <v>445</v>
      </c>
      <c r="C23" s="727" t="s">
        <v>93</v>
      </c>
      <c r="D23" s="728">
        <f>SUM(D24:D25)</f>
        <v>380000</v>
      </c>
    </row>
    <row r="24" spans="1:4" ht="60">
      <c r="A24" s="729" t="s">
        <v>445</v>
      </c>
      <c r="B24" s="729">
        <v>2058</v>
      </c>
      <c r="C24" s="730" t="s">
        <v>448</v>
      </c>
      <c r="D24" s="731">
        <v>285000</v>
      </c>
    </row>
    <row r="25" spans="1:4" ht="60">
      <c r="A25" s="729"/>
      <c r="B25" s="729">
        <v>2059</v>
      </c>
      <c r="C25" s="730" t="s">
        <v>448</v>
      </c>
      <c r="D25" s="731">
        <v>95000</v>
      </c>
    </row>
    <row r="26" spans="1:4" s="725" customFormat="1" ht="14.25">
      <c r="A26" s="726" t="s">
        <v>384</v>
      </c>
      <c r="B26" s="726" t="s">
        <v>445</v>
      </c>
      <c r="C26" s="727" t="s">
        <v>73</v>
      </c>
      <c r="D26" s="728">
        <f>D27</f>
        <v>61000</v>
      </c>
    </row>
    <row r="27" spans="1:4" ht="45">
      <c r="A27" s="729" t="s">
        <v>445</v>
      </c>
      <c r="B27" s="729">
        <v>2210</v>
      </c>
      <c r="C27" s="730" t="s">
        <v>451</v>
      </c>
      <c r="D27" s="731">
        <v>61000</v>
      </c>
    </row>
    <row r="28" spans="1:4" s="725" customFormat="1" ht="14.25">
      <c r="A28" s="722" t="s">
        <v>91</v>
      </c>
      <c r="B28" s="722" t="s">
        <v>445</v>
      </c>
      <c r="C28" s="732" t="s">
        <v>92</v>
      </c>
      <c r="D28" s="724">
        <f>D29+D31</f>
        <v>6658145</v>
      </c>
    </row>
    <row r="29" spans="1:4" s="725" customFormat="1" ht="14.25">
      <c r="A29" s="726">
        <v>15011</v>
      </c>
      <c r="B29" s="726" t="s">
        <v>445</v>
      </c>
      <c r="C29" s="727" t="s">
        <v>452</v>
      </c>
      <c r="D29" s="728">
        <f>D30</f>
        <v>6467798</v>
      </c>
    </row>
    <row r="30" spans="1:4" ht="45">
      <c r="A30" s="729" t="s">
        <v>445</v>
      </c>
      <c r="B30" s="729">
        <v>2460</v>
      </c>
      <c r="C30" s="730" t="s">
        <v>453</v>
      </c>
      <c r="D30" s="731">
        <v>6467798</v>
      </c>
    </row>
    <row r="31" spans="1:4" s="725" customFormat="1" ht="14.25">
      <c r="A31" s="726">
        <v>15095</v>
      </c>
      <c r="B31" s="726" t="s">
        <v>445</v>
      </c>
      <c r="C31" s="727" t="s">
        <v>73</v>
      </c>
      <c r="D31" s="728">
        <f>D32</f>
        <v>190347</v>
      </c>
    </row>
    <row r="32" spans="1:4" ht="60">
      <c r="A32" s="729" t="s">
        <v>445</v>
      </c>
      <c r="B32" s="729">
        <v>2058</v>
      </c>
      <c r="C32" s="730" t="s">
        <v>448</v>
      </c>
      <c r="D32" s="731">
        <v>190347</v>
      </c>
    </row>
    <row r="33" spans="1:4" s="725" customFormat="1" ht="14.25">
      <c r="A33" s="722" t="s">
        <v>27</v>
      </c>
      <c r="B33" s="722" t="s">
        <v>445</v>
      </c>
      <c r="C33" s="732" t="s">
        <v>28</v>
      </c>
      <c r="D33" s="724">
        <f>D34+D38+D40+D54</f>
        <v>73373987</v>
      </c>
    </row>
    <row r="34" spans="1:4" s="725" customFormat="1" ht="14.25">
      <c r="A34" s="726">
        <v>60001</v>
      </c>
      <c r="B34" s="726" t="s">
        <v>445</v>
      </c>
      <c r="C34" s="727" t="s">
        <v>77</v>
      </c>
      <c r="D34" s="728">
        <f>SUM(D35:D37)</f>
        <v>14885141</v>
      </c>
    </row>
    <row r="35" spans="1:4" ht="45">
      <c r="A35" s="733" t="s">
        <v>445</v>
      </c>
      <c r="B35" s="733" t="s">
        <v>454</v>
      </c>
      <c r="C35" s="734" t="s">
        <v>455</v>
      </c>
      <c r="D35" s="735">
        <v>2202775</v>
      </c>
    </row>
    <row r="36" spans="1:4" ht="45">
      <c r="A36" s="736" t="s">
        <v>445</v>
      </c>
      <c r="B36" s="736">
        <v>2330</v>
      </c>
      <c r="C36" s="737" t="s">
        <v>456</v>
      </c>
      <c r="D36" s="738">
        <v>2720000</v>
      </c>
    </row>
    <row r="37" spans="1:4" ht="30">
      <c r="A37" s="729" t="s">
        <v>445</v>
      </c>
      <c r="B37" s="729">
        <v>2440</v>
      </c>
      <c r="C37" s="730" t="s">
        <v>457</v>
      </c>
      <c r="D37" s="731">
        <v>9962366</v>
      </c>
    </row>
    <row r="38" spans="1:4" s="725" customFormat="1" ht="14.25">
      <c r="A38" s="726">
        <v>60003</v>
      </c>
      <c r="B38" s="726" t="s">
        <v>445</v>
      </c>
      <c r="C38" s="727" t="s">
        <v>78</v>
      </c>
      <c r="D38" s="728">
        <f>D39</f>
        <v>37000000</v>
      </c>
    </row>
    <row r="39" spans="1:4" ht="45">
      <c r="A39" s="729" t="s">
        <v>445</v>
      </c>
      <c r="B39" s="729">
        <v>2210</v>
      </c>
      <c r="C39" s="730" t="s">
        <v>451</v>
      </c>
      <c r="D39" s="731">
        <v>37000000</v>
      </c>
    </row>
    <row r="40" spans="1:4" s="725" customFormat="1" ht="14.25">
      <c r="A40" s="726">
        <v>60013</v>
      </c>
      <c r="B40" s="726" t="s">
        <v>445</v>
      </c>
      <c r="C40" s="727" t="s">
        <v>79</v>
      </c>
      <c r="D40" s="728">
        <f>SUM(D41:D53)</f>
        <v>21065553</v>
      </c>
    </row>
    <row r="41" spans="1:4" ht="30">
      <c r="A41" s="729" t="s">
        <v>445</v>
      </c>
      <c r="B41" s="729" t="s">
        <v>458</v>
      </c>
      <c r="C41" s="730" t="s">
        <v>459</v>
      </c>
      <c r="D41" s="731">
        <v>2500</v>
      </c>
    </row>
    <row r="42" spans="1:4" ht="15">
      <c r="A42" s="729" t="s">
        <v>445</v>
      </c>
      <c r="B42" s="729" t="s">
        <v>460</v>
      </c>
      <c r="C42" s="730" t="s">
        <v>461</v>
      </c>
      <c r="D42" s="731">
        <v>800</v>
      </c>
    </row>
    <row r="43" spans="1:4" ht="15">
      <c r="A43" s="729" t="s">
        <v>445</v>
      </c>
      <c r="B43" s="729" t="s">
        <v>74</v>
      </c>
      <c r="C43" s="730" t="s">
        <v>75</v>
      </c>
      <c r="D43" s="731">
        <v>4550000</v>
      </c>
    </row>
    <row r="44" spans="1:4" ht="45">
      <c r="A44" s="729" t="s">
        <v>445</v>
      </c>
      <c r="B44" s="729" t="s">
        <v>454</v>
      </c>
      <c r="C44" s="730" t="s">
        <v>455</v>
      </c>
      <c r="D44" s="731">
        <v>40700</v>
      </c>
    </row>
    <row r="45" spans="1:4" ht="15">
      <c r="A45" s="729" t="s">
        <v>445</v>
      </c>
      <c r="B45" s="729" t="s">
        <v>462</v>
      </c>
      <c r="C45" s="730" t="s">
        <v>463</v>
      </c>
      <c r="D45" s="731">
        <v>60000</v>
      </c>
    </row>
    <row r="46" spans="1:4" ht="15">
      <c r="A46" s="729" t="s">
        <v>445</v>
      </c>
      <c r="B46" s="729" t="s">
        <v>464</v>
      </c>
      <c r="C46" s="730" t="s">
        <v>465</v>
      </c>
      <c r="D46" s="731">
        <v>8000</v>
      </c>
    </row>
    <row r="47" spans="1:4" ht="15">
      <c r="A47" s="729" t="s">
        <v>445</v>
      </c>
      <c r="B47" s="729" t="s">
        <v>466</v>
      </c>
      <c r="C47" s="730" t="s">
        <v>467</v>
      </c>
      <c r="D47" s="731">
        <v>2157</v>
      </c>
    </row>
    <row r="48" spans="1:4" ht="15">
      <c r="A48" s="729" t="s">
        <v>445</v>
      </c>
      <c r="B48" s="729" t="s">
        <v>468</v>
      </c>
      <c r="C48" s="730" t="s">
        <v>469</v>
      </c>
      <c r="D48" s="731">
        <v>23300</v>
      </c>
    </row>
    <row r="49" spans="1:4" ht="15">
      <c r="A49" s="729" t="s">
        <v>445</v>
      </c>
      <c r="B49" s="729" t="s">
        <v>4</v>
      </c>
      <c r="C49" s="730" t="s">
        <v>5</v>
      </c>
      <c r="D49" s="731">
        <v>231700</v>
      </c>
    </row>
    <row r="50" spans="1:4" ht="45">
      <c r="A50" s="729" t="s">
        <v>445</v>
      </c>
      <c r="B50" s="729">
        <v>6300</v>
      </c>
      <c r="C50" s="730" t="s">
        <v>470</v>
      </c>
      <c r="D50" s="731">
        <v>150000</v>
      </c>
    </row>
    <row r="51" spans="1:4" ht="45">
      <c r="A51" s="729" t="s">
        <v>445</v>
      </c>
      <c r="B51" s="729">
        <v>6309</v>
      </c>
      <c r="C51" s="730" t="s">
        <v>470</v>
      </c>
      <c r="D51" s="731">
        <v>7893373</v>
      </c>
    </row>
    <row r="52" spans="1:4" ht="45">
      <c r="A52" s="729" t="s">
        <v>445</v>
      </c>
      <c r="B52" s="729">
        <v>6619</v>
      </c>
      <c r="C52" s="730" t="s">
        <v>471</v>
      </c>
      <c r="D52" s="731">
        <v>6609621</v>
      </c>
    </row>
    <row r="53" spans="1:4" ht="45">
      <c r="A53" s="729" t="s">
        <v>445</v>
      </c>
      <c r="B53" s="729">
        <v>6629</v>
      </c>
      <c r="C53" s="730" t="s">
        <v>472</v>
      </c>
      <c r="D53" s="731">
        <v>1493402</v>
      </c>
    </row>
    <row r="54" spans="1:4" s="725" customFormat="1" ht="14.25">
      <c r="A54" s="726">
        <v>60095</v>
      </c>
      <c r="B54" s="726" t="s">
        <v>445</v>
      </c>
      <c r="C54" s="727" t="s">
        <v>73</v>
      </c>
      <c r="D54" s="728">
        <f>SUM(D55:D57)</f>
        <v>423293</v>
      </c>
    </row>
    <row r="55" spans="1:4" ht="60">
      <c r="A55" s="729" t="s">
        <v>445</v>
      </c>
      <c r="B55" s="729">
        <v>2058</v>
      </c>
      <c r="C55" s="730" t="s">
        <v>448</v>
      </c>
      <c r="D55" s="731">
        <v>170293</v>
      </c>
    </row>
    <row r="56" spans="1:4" ht="45">
      <c r="A56" s="729" t="s">
        <v>445</v>
      </c>
      <c r="B56" s="729">
        <v>2210</v>
      </c>
      <c r="C56" s="730" t="s">
        <v>451</v>
      </c>
      <c r="D56" s="731">
        <v>248000</v>
      </c>
    </row>
    <row r="57" spans="1:4" ht="30">
      <c r="A57" s="729" t="s">
        <v>445</v>
      </c>
      <c r="B57" s="729">
        <v>2360</v>
      </c>
      <c r="C57" s="730" t="s">
        <v>473</v>
      </c>
      <c r="D57" s="731">
        <v>5000</v>
      </c>
    </row>
    <row r="58" spans="1:4" s="725" customFormat="1" ht="15" customHeight="1">
      <c r="A58" s="722" t="s">
        <v>97</v>
      </c>
      <c r="B58" s="722" t="s">
        <v>445</v>
      </c>
      <c r="C58" s="739" t="s">
        <v>98</v>
      </c>
      <c r="D58" s="724">
        <f>D59</f>
        <v>848495</v>
      </c>
    </row>
    <row r="59" spans="1:4" s="725" customFormat="1" ht="14.25">
      <c r="A59" s="726">
        <v>63095</v>
      </c>
      <c r="B59" s="726" t="s">
        <v>445</v>
      </c>
      <c r="C59" s="727" t="s">
        <v>73</v>
      </c>
      <c r="D59" s="728">
        <f>SUM(D60:D62)</f>
        <v>848495</v>
      </c>
    </row>
    <row r="60" spans="1:4" ht="60">
      <c r="A60" s="729" t="s">
        <v>445</v>
      </c>
      <c r="B60" s="729">
        <v>2058</v>
      </c>
      <c r="C60" s="730" t="s">
        <v>448</v>
      </c>
      <c r="D60" s="731">
        <v>670045</v>
      </c>
    </row>
    <row r="61" spans="1:4" ht="45">
      <c r="A61" s="729" t="s">
        <v>445</v>
      </c>
      <c r="B61" s="729">
        <v>2210</v>
      </c>
      <c r="C61" s="730" t="s">
        <v>451</v>
      </c>
      <c r="D61" s="731">
        <v>178000</v>
      </c>
    </row>
    <row r="62" spans="1:4" ht="30">
      <c r="A62" s="729" t="s">
        <v>445</v>
      </c>
      <c r="B62" s="729">
        <v>2360</v>
      </c>
      <c r="C62" s="730" t="s">
        <v>473</v>
      </c>
      <c r="D62" s="731">
        <v>450</v>
      </c>
    </row>
    <row r="63" spans="1:4" s="725" customFormat="1" ht="14.25">
      <c r="A63" s="722" t="s">
        <v>29</v>
      </c>
      <c r="B63" s="722" t="s">
        <v>445</v>
      </c>
      <c r="C63" s="732" t="s">
        <v>30</v>
      </c>
      <c r="D63" s="724">
        <f>D64</f>
        <v>1075000</v>
      </c>
    </row>
    <row r="64" spans="1:4" s="725" customFormat="1" ht="15.75" customHeight="1">
      <c r="A64" s="726">
        <v>70005</v>
      </c>
      <c r="B64" s="726" t="s">
        <v>445</v>
      </c>
      <c r="C64" s="727" t="s">
        <v>80</v>
      </c>
      <c r="D64" s="728">
        <f>SUM(D65:D69)</f>
        <v>1075000</v>
      </c>
    </row>
    <row r="65" spans="1:4" ht="15">
      <c r="A65" s="729" t="s">
        <v>445</v>
      </c>
      <c r="B65" s="729" t="s">
        <v>474</v>
      </c>
      <c r="C65" s="730" t="s">
        <v>475</v>
      </c>
      <c r="D65" s="731">
        <v>215000</v>
      </c>
    </row>
    <row r="66" spans="1:4" ht="15">
      <c r="A66" s="729" t="s">
        <v>445</v>
      </c>
      <c r="B66" s="729" t="s">
        <v>476</v>
      </c>
      <c r="C66" s="730" t="s">
        <v>477</v>
      </c>
      <c r="D66" s="731">
        <v>95000</v>
      </c>
    </row>
    <row r="67" spans="1:4" ht="45">
      <c r="A67" s="733" t="s">
        <v>445</v>
      </c>
      <c r="B67" s="733" t="s">
        <v>454</v>
      </c>
      <c r="C67" s="734" t="s">
        <v>455</v>
      </c>
      <c r="D67" s="735">
        <v>550000</v>
      </c>
    </row>
    <row r="68" spans="1:4" ht="32.25" customHeight="1">
      <c r="A68" s="736" t="s">
        <v>445</v>
      </c>
      <c r="B68" s="736" t="s">
        <v>478</v>
      </c>
      <c r="C68" s="737" t="s">
        <v>479</v>
      </c>
      <c r="D68" s="738">
        <v>15000</v>
      </c>
    </row>
    <row r="69" spans="1:4" ht="32.25" customHeight="1">
      <c r="A69" s="729" t="s">
        <v>445</v>
      </c>
      <c r="B69" s="729" t="s">
        <v>480</v>
      </c>
      <c r="C69" s="730" t="s">
        <v>481</v>
      </c>
      <c r="D69" s="731">
        <v>200000</v>
      </c>
    </row>
    <row r="70" spans="1:4" s="725" customFormat="1" ht="16.5" customHeight="1">
      <c r="A70" s="722" t="s">
        <v>31</v>
      </c>
      <c r="B70" s="722" t="s">
        <v>445</v>
      </c>
      <c r="C70" s="732" t="s">
        <v>32</v>
      </c>
      <c r="D70" s="724">
        <f>D71+D74+D77</f>
        <v>380050</v>
      </c>
    </row>
    <row r="71" spans="1:4" s="725" customFormat="1" ht="16.5" customHeight="1">
      <c r="A71" s="726">
        <v>71003</v>
      </c>
      <c r="B71" s="726" t="s">
        <v>445</v>
      </c>
      <c r="C71" s="727" t="s">
        <v>81</v>
      </c>
      <c r="D71" s="728">
        <f>SUM(D72:D73)</f>
        <v>2700</v>
      </c>
    </row>
    <row r="72" spans="1:4" ht="16.5" customHeight="1">
      <c r="A72" s="729" t="s">
        <v>445</v>
      </c>
      <c r="B72" s="729" t="s">
        <v>466</v>
      </c>
      <c r="C72" s="730" t="s">
        <v>467</v>
      </c>
      <c r="D72" s="731">
        <v>2500</v>
      </c>
    </row>
    <row r="73" spans="1:4" ht="16.5" customHeight="1">
      <c r="A73" s="729" t="s">
        <v>445</v>
      </c>
      <c r="B73" s="729" t="s">
        <v>4</v>
      </c>
      <c r="C73" s="730" t="s">
        <v>5</v>
      </c>
      <c r="D73" s="731">
        <v>200</v>
      </c>
    </row>
    <row r="74" spans="1:4" s="725" customFormat="1" ht="16.5" customHeight="1">
      <c r="A74" s="726">
        <v>71005</v>
      </c>
      <c r="B74" s="726" t="s">
        <v>445</v>
      </c>
      <c r="C74" s="727" t="s">
        <v>82</v>
      </c>
      <c r="D74" s="728">
        <f>SUM(D75:D76)</f>
        <v>257350</v>
      </c>
    </row>
    <row r="75" spans="1:4" ht="45">
      <c r="A75" s="729" t="s">
        <v>445</v>
      </c>
      <c r="B75" s="729">
        <v>2210</v>
      </c>
      <c r="C75" s="730" t="s">
        <v>451</v>
      </c>
      <c r="D75" s="731">
        <v>256000</v>
      </c>
    </row>
    <row r="76" spans="1:4" ht="30">
      <c r="A76" s="729" t="s">
        <v>445</v>
      </c>
      <c r="B76" s="729">
        <v>2360</v>
      </c>
      <c r="C76" s="730" t="s">
        <v>473</v>
      </c>
      <c r="D76" s="731">
        <v>1350</v>
      </c>
    </row>
    <row r="77" spans="1:4" s="725" customFormat="1" ht="15.75" customHeight="1">
      <c r="A77" s="726">
        <v>71012</v>
      </c>
      <c r="B77" s="726" t="s">
        <v>445</v>
      </c>
      <c r="C77" s="727" t="s">
        <v>88</v>
      </c>
      <c r="D77" s="728">
        <f>SUM(D78:D79)</f>
        <v>120000</v>
      </c>
    </row>
    <row r="78" spans="1:4" ht="15.75" customHeight="1">
      <c r="A78" s="729" t="s">
        <v>445</v>
      </c>
      <c r="B78" s="729" t="s">
        <v>74</v>
      </c>
      <c r="C78" s="730" t="s">
        <v>75</v>
      </c>
      <c r="D78" s="731">
        <v>20000</v>
      </c>
    </row>
    <row r="79" spans="1:4" ht="45">
      <c r="A79" s="729" t="s">
        <v>445</v>
      </c>
      <c r="B79" s="729">
        <v>2210</v>
      </c>
      <c r="C79" s="730" t="s">
        <v>451</v>
      </c>
      <c r="D79" s="731">
        <v>100000</v>
      </c>
    </row>
    <row r="80" spans="1:4" s="725" customFormat="1" ht="18" customHeight="1">
      <c r="A80" s="722" t="s">
        <v>33</v>
      </c>
      <c r="B80" s="722" t="s">
        <v>445</v>
      </c>
      <c r="C80" s="732" t="s">
        <v>34</v>
      </c>
      <c r="D80" s="724">
        <f>D81</f>
        <v>868267</v>
      </c>
    </row>
    <row r="81" spans="1:4" s="725" customFormat="1" ht="18" customHeight="1">
      <c r="A81" s="726">
        <v>72095</v>
      </c>
      <c r="B81" s="726" t="s">
        <v>445</v>
      </c>
      <c r="C81" s="727" t="s">
        <v>73</v>
      </c>
      <c r="D81" s="728">
        <f>SUM(D82:D87)</f>
        <v>868267</v>
      </c>
    </row>
    <row r="82" spans="1:4" ht="31.5" customHeight="1">
      <c r="A82" s="729" t="s">
        <v>445</v>
      </c>
      <c r="B82" s="729">
        <v>2310</v>
      </c>
      <c r="C82" s="730" t="s">
        <v>482</v>
      </c>
      <c r="D82" s="731">
        <v>747529</v>
      </c>
    </row>
    <row r="83" spans="1:4" ht="31.5" customHeight="1">
      <c r="A83" s="729" t="s">
        <v>445</v>
      </c>
      <c r="B83" s="729">
        <v>2319</v>
      </c>
      <c r="C83" s="730" t="s">
        <v>482</v>
      </c>
      <c r="D83" s="731">
        <v>41443</v>
      </c>
    </row>
    <row r="84" spans="1:4" ht="31.5" customHeight="1">
      <c r="A84" s="729" t="s">
        <v>445</v>
      </c>
      <c r="B84" s="729">
        <v>2329</v>
      </c>
      <c r="C84" s="730" t="s">
        <v>483</v>
      </c>
      <c r="D84" s="731">
        <v>16112</v>
      </c>
    </row>
    <row r="85" spans="1:4" ht="47.25" customHeight="1">
      <c r="A85" s="729" t="s">
        <v>445</v>
      </c>
      <c r="B85" s="729">
        <v>2469</v>
      </c>
      <c r="C85" s="730" t="s">
        <v>453</v>
      </c>
      <c r="D85" s="731">
        <v>445</v>
      </c>
    </row>
    <row r="86" spans="1:4" ht="46.5" customHeight="1">
      <c r="A86" s="729" t="s">
        <v>445</v>
      </c>
      <c r="B86" s="729">
        <v>6289</v>
      </c>
      <c r="C86" s="730" t="s">
        <v>484</v>
      </c>
      <c r="D86" s="731">
        <v>58641</v>
      </c>
    </row>
    <row r="87" spans="1:4" ht="47.25" customHeight="1">
      <c r="A87" s="729" t="s">
        <v>445</v>
      </c>
      <c r="B87" s="729">
        <v>6299</v>
      </c>
      <c r="C87" s="730" t="s">
        <v>485</v>
      </c>
      <c r="D87" s="731">
        <v>4097</v>
      </c>
    </row>
    <row r="88" spans="1:4" s="725" customFormat="1" ht="16.5" customHeight="1">
      <c r="A88" s="722" t="s">
        <v>35</v>
      </c>
      <c r="B88" s="722" t="s">
        <v>445</v>
      </c>
      <c r="C88" s="732" t="s">
        <v>36</v>
      </c>
      <c r="D88" s="724">
        <f>D89+D98+D100+D102+D104</f>
        <v>2873729</v>
      </c>
    </row>
    <row r="89" spans="1:4" s="725" customFormat="1" ht="16.5" customHeight="1">
      <c r="A89" s="726">
        <v>75018</v>
      </c>
      <c r="B89" s="726" t="s">
        <v>445</v>
      </c>
      <c r="C89" s="727" t="s">
        <v>53</v>
      </c>
      <c r="D89" s="728">
        <f>SUM(D90:D97)</f>
        <v>226100</v>
      </c>
    </row>
    <row r="90" spans="1:4" ht="16.5" customHeight="1">
      <c r="A90" s="729" t="s">
        <v>445</v>
      </c>
      <c r="B90" s="729" t="s">
        <v>74</v>
      </c>
      <c r="C90" s="730" t="s">
        <v>75</v>
      </c>
      <c r="D90" s="731">
        <v>1000</v>
      </c>
    </row>
    <row r="91" spans="1:4" ht="48.75" customHeight="1">
      <c r="A91" s="729" t="s">
        <v>445</v>
      </c>
      <c r="B91" s="729" t="s">
        <v>454</v>
      </c>
      <c r="C91" s="730" t="s">
        <v>455</v>
      </c>
      <c r="D91" s="731">
        <v>45000</v>
      </c>
    </row>
    <row r="92" spans="1:4" ht="15">
      <c r="A92" s="729" t="s">
        <v>445</v>
      </c>
      <c r="B92" s="729" t="s">
        <v>486</v>
      </c>
      <c r="C92" s="730" t="s">
        <v>487</v>
      </c>
      <c r="D92" s="731">
        <v>45000</v>
      </c>
    </row>
    <row r="93" spans="1:4" ht="15">
      <c r="A93" s="729" t="s">
        <v>445</v>
      </c>
      <c r="B93" s="729" t="s">
        <v>464</v>
      </c>
      <c r="C93" s="730" t="s">
        <v>465</v>
      </c>
      <c r="D93" s="731">
        <v>100</v>
      </c>
    </row>
    <row r="94" spans="1:4" ht="15">
      <c r="A94" s="729" t="s">
        <v>445</v>
      </c>
      <c r="B94" s="729" t="s">
        <v>466</v>
      </c>
      <c r="C94" s="730" t="s">
        <v>467</v>
      </c>
      <c r="D94" s="731">
        <v>10000</v>
      </c>
    </row>
    <row r="95" spans="1:4" ht="15">
      <c r="A95" s="729" t="s">
        <v>445</v>
      </c>
      <c r="B95" s="729" t="s">
        <v>468</v>
      </c>
      <c r="C95" s="730" t="s">
        <v>469</v>
      </c>
      <c r="D95" s="731">
        <v>10000</v>
      </c>
    </row>
    <row r="96" spans="1:4" ht="15">
      <c r="A96" s="729" t="s">
        <v>445</v>
      </c>
      <c r="B96" s="729" t="s">
        <v>4</v>
      </c>
      <c r="C96" s="730" t="s">
        <v>5</v>
      </c>
      <c r="D96" s="731">
        <v>30000</v>
      </c>
    </row>
    <row r="97" spans="1:4" ht="31.5" customHeight="1">
      <c r="A97" s="729" t="s">
        <v>445</v>
      </c>
      <c r="B97" s="729">
        <v>2230</v>
      </c>
      <c r="C97" s="730" t="s">
        <v>488</v>
      </c>
      <c r="D97" s="731">
        <v>85000</v>
      </c>
    </row>
    <row r="98" spans="1:4" s="725" customFormat="1" ht="15.75" customHeight="1">
      <c r="A98" s="726">
        <v>75046</v>
      </c>
      <c r="B98" s="726" t="s">
        <v>445</v>
      </c>
      <c r="C98" s="727" t="s">
        <v>489</v>
      </c>
      <c r="D98" s="728">
        <f>D99</f>
        <v>300</v>
      </c>
    </row>
    <row r="99" spans="1:4" ht="30.75" customHeight="1">
      <c r="A99" s="729" t="s">
        <v>445</v>
      </c>
      <c r="B99" s="729">
        <v>2360</v>
      </c>
      <c r="C99" s="730" t="s">
        <v>473</v>
      </c>
      <c r="D99" s="731">
        <v>300</v>
      </c>
    </row>
    <row r="100" spans="1:4" s="725" customFormat="1" ht="18" customHeight="1">
      <c r="A100" s="726">
        <v>75075</v>
      </c>
      <c r="B100" s="726" t="s">
        <v>445</v>
      </c>
      <c r="C100" s="727" t="s">
        <v>94</v>
      </c>
      <c r="D100" s="728">
        <f>D101</f>
        <v>548195</v>
      </c>
    </row>
    <row r="101" spans="1:4" ht="32.25" customHeight="1">
      <c r="A101" s="729" t="s">
        <v>445</v>
      </c>
      <c r="B101" s="729">
        <v>2319</v>
      </c>
      <c r="C101" s="730" t="s">
        <v>482</v>
      </c>
      <c r="D101" s="731">
        <v>548195</v>
      </c>
    </row>
    <row r="102" spans="1:4" s="725" customFormat="1" ht="18" customHeight="1">
      <c r="A102" s="726">
        <v>75084</v>
      </c>
      <c r="B102" s="726" t="s">
        <v>445</v>
      </c>
      <c r="C102" s="727" t="s">
        <v>95</v>
      </c>
      <c r="D102" s="728">
        <f>D103</f>
        <v>202000</v>
      </c>
    </row>
    <row r="103" spans="1:4" ht="49.5" customHeight="1">
      <c r="A103" s="733" t="s">
        <v>445</v>
      </c>
      <c r="B103" s="733">
        <v>2210</v>
      </c>
      <c r="C103" s="734" t="s">
        <v>451</v>
      </c>
      <c r="D103" s="735">
        <v>202000</v>
      </c>
    </row>
    <row r="104" spans="1:4" s="725" customFormat="1" ht="14.25">
      <c r="A104" s="740">
        <v>75095</v>
      </c>
      <c r="B104" s="740" t="s">
        <v>445</v>
      </c>
      <c r="C104" s="741" t="s">
        <v>73</v>
      </c>
      <c r="D104" s="742">
        <f>SUM(D105:D109)</f>
        <v>1897134</v>
      </c>
    </row>
    <row r="105" spans="1:4" ht="60">
      <c r="A105" s="729" t="s">
        <v>445</v>
      </c>
      <c r="B105" s="729">
        <v>2008</v>
      </c>
      <c r="C105" s="730" t="s">
        <v>447</v>
      </c>
      <c r="D105" s="731">
        <v>274482</v>
      </c>
    </row>
    <row r="106" spans="1:4" ht="60">
      <c r="A106" s="729" t="s">
        <v>445</v>
      </c>
      <c r="B106" s="729">
        <v>2009</v>
      </c>
      <c r="C106" s="730" t="s">
        <v>447</v>
      </c>
      <c r="D106" s="731">
        <v>48438</v>
      </c>
    </row>
    <row r="107" spans="1:4" ht="60">
      <c r="A107" s="729" t="s">
        <v>445</v>
      </c>
      <c r="B107" s="729">
        <v>2057</v>
      </c>
      <c r="C107" s="730" t="s">
        <v>448</v>
      </c>
      <c r="D107" s="731">
        <v>163142</v>
      </c>
    </row>
    <row r="108" spans="1:4" ht="60">
      <c r="A108" s="729" t="s">
        <v>445</v>
      </c>
      <c r="B108" s="729">
        <v>2058</v>
      </c>
      <c r="C108" s="730" t="s">
        <v>448</v>
      </c>
      <c r="D108" s="731">
        <v>1190000</v>
      </c>
    </row>
    <row r="109" spans="1:4" ht="60">
      <c r="A109" s="729" t="s">
        <v>445</v>
      </c>
      <c r="B109" s="729">
        <v>2059</v>
      </c>
      <c r="C109" s="730" t="s">
        <v>448</v>
      </c>
      <c r="D109" s="731">
        <v>221072</v>
      </c>
    </row>
    <row r="110" spans="1:4" s="725" customFormat="1" ht="14.25">
      <c r="A110" s="722" t="s">
        <v>37</v>
      </c>
      <c r="B110" s="722" t="s">
        <v>445</v>
      </c>
      <c r="C110" s="732" t="s">
        <v>38</v>
      </c>
      <c r="D110" s="724">
        <f>D111</f>
        <v>5000</v>
      </c>
    </row>
    <row r="111" spans="1:4" s="725" customFormat="1" ht="14.25">
      <c r="A111" s="726">
        <v>75212</v>
      </c>
      <c r="B111" s="726" t="s">
        <v>445</v>
      </c>
      <c r="C111" s="727" t="s">
        <v>490</v>
      </c>
      <c r="D111" s="728">
        <f>D112</f>
        <v>5000</v>
      </c>
    </row>
    <row r="112" spans="1:4" ht="45">
      <c r="A112" s="729" t="s">
        <v>445</v>
      </c>
      <c r="B112" s="729">
        <v>2210</v>
      </c>
      <c r="C112" s="730" t="s">
        <v>451</v>
      </c>
      <c r="D112" s="731">
        <v>5000</v>
      </c>
    </row>
    <row r="113" spans="1:4" s="725" customFormat="1" ht="42.75">
      <c r="A113" s="722" t="s">
        <v>435</v>
      </c>
      <c r="B113" s="722" t="s">
        <v>445</v>
      </c>
      <c r="C113" s="732" t="s">
        <v>491</v>
      </c>
      <c r="D113" s="724">
        <f>D114+D119</f>
        <v>315962972</v>
      </c>
    </row>
    <row r="114" spans="1:4" s="725" customFormat="1" ht="33" customHeight="1">
      <c r="A114" s="726">
        <v>75618</v>
      </c>
      <c r="B114" s="726" t="s">
        <v>445</v>
      </c>
      <c r="C114" s="727" t="s">
        <v>492</v>
      </c>
      <c r="D114" s="728">
        <f>SUM(D115:D118)</f>
        <v>710700</v>
      </c>
    </row>
    <row r="115" spans="1:4" ht="15">
      <c r="A115" s="729" t="s">
        <v>445</v>
      </c>
      <c r="B115" s="729" t="s">
        <v>493</v>
      </c>
      <c r="C115" s="730" t="s">
        <v>494</v>
      </c>
      <c r="D115" s="731">
        <v>650000</v>
      </c>
    </row>
    <row r="116" spans="1:4" ht="30">
      <c r="A116" s="729" t="s">
        <v>445</v>
      </c>
      <c r="B116" s="729" t="s">
        <v>495</v>
      </c>
      <c r="C116" s="730" t="s">
        <v>496</v>
      </c>
      <c r="D116" s="731">
        <v>700</v>
      </c>
    </row>
    <row r="117" spans="1:4" ht="30">
      <c r="A117" s="729" t="s">
        <v>445</v>
      </c>
      <c r="B117" s="729" t="s">
        <v>458</v>
      </c>
      <c r="C117" s="730" t="s">
        <v>459</v>
      </c>
      <c r="D117" s="731">
        <v>30000</v>
      </c>
    </row>
    <row r="118" spans="1:4" ht="15">
      <c r="A118" s="729" t="s">
        <v>445</v>
      </c>
      <c r="B118" s="729" t="s">
        <v>74</v>
      </c>
      <c r="C118" s="730" t="s">
        <v>75</v>
      </c>
      <c r="D118" s="731">
        <v>30000</v>
      </c>
    </row>
    <row r="119" spans="1:4" s="725" customFormat="1" ht="14.25">
      <c r="A119" s="726">
        <v>75623</v>
      </c>
      <c r="B119" s="726" t="s">
        <v>445</v>
      </c>
      <c r="C119" s="727" t="s">
        <v>497</v>
      </c>
      <c r="D119" s="728">
        <f>SUM(D120:D121)</f>
        <v>315252272</v>
      </c>
    </row>
    <row r="120" spans="1:4" ht="15">
      <c r="A120" s="729" t="s">
        <v>445</v>
      </c>
      <c r="B120" s="729" t="s">
        <v>498</v>
      </c>
      <c r="C120" s="730" t="s">
        <v>499</v>
      </c>
      <c r="D120" s="731">
        <v>80252272</v>
      </c>
    </row>
    <row r="121" spans="1:4" ht="15">
      <c r="A121" s="729" t="s">
        <v>445</v>
      </c>
      <c r="B121" s="729" t="s">
        <v>500</v>
      </c>
      <c r="C121" s="730" t="s">
        <v>501</v>
      </c>
      <c r="D121" s="731">
        <v>235000000</v>
      </c>
    </row>
    <row r="122" spans="1:4" s="725" customFormat="1" ht="14.25">
      <c r="A122" s="722" t="s">
        <v>39</v>
      </c>
      <c r="B122" s="722" t="s">
        <v>445</v>
      </c>
      <c r="C122" s="732" t="s">
        <v>40</v>
      </c>
      <c r="D122" s="724">
        <f>D123+D125+D127+D129+D131+D133+D141</f>
        <v>660060989</v>
      </c>
    </row>
    <row r="123" spans="1:4" s="725" customFormat="1" ht="18" customHeight="1">
      <c r="A123" s="726">
        <v>75801</v>
      </c>
      <c r="B123" s="726" t="s">
        <v>445</v>
      </c>
      <c r="C123" s="727" t="s">
        <v>502</v>
      </c>
      <c r="D123" s="728">
        <v>62865690</v>
      </c>
    </row>
    <row r="124" spans="1:4" ht="15">
      <c r="A124" s="729" t="s">
        <v>445</v>
      </c>
      <c r="B124" s="729">
        <v>2920</v>
      </c>
      <c r="C124" s="730" t="s">
        <v>503</v>
      </c>
      <c r="D124" s="731">
        <v>62865690</v>
      </c>
    </row>
    <row r="125" spans="1:4" s="725" customFormat="1" ht="14.25">
      <c r="A125" s="726">
        <v>75802</v>
      </c>
      <c r="B125" s="726" t="s">
        <v>445</v>
      </c>
      <c r="C125" s="727" t="s">
        <v>504</v>
      </c>
      <c r="D125" s="728">
        <v>22495418</v>
      </c>
    </row>
    <row r="126" spans="1:4" ht="15">
      <c r="A126" s="729" t="s">
        <v>445</v>
      </c>
      <c r="B126" s="729">
        <v>2770</v>
      </c>
      <c r="C126" s="730" t="s">
        <v>505</v>
      </c>
      <c r="D126" s="731">
        <v>22495418</v>
      </c>
    </row>
    <row r="127" spans="1:4" s="725" customFormat="1" ht="14.25">
      <c r="A127" s="726">
        <v>75804</v>
      </c>
      <c r="B127" s="726" t="s">
        <v>445</v>
      </c>
      <c r="C127" s="727" t="s">
        <v>506</v>
      </c>
      <c r="D127" s="728">
        <v>147890684</v>
      </c>
    </row>
    <row r="128" spans="1:4" ht="15">
      <c r="A128" s="729" t="s">
        <v>445</v>
      </c>
      <c r="B128" s="729">
        <v>2920</v>
      </c>
      <c r="C128" s="730" t="s">
        <v>503</v>
      </c>
      <c r="D128" s="731">
        <v>147890684</v>
      </c>
    </row>
    <row r="129" spans="1:4" s="725" customFormat="1" ht="14.25">
      <c r="A129" s="726">
        <v>75814</v>
      </c>
      <c r="B129" s="726" t="s">
        <v>445</v>
      </c>
      <c r="C129" s="727" t="s">
        <v>507</v>
      </c>
      <c r="D129" s="728">
        <v>1714000</v>
      </c>
    </row>
    <row r="130" spans="1:4" ht="15">
      <c r="A130" s="729" t="s">
        <v>445</v>
      </c>
      <c r="B130" s="729" t="s">
        <v>464</v>
      </c>
      <c r="C130" s="730" t="s">
        <v>465</v>
      </c>
      <c r="D130" s="731">
        <v>1714000</v>
      </c>
    </row>
    <row r="131" spans="1:4" s="725" customFormat="1" ht="14.25">
      <c r="A131" s="726">
        <v>75833</v>
      </c>
      <c r="B131" s="726" t="s">
        <v>445</v>
      </c>
      <c r="C131" s="727" t="s">
        <v>508</v>
      </c>
      <c r="D131" s="728">
        <v>70401065</v>
      </c>
    </row>
    <row r="132" spans="1:4" ht="15">
      <c r="A132" s="729" t="s">
        <v>445</v>
      </c>
      <c r="B132" s="729">
        <v>2920</v>
      </c>
      <c r="C132" s="730" t="s">
        <v>503</v>
      </c>
      <c r="D132" s="731">
        <v>70401065</v>
      </c>
    </row>
    <row r="133" spans="1:4" s="725" customFormat="1" ht="31.5" customHeight="1">
      <c r="A133" s="726">
        <v>75863</v>
      </c>
      <c r="B133" s="726" t="s">
        <v>445</v>
      </c>
      <c r="C133" s="727" t="s">
        <v>509</v>
      </c>
      <c r="D133" s="728">
        <v>266499736</v>
      </c>
    </row>
    <row r="134" spans="1:4" ht="60">
      <c r="A134" s="729" t="s">
        <v>445</v>
      </c>
      <c r="B134" s="729">
        <v>2007</v>
      </c>
      <c r="C134" s="730" t="s">
        <v>447</v>
      </c>
      <c r="D134" s="731">
        <v>4814806</v>
      </c>
    </row>
    <row r="135" spans="1:4" ht="60">
      <c r="A135" s="733" t="s">
        <v>445</v>
      </c>
      <c r="B135" s="733">
        <v>2057</v>
      </c>
      <c r="C135" s="734" t="s">
        <v>448</v>
      </c>
      <c r="D135" s="735">
        <v>22797899</v>
      </c>
    </row>
    <row r="136" spans="1:4" ht="60">
      <c r="A136" s="736" t="s">
        <v>445</v>
      </c>
      <c r="B136" s="736">
        <v>2059</v>
      </c>
      <c r="C136" s="737" t="s">
        <v>448</v>
      </c>
      <c r="D136" s="738">
        <v>7807</v>
      </c>
    </row>
    <row r="137" spans="1:4" ht="60">
      <c r="A137" s="729" t="s">
        <v>445</v>
      </c>
      <c r="B137" s="729">
        <v>6207</v>
      </c>
      <c r="C137" s="730" t="s">
        <v>510</v>
      </c>
      <c r="D137" s="731">
        <v>71598550</v>
      </c>
    </row>
    <row r="138" spans="1:4" ht="60">
      <c r="A138" s="729" t="s">
        <v>445</v>
      </c>
      <c r="B138" s="729">
        <v>6209</v>
      </c>
      <c r="C138" s="730" t="s">
        <v>510</v>
      </c>
      <c r="D138" s="731">
        <v>17275736</v>
      </c>
    </row>
    <row r="139" spans="1:4" ht="60">
      <c r="A139" s="729" t="s">
        <v>445</v>
      </c>
      <c r="B139" s="729">
        <v>6257</v>
      </c>
      <c r="C139" s="730" t="s">
        <v>511</v>
      </c>
      <c r="D139" s="731">
        <v>149272797</v>
      </c>
    </row>
    <row r="140" spans="1:4" ht="60">
      <c r="A140" s="729" t="s">
        <v>445</v>
      </c>
      <c r="B140" s="729">
        <v>6259</v>
      </c>
      <c r="C140" s="730" t="s">
        <v>511</v>
      </c>
      <c r="D140" s="731">
        <v>732141</v>
      </c>
    </row>
    <row r="141" spans="1:4" s="725" customFormat="1" ht="30.75" customHeight="1">
      <c r="A141" s="726">
        <v>75864</v>
      </c>
      <c r="B141" s="726" t="s">
        <v>445</v>
      </c>
      <c r="C141" s="727" t="s">
        <v>512</v>
      </c>
      <c r="D141" s="728">
        <v>88194396</v>
      </c>
    </row>
    <row r="142" spans="1:4" ht="61.5" customHeight="1">
      <c r="A142" s="729" t="s">
        <v>445</v>
      </c>
      <c r="B142" s="729">
        <v>2007</v>
      </c>
      <c r="C142" s="730" t="s">
        <v>447</v>
      </c>
      <c r="D142" s="731">
        <v>17436302</v>
      </c>
    </row>
    <row r="143" spans="1:4" ht="61.5" customHeight="1">
      <c r="A143" s="729" t="s">
        <v>445</v>
      </c>
      <c r="B143" s="729">
        <v>2009</v>
      </c>
      <c r="C143" s="730" t="s">
        <v>447</v>
      </c>
      <c r="D143" s="731">
        <v>20884864</v>
      </c>
    </row>
    <row r="144" spans="1:4" ht="61.5" customHeight="1">
      <c r="A144" s="729" t="s">
        <v>445</v>
      </c>
      <c r="B144" s="729">
        <v>2057</v>
      </c>
      <c r="C144" s="730" t="s">
        <v>448</v>
      </c>
      <c r="D144" s="731">
        <v>11969149</v>
      </c>
    </row>
    <row r="145" spans="1:4" ht="61.5" customHeight="1">
      <c r="A145" s="729" t="s">
        <v>445</v>
      </c>
      <c r="B145" s="729">
        <v>2058</v>
      </c>
      <c r="C145" s="730" t="s">
        <v>448</v>
      </c>
      <c r="D145" s="731">
        <v>35987050</v>
      </c>
    </row>
    <row r="146" spans="1:4" ht="61.5" customHeight="1">
      <c r="A146" s="729" t="s">
        <v>445</v>
      </c>
      <c r="B146" s="729">
        <v>2059</v>
      </c>
      <c r="C146" s="730" t="s">
        <v>448</v>
      </c>
      <c r="D146" s="731">
        <v>1496136</v>
      </c>
    </row>
    <row r="147" spans="1:4" ht="61.5" customHeight="1">
      <c r="A147" s="729" t="s">
        <v>445</v>
      </c>
      <c r="B147" s="729">
        <v>6209</v>
      </c>
      <c r="C147" s="730" t="s">
        <v>510</v>
      </c>
      <c r="D147" s="731">
        <v>366895</v>
      </c>
    </row>
    <row r="148" spans="1:4" ht="61.5" customHeight="1">
      <c r="A148" s="729" t="s">
        <v>445</v>
      </c>
      <c r="B148" s="729">
        <v>6257</v>
      </c>
      <c r="C148" s="730" t="s">
        <v>511</v>
      </c>
      <c r="D148" s="731">
        <v>17895</v>
      </c>
    </row>
    <row r="149" spans="1:4" ht="61.5" customHeight="1">
      <c r="A149" s="729" t="s">
        <v>445</v>
      </c>
      <c r="B149" s="729">
        <v>6258</v>
      </c>
      <c r="C149" s="730" t="s">
        <v>511</v>
      </c>
      <c r="D149" s="731">
        <v>34000</v>
      </c>
    </row>
    <row r="150" spans="1:4" ht="61.5" customHeight="1">
      <c r="A150" s="729" t="s">
        <v>445</v>
      </c>
      <c r="B150" s="729">
        <v>6259</v>
      </c>
      <c r="C150" s="730" t="s">
        <v>511</v>
      </c>
      <c r="D150" s="731">
        <v>2105</v>
      </c>
    </row>
    <row r="151" spans="1:4" s="725" customFormat="1" ht="16.5" customHeight="1">
      <c r="A151" s="722" t="s">
        <v>41</v>
      </c>
      <c r="B151" s="722" t="s">
        <v>445</v>
      </c>
      <c r="C151" s="732" t="s">
        <v>42</v>
      </c>
      <c r="D151" s="724">
        <f>D152+D154+D156+D158+D161+D166+D168+D170+D172+D174</f>
        <v>1420376</v>
      </c>
    </row>
    <row r="152" spans="1:4" s="725" customFormat="1" ht="16.5" customHeight="1">
      <c r="A152" s="726">
        <v>80102</v>
      </c>
      <c r="B152" s="726" t="s">
        <v>445</v>
      </c>
      <c r="C152" s="727" t="s">
        <v>54</v>
      </c>
      <c r="D152" s="728">
        <f>D153</f>
        <v>3550</v>
      </c>
    </row>
    <row r="153" spans="1:4" ht="16.5" customHeight="1">
      <c r="A153" s="733" t="s">
        <v>445</v>
      </c>
      <c r="B153" s="733" t="s">
        <v>4</v>
      </c>
      <c r="C153" s="734" t="s">
        <v>5</v>
      </c>
      <c r="D153" s="735">
        <v>3550</v>
      </c>
    </row>
    <row r="154" spans="1:4" s="725" customFormat="1" ht="16.5" customHeight="1">
      <c r="A154" s="740">
        <v>80116</v>
      </c>
      <c r="B154" s="740" t="s">
        <v>445</v>
      </c>
      <c r="C154" s="741" t="s">
        <v>100</v>
      </c>
      <c r="D154" s="742">
        <f>D155</f>
        <v>1150</v>
      </c>
    </row>
    <row r="155" spans="1:4" ht="16.5" customHeight="1">
      <c r="A155" s="729" t="s">
        <v>445</v>
      </c>
      <c r="B155" s="729" t="s">
        <v>4</v>
      </c>
      <c r="C155" s="730" t="s">
        <v>5</v>
      </c>
      <c r="D155" s="731">
        <v>1150</v>
      </c>
    </row>
    <row r="156" spans="1:4" s="725" customFormat="1" ht="16.5" customHeight="1">
      <c r="A156" s="726">
        <v>80121</v>
      </c>
      <c r="B156" s="726" t="s">
        <v>445</v>
      </c>
      <c r="C156" s="727" t="s">
        <v>55</v>
      </c>
      <c r="D156" s="728">
        <f>D157</f>
        <v>775</v>
      </c>
    </row>
    <row r="157" spans="1:4" ht="16.5" customHeight="1">
      <c r="A157" s="729" t="s">
        <v>445</v>
      </c>
      <c r="B157" s="729" t="s">
        <v>4</v>
      </c>
      <c r="C157" s="730" t="s">
        <v>5</v>
      </c>
      <c r="D157" s="731">
        <v>775</v>
      </c>
    </row>
    <row r="158" spans="1:4" s="725" customFormat="1" ht="16.5" customHeight="1">
      <c r="A158" s="726">
        <v>80134</v>
      </c>
      <c r="B158" s="726" t="s">
        <v>445</v>
      </c>
      <c r="C158" s="727" t="s">
        <v>56</v>
      </c>
      <c r="D158" s="728">
        <f>SUM(D159:D160)</f>
        <v>3280</v>
      </c>
    </row>
    <row r="159" spans="1:4" ht="16.5" customHeight="1">
      <c r="A159" s="729" t="s">
        <v>445</v>
      </c>
      <c r="B159" s="729" t="s">
        <v>466</v>
      </c>
      <c r="C159" s="730" t="s">
        <v>467</v>
      </c>
      <c r="D159" s="731">
        <v>1600</v>
      </c>
    </row>
    <row r="160" spans="1:4" ht="16.5" customHeight="1">
      <c r="A160" s="729" t="s">
        <v>445</v>
      </c>
      <c r="B160" s="729" t="s">
        <v>4</v>
      </c>
      <c r="C160" s="730" t="s">
        <v>5</v>
      </c>
      <c r="D160" s="731">
        <v>1680</v>
      </c>
    </row>
    <row r="161" spans="1:4" s="725" customFormat="1" ht="16.5" customHeight="1">
      <c r="A161" s="726">
        <v>80140</v>
      </c>
      <c r="B161" s="726" t="s">
        <v>445</v>
      </c>
      <c r="C161" s="727" t="s">
        <v>352</v>
      </c>
      <c r="D161" s="728">
        <f>SUM(D162:D165)</f>
        <v>1220600</v>
      </c>
    </row>
    <row r="162" spans="1:4" ht="16.5" customHeight="1">
      <c r="A162" s="729" t="s">
        <v>445</v>
      </c>
      <c r="B162" s="729" t="s">
        <v>486</v>
      </c>
      <c r="C162" s="730" t="s">
        <v>487</v>
      </c>
      <c r="D162" s="731">
        <v>540000</v>
      </c>
    </row>
    <row r="163" spans="1:4" ht="16.5" customHeight="1">
      <c r="A163" s="729" t="s">
        <v>445</v>
      </c>
      <c r="B163" s="729" t="s">
        <v>4</v>
      </c>
      <c r="C163" s="730" t="s">
        <v>5</v>
      </c>
      <c r="D163" s="731">
        <v>600</v>
      </c>
    </row>
    <row r="164" spans="1:4" ht="30">
      <c r="A164" s="729" t="s">
        <v>445</v>
      </c>
      <c r="B164" s="729">
        <v>2310</v>
      </c>
      <c r="C164" s="730" t="s">
        <v>482</v>
      </c>
      <c r="D164" s="731">
        <v>80000</v>
      </c>
    </row>
    <row r="165" spans="1:4" ht="30">
      <c r="A165" s="729" t="s">
        <v>445</v>
      </c>
      <c r="B165" s="729">
        <v>2320</v>
      </c>
      <c r="C165" s="730" t="s">
        <v>483</v>
      </c>
      <c r="D165" s="731">
        <v>600000</v>
      </c>
    </row>
    <row r="166" spans="1:4" s="725" customFormat="1" ht="14.25">
      <c r="A166" s="726">
        <v>80146</v>
      </c>
      <c r="B166" s="726" t="s">
        <v>445</v>
      </c>
      <c r="C166" s="727" t="s">
        <v>57</v>
      </c>
      <c r="D166" s="728">
        <f>D167</f>
        <v>1750</v>
      </c>
    </row>
    <row r="167" spans="1:4" ht="15">
      <c r="A167" s="729" t="s">
        <v>445</v>
      </c>
      <c r="B167" s="729" t="s">
        <v>4</v>
      </c>
      <c r="C167" s="730" t="s">
        <v>5</v>
      </c>
      <c r="D167" s="731">
        <v>1750</v>
      </c>
    </row>
    <row r="168" spans="1:4" s="725" customFormat="1" ht="14.25">
      <c r="A168" s="726">
        <v>80147</v>
      </c>
      <c r="B168" s="726" t="s">
        <v>445</v>
      </c>
      <c r="C168" s="727" t="s">
        <v>58</v>
      </c>
      <c r="D168" s="728">
        <f>D169</f>
        <v>1300</v>
      </c>
    </row>
    <row r="169" spans="1:4" ht="15">
      <c r="A169" s="729" t="s">
        <v>445</v>
      </c>
      <c r="B169" s="729" t="s">
        <v>4</v>
      </c>
      <c r="C169" s="730" t="s">
        <v>5</v>
      </c>
      <c r="D169" s="731">
        <v>1300</v>
      </c>
    </row>
    <row r="170" spans="1:4" s="725" customFormat="1" ht="47.25" customHeight="1">
      <c r="A170" s="726">
        <v>80149</v>
      </c>
      <c r="B170" s="726" t="s">
        <v>445</v>
      </c>
      <c r="C170" s="727" t="s">
        <v>513</v>
      </c>
      <c r="D170" s="728">
        <f>D171</f>
        <v>140</v>
      </c>
    </row>
    <row r="171" spans="1:4" ht="15">
      <c r="A171" s="729" t="s">
        <v>445</v>
      </c>
      <c r="B171" s="729" t="s">
        <v>4</v>
      </c>
      <c r="C171" s="730" t="s">
        <v>5</v>
      </c>
      <c r="D171" s="731">
        <v>140</v>
      </c>
    </row>
    <row r="172" spans="1:4" s="725" customFormat="1" ht="14.25">
      <c r="A172" s="726">
        <v>80151</v>
      </c>
      <c r="B172" s="726" t="s">
        <v>445</v>
      </c>
      <c r="C172" s="727" t="s">
        <v>101</v>
      </c>
      <c r="D172" s="728">
        <f>D173</f>
        <v>20</v>
      </c>
    </row>
    <row r="173" spans="1:4" ht="15">
      <c r="A173" s="729" t="s">
        <v>445</v>
      </c>
      <c r="B173" s="729" t="s">
        <v>4</v>
      </c>
      <c r="C173" s="730" t="s">
        <v>5</v>
      </c>
      <c r="D173" s="731">
        <v>20</v>
      </c>
    </row>
    <row r="174" spans="1:4" s="725" customFormat="1" ht="14.25">
      <c r="A174" s="726">
        <v>80195</v>
      </c>
      <c r="B174" s="726" t="s">
        <v>445</v>
      </c>
      <c r="C174" s="727" t="s">
        <v>73</v>
      </c>
      <c r="D174" s="728">
        <f>SUM(D175:D177)</f>
        <v>187811</v>
      </c>
    </row>
    <row r="175" spans="1:4" ht="60">
      <c r="A175" s="729" t="s">
        <v>445</v>
      </c>
      <c r="B175" s="729">
        <v>2051</v>
      </c>
      <c r="C175" s="730" t="s">
        <v>448</v>
      </c>
      <c r="D175" s="731">
        <v>22913</v>
      </c>
    </row>
    <row r="176" spans="1:4" ht="60">
      <c r="A176" s="729" t="s">
        <v>445</v>
      </c>
      <c r="B176" s="729">
        <v>2057</v>
      </c>
      <c r="C176" s="730" t="s">
        <v>448</v>
      </c>
      <c r="D176" s="731">
        <v>146535</v>
      </c>
    </row>
    <row r="177" spans="1:4" ht="60">
      <c r="A177" s="729" t="s">
        <v>445</v>
      </c>
      <c r="B177" s="729">
        <v>2059</v>
      </c>
      <c r="C177" s="730" t="s">
        <v>448</v>
      </c>
      <c r="D177" s="731">
        <v>18363</v>
      </c>
    </row>
    <row r="178" spans="1:4" s="725" customFormat="1" ht="14.25">
      <c r="A178" s="722" t="s">
        <v>43</v>
      </c>
      <c r="B178" s="722" t="s">
        <v>445</v>
      </c>
      <c r="C178" s="732" t="s">
        <v>44</v>
      </c>
      <c r="D178" s="724">
        <f>D179+D181</f>
        <v>28000</v>
      </c>
    </row>
    <row r="179" spans="1:4" s="725" customFormat="1" ht="28.5">
      <c r="A179" s="726">
        <v>85156</v>
      </c>
      <c r="B179" s="726" t="s">
        <v>445</v>
      </c>
      <c r="C179" s="727" t="s">
        <v>59</v>
      </c>
      <c r="D179" s="728">
        <f>D180</f>
        <v>16000</v>
      </c>
    </row>
    <row r="180" spans="1:4" ht="45">
      <c r="A180" s="729" t="s">
        <v>445</v>
      </c>
      <c r="B180" s="729">
        <v>2210</v>
      </c>
      <c r="C180" s="730" t="s">
        <v>451</v>
      </c>
      <c r="D180" s="731">
        <v>16000</v>
      </c>
    </row>
    <row r="181" spans="1:4" s="725" customFormat="1" ht="14.25">
      <c r="A181" s="726">
        <v>85195</v>
      </c>
      <c r="B181" s="726" t="s">
        <v>445</v>
      </c>
      <c r="C181" s="727" t="s">
        <v>73</v>
      </c>
      <c r="D181" s="728">
        <f>D182</f>
        <v>12000</v>
      </c>
    </row>
    <row r="182" spans="1:4" ht="45">
      <c r="A182" s="729" t="s">
        <v>445</v>
      </c>
      <c r="B182" s="729">
        <v>2210</v>
      </c>
      <c r="C182" s="730" t="s">
        <v>451</v>
      </c>
      <c r="D182" s="731">
        <v>12000</v>
      </c>
    </row>
    <row r="183" spans="1:4" s="725" customFormat="1" ht="14.25">
      <c r="A183" s="722" t="s">
        <v>8</v>
      </c>
      <c r="B183" s="722" t="s">
        <v>445</v>
      </c>
      <c r="C183" s="732" t="s">
        <v>45</v>
      </c>
      <c r="D183" s="724">
        <f>D184+D187+D189</f>
        <v>4022043</v>
      </c>
    </row>
    <row r="184" spans="1:4" s="725" customFormat="1" ht="14.25">
      <c r="A184" s="726">
        <v>85205</v>
      </c>
      <c r="B184" s="726" t="s">
        <v>445</v>
      </c>
      <c r="C184" s="727" t="s">
        <v>86</v>
      </c>
      <c r="D184" s="728">
        <f>SUM(D185:D186)</f>
        <v>178000</v>
      </c>
    </row>
    <row r="185" spans="1:4" ht="30">
      <c r="A185" s="729" t="s">
        <v>445</v>
      </c>
      <c r="B185" s="729">
        <v>2230</v>
      </c>
      <c r="C185" s="730" t="s">
        <v>488</v>
      </c>
      <c r="D185" s="731">
        <v>100000</v>
      </c>
    </row>
    <row r="186" spans="1:4" ht="45">
      <c r="A186" s="729" t="s">
        <v>445</v>
      </c>
      <c r="B186" s="729">
        <v>2900</v>
      </c>
      <c r="C186" s="730" t="s">
        <v>514</v>
      </c>
      <c r="D186" s="731">
        <v>78000</v>
      </c>
    </row>
    <row r="187" spans="1:4" s="725" customFormat="1" ht="14.25">
      <c r="A187" s="726">
        <v>85217</v>
      </c>
      <c r="B187" s="726" t="s">
        <v>445</v>
      </c>
      <c r="C187" s="727" t="s">
        <v>60</v>
      </c>
      <c r="D187" s="728">
        <f>D188</f>
        <v>3000</v>
      </c>
    </row>
    <row r="188" spans="1:4" ht="15">
      <c r="A188" s="729" t="s">
        <v>445</v>
      </c>
      <c r="B188" s="729" t="s">
        <v>4</v>
      </c>
      <c r="C188" s="730" t="s">
        <v>5</v>
      </c>
      <c r="D188" s="731">
        <v>3000</v>
      </c>
    </row>
    <row r="189" spans="1:4" s="725" customFormat="1" ht="14.25">
      <c r="A189" s="726">
        <v>85295</v>
      </c>
      <c r="B189" s="726" t="s">
        <v>445</v>
      </c>
      <c r="C189" s="727" t="s">
        <v>73</v>
      </c>
      <c r="D189" s="728">
        <f>SUM(D190:D193)</f>
        <v>3841043</v>
      </c>
    </row>
    <row r="190" spans="1:4" ht="60">
      <c r="A190" s="733" t="s">
        <v>445</v>
      </c>
      <c r="B190" s="733">
        <v>2007</v>
      </c>
      <c r="C190" s="734" t="s">
        <v>447</v>
      </c>
      <c r="D190" s="735">
        <v>2608212</v>
      </c>
    </row>
    <row r="191" spans="1:4" ht="60">
      <c r="A191" s="736" t="s">
        <v>445</v>
      </c>
      <c r="B191" s="736">
        <v>2009</v>
      </c>
      <c r="C191" s="737" t="s">
        <v>447</v>
      </c>
      <c r="D191" s="738">
        <v>486488</v>
      </c>
    </row>
    <row r="192" spans="1:4" ht="60">
      <c r="A192" s="729" t="s">
        <v>445</v>
      </c>
      <c r="B192" s="729">
        <v>2057</v>
      </c>
      <c r="C192" s="730" t="s">
        <v>448</v>
      </c>
      <c r="D192" s="731">
        <v>631540</v>
      </c>
    </row>
    <row r="193" spans="1:4" ht="60">
      <c r="A193" s="729" t="s">
        <v>445</v>
      </c>
      <c r="B193" s="729">
        <v>2059</v>
      </c>
      <c r="C193" s="730" t="s">
        <v>448</v>
      </c>
      <c r="D193" s="731">
        <v>114803</v>
      </c>
    </row>
    <row r="194" spans="1:4" s="725" customFormat="1" ht="14.25">
      <c r="A194" s="722" t="s">
        <v>46</v>
      </c>
      <c r="B194" s="722" t="s">
        <v>445</v>
      </c>
      <c r="C194" s="732" t="s">
        <v>61</v>
      </c>
      <c r="D194" s="724">
        <f>D195+D197+D199</f>
        <v>7355999</v>
      </c>
    </row>
    <row r="195" spans="1:4" s="725" customFormat="1" ht="14.25">
      <c r="A195" s="726">
        <v>85324</v>
      </c>
      <c r="B195" s="726" t="s">
        <v>445</v>
      </c>
      <c r="C195" s="727" t="s">
        <v>62</v>
      </c>
      <c r="D195" s="728">
        <f>D196</f>
        <v>256150</v>
      </c>
    </row>
    <row r="196" spans="1:4" ht="15">
      <c r="A196" s="729" t="s">
        <v>445</v>
      </c>
      <c r="B196" s="729" t="s">
        <v>4</v>
      </c>
      <c r="C196" s="730" t="s">
        <v>5</v>
      </c>
      <c r="D196" s="731">
        <v>256150</v>
      </c>
    </row>
    <row r="197" spans="1:4" s="725" customFormat="1" ht="14.25">
      <c r="A197" s="726">
        <v>85325</v>
      </c>
      <c r="B197" s="726" t="s">
        <v>445</v>
      </c>
      <c r="C197" s="727" t="s">
        <v>7</v>
      </c>
      <c r="D197" s="728">
        <f>D198</f>
        <v>1300000</v>
      </c>
    </row>
    <row r="198" spans="1:4" ht="15">
      <c r="A198" s="729" t="s">
        <v>445</v>
      </c>
      <c r="B198" s="729" t="s">
        <v>4</v>
      </c>
      <c r="C198" s="730" t="s">
        <v>5</v>
      </c>
      <c r="D198" s="731">
        <v>1300000</v>
      </c>
    </row>
    <row r="199" spans="1:4" s="725" customFormat="1" ht="18" customHeight="1">
      <c r="A199" s="726">
        <v>85332</v>
      </c>
      <c r="B199" s="726" t="s">
        <v>445</v>
      </c>
      <c r="C199" s="727" t="s">
        <v>63</v>
      </c>
      <c r="D199" s="728">
        <f>SUM(D200:D206)</f>
        <v>5799849</v>
      </c>
    </row>
    <row r="200" spans="1:4" ht="15">
      <c r="A200" s="729" t="s">
        <v>445</v>
      </c>
      <c r="B200" s="729" t="s">
        <v>462</v>
      </c>
      <c r="C200" s="730" t="s">
        <v>463</v>
      </c>
      <c r="D200" s="731">
        <v>5000</v>
      </c>
    </row>
    <row r="201" spans="1:4" ht="15">
      <c r="A201" s="729" t="s">
        <v>445</v>
      </c>
      <c r="B201" s="729" t="s">
        <v>464</v>
      </c>
      <c r="C201" s="730" t="s">
        <v>465</v>
      </c>
      <c r="D201" s="731">
        <v>100</v>
      </c>
    </row>
    <row r="202" spans="1:4" ht="15">
      <c r="A202" s="729" t="s">
        <v>445</v>
      </c>
      <c r="B202" s="729" t="s">
        <v>4</v>
      </c>
      <c r="C202" s="730" t="s">
        <v>5</v>
      </c>
      <c r="D202" s="731">
        <v>20000</v>
      </c>
    </row>
    <row r="203" spans="1:4" ht="61.5" customHeight="1">
      <c r="A203" s="729" t="s">
        <v>445</v>
      </c>
      <c r="B203" s="729">
        <v>2009</v>
      </c>
      <c r="C203" s="730" t="s">
        <v>447</v>
      </c>
      <c r="D203" s="731">
        <v>3228000</v>
      </c>
    </row>
    <row r="204" spans="1:4" ht="61.5" customHeight="1">
      <c r="A204" s="729" t="s">
        <v>445</v>
      </c>
      <c r="B204" s="729">
        <v>2058</v>
      </c>
      <c r="C204" s="730" t="s">
        <v>448</v>
      </c>
      <c r="D204" s="731">
        <v>2509151</v>
      </c>
    </row>
    <row r="205" spans="1:4" ht="45">
      <c r="A205" s="729" t="s">
        <v>445</v>
      </c>
      <c r="B205" s="729">
        <v>2210</v>
      </c>
      <c r="C205" s="730" t="s">
        <v>451</v>
      </c>
      <c r="D205" s="731">
        <v>14000</v>
      </c>
    </row>
    <row r="206" spans="1:4" ht="61.5" customHeight="1">
      <c r="A206" s="729" t="s">
        <v>445</v>
      </c>
      <c r="B206" s="729">
        <v>6258</v>
      </c>
      <c r="C206" s="730" t="s">
        <v>511</v>
      </c>
      <c r="D206" s="731">
        <v>23598</v>
      </c>
    </row>
    <row r="207" spans="1:4" s="725" customFormat="1" ht="16.5" customHeight="1">
      <c r="A207" s="722" t="s">
        <v>9</v>
      </c>
      <c r="B207" s="722" t="s">
        <v>445</v>
      </c>
      <c r="C207" s="732" t="s">
        <v>10</v>
      </c>
      <c r="D207" s="724">
        <f>D208+D210+D212</f>
        <v>6320</v>
      </c>
    </row>
    <row r="208" spans="1:4" s="725" customFormat="1" ht="16.5" customHeight="1">
      <c r="A208" s="726">
        <v>85403</v>
      </c>
      <c r="B208" s="726" t="s">
        <v>445</v>
      </c>
      <c r="C208" s="727" t="s">
        <v>64</v>
      </c>
      <c r="D208" s="728">
        <f>D209</f>
        <v>5700</v>
      </c>
    </row>
    <row r="209" spans="1:4" ht="16.5" customHeight="1">
      <c r="A209" s="729" t="s">
        <v>445</v>
      </c>
      <c r="B209" s="729" t="s">
        <v>4</v>
      </c>
      <c r="C209" s="730" t="s">
        <v>5</v>
      </c>
      <c r="D209" s="731">
        <v>5700</v>
      </c>
    </row>
    <row r="210" spans="1:4" s="725" customFormat="1" ht="16.5" customHeight="1">
      <c r="A210" s="726">
        <v>85404</v>
      </c>
      <c r="B210" s="726" t="s">
        <v>445</v>
      </c>
      <c r="C210" s="727" t="s">
        <v>87</v>
      </c>
      <c r="D210" s="728">
        <f>D211</f>
        <v>220</v>
      </c>
    </row>
    <row r="211" spans="1:4" ht="16.5" customHeight="1">
      <c r="A211" s="729" t="s">
        <v>445</v>
      </c>
      <c r="B211" s="729" t="s">
        <v>4</v>
      </c>
      <c r="C211" s="730" t="s">
        <v>5</v>
      </c>
      <c r="D211" s="731">
        <v>220</v>
      </c>
    </row>
    <row r="212" spans="1:4" s="725" customFormat="1" ht="16.5" customHeight="1">
      <c r="A212" s="726">
        <v>85407</v>
      </c>
      <c r="B212" s="726" t="s">
        <v>445</v>
      </c>
      <c r="C212" s="727" t="s">
        <v>65</v>
      </c>
      <c r="D212" s="728">
        <f>D213</f>
        <v>400</v>
      </c>
    </row>
    <row r="213" spans="1:4" ht="16.5" customHeight="1">
      <c r="A213" s="729" t="s">
        <v>445</v>
      </c>
      <c r="B213" s="729" t="s">
        <v>4</v>
      </c>
      <c r="C213" s="730" t="s">
        <v>5</v>
      </c>
      <c r="D213" s="731">
        <v>400</v>
      </c>
    </row>
    <row r="214" spans="1:4" s="725" customFormat="1" ht="16.5" customHeight="1">
      <c r="A214" s="722" t="s">
        <v>89</v>
      </c>
      <c r="B214" s="722" t="s">
        <v>445</v>
      </c>
      <c r="C214" s="732" t="s">
        <v>90</v>
      </c>
      <c r="D214" s="724">
        <f>D215</f>
        <v>1852000</v>
      </c>
    </row>
    <row r="215" spans="1:4" s="725" customFormat="1" ht="16.5" customHeight="1">
      <c r="A215" s="726">
        <v>85509</v>
      </c>
      <c r="B215" s="726" t="s">
        <v>445</v>
      </c>
      <c r="C215" s="727" t="s">
        <v>96</v>
      </c>
      <c r="D215" s="728">
        <f>D216</f>
        <v>1852000</v>
      </c>
    </row>
    <row r="216" spans="1:4" ht="46.5" customHeight="1">
      <c r="A216" s="729" t="s">
        <v>445</v>
      </c>
      <c r="B216" s="729">
        <v>2210</v>
      </c>
      <c r="C216" s="730" t="s">
        <v>451</v>
      </c>
      <c r="D216" s="731">
        <v>1852000</v>
      </c>
    </row>
    <row r="217" spans="1:4" s="725" customFormat="1" ht="14.25">
      <c r="A217" s="722" t="s">
        <v>47</v>
      </c>
      <c r="B217" s="722" t="s">
        <v>445</v>
      </c>
      <c r="C217" s="732" t="s">
        <v>48</v>
      </c>
      <c r="D217" s="724">
        <f>D218+D221+D223+D225+D227+D229+D231</f>
        <v>3651700</v>
      </c>
    </row>
    <row r="218" spans="1:4" s="725" customFormat="1" ht="14.25">
      <c r="A218" s="726">
        <v>90005</v>
      </c>
      <c r="B218" s="726" t="s">
        <v>445</v>
      </c>
      <c r="C218" s="727" t="s">
        <v>66</v>
      </c>
      <c r="D218" s="728">
        <f>SUM(D219:D220)</f>
        <v>295000</v>
      </c>
    </row>
    <row r="219" spans="1:4" ht="46.5" customHeight="1">
      <c r="A219" s="729" t="s">
        <v>445</v>
      </c>
      <c r="B219" s="729">
        <v>2210</v>
      </c>
      <c r="C219" s="730" t="s">
        <v>451</v>
      </c>
      <c r="D219" s="731">
        <v>137000</v>
      </c>
    </row>
    <row r="220" spans="1:4" ht="46.5" customHeight="1">
      <c r="A220" s="729" t="s">
        <v>445</v>
      </c>
      <c r="B220" s="729">
        <v>2460</v>
      </c>
      <c r="C220" s="730" t="s">
        <v>453</v>
      </c>
      <c r="D220" s="731">
        <v>158000</v>
      </c>
    </row>
    <row r="221" spans="1:4" s="725" customFormat="1" ht="14.25">
      <c r="A221" s="726">
        <v>90007</v>
      </c>
      <c r="B221" s="726" t="s">
        <v>445</v>
      </c>
      <c r="C221" s="727" t="s">
        <v>67</v>
      </c>
      <c r="D221" s="728">
        <f>D222</f>
        <v>59000</v>
      </c>
    </row>
    <row r="222" spans="1:4" ht="46.5" customHeight="1">
      <c r="A222" s="733" t="s">
        <v>445</v>
      </c>
      <c r="B222" s="733">
        <v>2210</v>
      </c>
      <c r="C222" s="734" t="s">
        <v>451</v>
      </c>
      <c r="D222" s="735">
        <v>59000</v>
      </c>
    </row>
    <row r="223" spans="1:4" s="725" customFormat="1" ht="28.5">
      <c r="A223" s="740">
        <v>90019</v>
      </c>
      <c r="B223" s="740" t="s">
        <v>445</v>
      </c>
      <c r="C223" s="741" t="s">
        <v>102</v>
      </c>
      <c r="D223" s="742">
        <f>D224</f>
        <v>869873</v>
      </c>
    </row>
    <row r="224" spans="1:4" ht="16.5" customHeight="1">
      <c r="A224" s="729" t="s">
        <v>445</v>
      </c>
      <c r="B224" s="729" t="s">
        <v>74</v>
      </c>
      <c r="C224" s="730" t="s">
        <v>75</v>
      </c>
      <c r="D224" s="731">
        <v>869873</v>
      </c>
    </row>
    <row r="225" spans="1:4" s="725" customFormat="1" ht="16.5" customHeight="1">
      <c r="A225" s="726">
        <v>90020</v>
      </c>
      <c r="B225" s="726" t="s">
        <v>445</v>
      </c>
      <c r="C225" s="727" t="s">
        <v>68</v>
      </c>
      <c r="D225" s="728">
        <f>D226</f>
        <v>22480</v>
      </c>
    </row>
    <row r="226" spans="1:4" ht="16.5" customHeight="1">
      <c r="A226" s="729" t="s">
        <v>445</v>
      </c>
      <c r="B226" s="729" t="s">
        <v>515</v>
      </c>
      <c r="C226" s="730" t="s">
        <v>516</v>
      </c>
      <c r="D226" s="731">
        <v>22480</v>
      </c>
    </row>
    <row r="227" spans="1:4" s="725" customFormat="1" ht="28.5">
      <c r="A227" s="726">
        <v>90024</v>
      </c>
      <c r="B227" s="726" t="s">
        <v>445</v>
      </c>
      <c r="C227" s="727" t="s">
        <v>517</v>
      </c>
      <c r="D227" s="728">
        <f>D228</f>
        <v>3510</v>
      </c>
    </row>
    <row r="228" spans="1:4" ht="15">
      <c r="A228" s="729" t="s">
        <v>445</v>
      </c>
      <c r="B228" s="729" t="s">
        <v>74</v>
      </c>
      <c r="C228" s="730" t="s">
        <v>75</v>
      </c>
      <c r="D228" s="731">
        <v>3510</v>
      </c>
    </row>
    <row r="229" spans="1:4" s="725" customFormat="1" ht="14.25">
      <c r="A229" s="726">
        <v>90026</v>
      </c>
      <c r="B229" s="726" t="s">
        <v>445</v>
      </c>
      <c r="C229" s="727" t="s">
        <v>106</v>
      </c>
      <c r="D229" s="728">
        <f>D230</f>
        <v>200300</v>
      </c>
    </row>
    <row r="230" spans="1:4" ht="15">
      <c r="A230" s="729" t="s">
        <v>445</v>
      </c>
      <c r="B230" s="729" t="s">
        <v>518</v>
      </c>
      <c r="C230" s="730" t="s">
        <v>519</v>
      </c>
      <c r="D230" s="731">
        <v>200300</v>
      </c>
    </row>
    <row r="231" spans="1:4" s="725" customFormat="1" ht="14.25">
      <c r="A231" s="726">
        <v>90095</v>
      </c>
      <c r="B231" s="726" t="s">
        <v>445</v>
      </c>
      <c r="C231" s="727" t="s">
        <v>73</v>
      </c>
      <c r="D231" s="728">
        <f>SUM(D232:D236)</f>
        <v>2201537</v>
      </c>
    </row>
    <row r="232" spans="1:4" ht="15">
      <c r="A232" s="729" t="s">
        <v>445</v>
      </c>
      <c r="B232" s="729" t="s">
        <v>74</v>
      </c>
      <c r="C232" s="730" t="s">
        <v>75</v>
      </c>
      <c r="D232" s="731">
        <v>107100</v>
      </c>
    </row>
    <row r="233" spans="1:4" ht="60">
      <c r="A233" s="729" t="s">
        <v>445</v>
      </c>
      <c r="B233" s="729">
        <v>2057</v>
      </c>
      <c r="C233" s="730" t="s">
        <v>448</v>
      </c>
      <c r="D233" s="731">
        <v>626378</v>
      </c>
    </row>
    <row r="234" spans="1:4" ht="60">
      <c r="A234" s="729" t="s">
        <v>445</v>
      </c>
      <c r="B234" s="729">
        <v>2058</v>
      </c>
      <c r="C234" s="730" t="s">
        <v>448</v>
      </c>
      <c r="D234" s="731">
        <v>224105</v>
      </c>
    </row>
    <row r="235" spans="1:4" ht="45">
      <c r="A235" s="729" t="s">
        <v>445</v>
      </c>
      <c r="B235" s="729">
        <v>2210</v>
      </c>
      <c r="C235" s="730" t="s">
        <v>451</v>
      </c>
      <c r="D235" s="731">
        <v>548000</v>
      </c>
    </row>
    <row r="236" spans="1:4" ht="45">
      <c r="A236" s="729" t="s">
        <v>445</v>
      </c>
      <c r="B236" s="729">
        <v>2469</v>
      </c>
      <c r="C236" s="730" t="s">
        <v>453</v>
      </c>
      <c r="D236" s="731">
        <v>695954</v>
      </c>
    </row>
    <row r="237" spans="1:4" s="725" customFormat="1" ht="14.25">
      <c r="A237" s="722" t="s">
        <v>49</v>
      </c>
      <c r="B237" s="722" t="s">
        <v>445</v>
      </c>
      <c r="C237" s="732" t="s">
        <v>50</v>
      </c>
      <c r="D237" s="724">
        <f>D238+D240+D242+D244</f>
        <v>15263104</v>
      </c>
    </row>
    <row r="238" spans="1:4" s="725" customFormat="1" ht="14.25">
      <c r="A238" s="726">
        <v>92105</v>
      </c>
      <c r="B238" s="726" t="s">
        <v>445</v>
      </c>
      <c r="C238" s="727" t="s">
        <v>107</v>
      </c>
      <c r="D238" s="728">
        <f>D239</f>
        <v>470000</v>
      </c>
    </row>
    <row r="239" spans="1:4" ht="36" customHeight="1">
      <c r="A239" s="729" t="s">
        <v>445</v>
      </c>
      <c r="B239" s="729">
        <v>2710</v>
      </c>
      <c r="C239" s="730" t="s">
        <v>520</v>
      </c>
      <c r="D239" s="731">
        <v>470000</v>
      </c>
    </row>
    <row r="240" spans="1:4" s="725" customFormat="1" ht="14.25">
      <c r="A240" s="726">
        <v>92109</v>
      </c>
      <c r="B240" s="726" t="s">
        <v>445</v>
      </c>
      <c r="C240" s="727" t="s">
        <v>69</v>
      </c>
      <c r="D240" s="728">
        <f>D241</f>
        <v>69864</v>
      </c>
    </row>
    <row r="241" spans="1:4" ht="30">
      <c r="A241" s="729" t="s">
        <v>445</v>
      </c>
      <c r="B241" s="729">
        <v>2310</v>
      </c>
      <c r="C241" s="730" t="s">
        <v>482</v>
      </c>
      <c r="D241" s="731">
        <v>69864</v>
      </c>
    </row>
    <row r="242" spans="1:4" s="725" customFormat="1" ht="14.25">
      <c r="A242" s="726">
        <v>92116</v>
      </c>
      <c r="B242" s="726" t="s">
        <v>445</v>
      </c>
      <c r="C242" s="727" t="s">
        <v>70</v>
      </c>
      <c r="D242" s="728">
        <f>D243</f>
        <v>3400000</v>
      </c>
    </row>
    <row r="243" spans="1:4" ht="30">
      <c r="A243" s="729" t="s">
        <v>445</v>
      </c>
      <c r="B243" s="729">
        <v>2310</v>
      </c>
      <c r="C243" s="730" t="s">
        <v>482</v>
      </c>
      <c r="D243" s="731">
        <v>3400000</v>
      </c>
    </row>
    <row r="244" spans="1:4" s="725" customFormat="1" ht="14.25">
      <c r="A244" s="726">
        <v>92195</v>
      </c>
      <c r="B244" s="726" t="s">
        <v>445</v>
      </c>
      <c r="C244" s="727" t="s">
        <v>73</v>
      </c>
      <c r="D244" s="728">
        <f>SUM(D245:D247)</f>
        <v>11323240</v>
      </c>
    </row>
    <row r="245" spans="1:4" ht="60">
      <c r="A245" s="729" t="s">
        <v>445</v>
      </c>
      <c r="B245" s="729">
        <v>2057</v>
      </c>
      <c r="C245" s="730" t="s">
        <v>448</v>
      </c>
      <c r="D245" s="731">
        <v>269942</v>
      </c>
    </row>
    <row r="246" spans="1:4" ht="60">
      <c r="A246" s="729" t="s">
        <v>445</v>
      </c>
      <c r="B246" s="729">
        <v>2058</v>
      </c>
      <c r="C246" s="730" t="s">
        <v>448</v>
      </c>
      <c r="D246" s="731">
        <v>209554</v>
      </c>
    </row>
    <row r="247" spans="1:4" ht="60">
      <c r="A247" s="729" t="s">
        <v>445</v>
      </c>
      <c r="B247" s="729">
        <v>6257</v>
      </c>
      <c r="C247" s="730" t="s">
        <v>511</v>
      </c>
      <c r="D247" s="731">
        <v>10843744</v>
      </c>
    </row>
    <row r="248" spans="1:4" s="725" customFormat="1" ht="28.5">
      <c r="A248" s="722" t="s">
        <v>376</v>
      </c>
      <c r="B248" s="722" t="s">
        <v>445</v>
      </c>
      <c r="C248" s="732" t="s">
        <v>51</v>
      </c>
      <c r="D248" s="724">
        <f>D249</f>
        <v>2892501</v>
      </c>
    </row>
    <row r="249" spans="1:4" s="725" customFormat="1" ht="14.25">
      <c r="A249" s="726">
        <v>92502</v>
      </c>
      <c r="B249" s="726" t="s">
        <v>445</v>
      </c>
      <c r="C249" s="727" t="s">
        <v>71</v>
      </c>
      <c r="D249" s="728">
        <f>SUM(D250:D253)</f>
        <v>2892501</v>
      </c>
    </row>
    <row r="250" spans="1:4" ht="15">
      <c r="A250" s="729" t="s">
        <v>445</v>
      </c>
      <c r="B250" s="729" t="s">
        <v>4</v>
      </c>
      <c r="C250" s="730" t="s">
        <v>5</v>
      </c>
      <c r="D250" s="731">
        <v>106000</v>
      </c>
    </row>
    <row r="251" spans="1:4" ht="30">
      <c r="A251" s="729" t="s">
        <v>445</v>
      </c>
      <c r="B251" s="729">
        <v>2230</v>
      </c>
      <c r="C251" s="730" t="s">
        <v>488</v>
      </c>
      <c r="D251" s="731">
        <v>2180000</v>
      </c>
    </row>
    <row r="252" spans="1:4" ht="45">
      <c r="A252" s="729" t="s">
        <v>445</v>
      </c>
      <c r="B252" s="729">
        <v>6289</v>
      </c>
      <c r="C252" s="730" t="s">
        <v>484</v>
      </c>
      <c r="D252" s="731">
        <v>480958</v>
      </c>
    </row>
    <row r="253" spans="1:4" ht="45">
      <c r="A253" s="733" t="s">
        <v>445</v>
      </c>
      <c r="B253" s="733">
        <v>6309</v>
      </c>
      <c r="C253" s="734" t="s">
        <v>470</v>
      </c>
      <c r="D253" s="735">
        <v>125543</v>
      </c>
    </row>
  </sheetData>
  <sheetProtection password="C25B" sheet="1"/>
  <mergeCells count="6">
    <mergeCell ref="C1:D1"/>
    <mergeCell ref="C2:D2"/>
    <mergeCell ref="C3:D3"/>
    <mergeCell ref="A5:D5"/>
    <mergeCell ref="A6:D6"/>
    <mergeCell ref="A7:D7"/>
  </mergeCells>
  <printOptions horizontalCentered="1"/>
  <pageMargins left="0.984251968503937" right="0.984251968503937" top="0.984251968503937" bottom="0.748031496062992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SheetLayoutView="100" zoomScalePageLayoutView="0" workbookViewId="0" topLeftCell="A1">
      <selection activeCell="B21" sqref="B21"/>
    </sheetView>
  </sheetViews>
  <sheetFormatPr defaultColWidth="8.796875" defaultRowHeight="14.25"/>
  <cols>
    <col min="1" max="1" width="7" style="745" customWidth="1"/>
    <col min="2" max="2" width="33.8984375" style="746" customWidth="1"/>
    <col min="3" max="3" width="13.59765625" style="747" customWidth="1"/>
    <col min="4" max="4" width="13.69921875" style="746" customWidth="1"/>
    <col min="5" max="5" width="12.69921875" style="746" customWidth="1"/>
    <col min="6" max="6" width="12.19921875" style="746" customWidth="1"/>
    <col min="7" max="7" width="11.69921875" style="746" customWidth="1"/>
    <col min="8" max="8" width="12.5" style="746" customWidth="1"/>
    <col min="9" max="9" width="11.19921875" style="746" customWidth="1"/>
    <col min="10" max="10" width="13" style="746" customWidth="1"/>
    <col min="11" max="11" width="13.19921875" style="746" customWidth="1"/>
    <col min="12" max="12" width="12" style="746" customWidth="1"/>
    <col min="13" max="13" width="13" style="746" customWidth="1"/>
    <col min="14" max="14" width="14.5" style="746" customWidth="1"/>
    <col min="15" max="15" width="12.59765625" style="746" customWidth="1"/>
    <col min="16" max="16384" width="9" style="746" customWidth="1"/>
  </cols>
  <sheetData>
    <row r="1" ht="12.75">
      <c r="M1" s="746" t="s">
        <v>108</v>
      </c>
    </row>
    <row r="2" ht="12.75">
      <c r="M2" s="746" t="s">
        <v>416</v>
      </c>
    </row>
    <row r="3" ht="12.75">
      <c r="M3" s="746" t="s">
        <v>417</v>
      </c>
    </row>
    <row r="4" spans="1:15" s="748" customFormat="1" ht="18.75">
      <c r="A4" s="847" t="s">
        <v>109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</row>
    <row r="5" spans="1:15" s="748" customFormat="1" ht="18.75">
      <c r="A5" s="847" t="s">
        <v>351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</row>
    <row r="7" ht="12.75">
      <c r="N7" s="745" t="s">
        <v>17</v>
      </c>
    </row>
    <row r="8" spans="1:15" s="750" customFormat="1" ht="16.5" customHeight="1">
      <c r="A8" s="845" t="s">
        <v>110</v>
      </c>
      <c r="B8" s="845" t="s">
        <v>19</v>
      </c>
      <c r="C8" s="848" t="s">
        <v>20</v>
      </c>
      <c r="D8" s="849" t="s">
        <v>111</v>
      </c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1"/>
    </row>
    <row r="9" spans="1:15" s="750" customFormat="1" ht="14.25" customHeight="1">
      <c r="A9" s="845"/>
      <c r="B9" s="845"/>
      <c r="C9" s="848"/>
      <c r="D9" s="845" t="s">
        <v>112</v>
      </c>
      <c r="E9" s="846" t="s">
        <v>113</v>
      </c>
      <c r="F9" s="846"/>
      <c r="G9" s="846"/>
      <c r="H9" s="846"/>
      <c r="I9" s="846"/>
      <c r="J9" s="846"/>
      <c r="K9" s="846"/>
      <c r="L9" s="845" t="s">
        <v>114</v>
      </c>
      <c r="M9" s="846" t="s">
        <v>113</v>
      </c>
      <c r="N9" s="846"/>
      <c r="O9" s="846"/>
    </row>
    <row r="10" spans="1:15" s="750" customFormat="1" ht="14.25" customHeight="1">
      <c r="A10" s="845"/>
      <c r="B10" s="845"/>
      <c r="C10" s="848"/>
      <c r="D10" s="845"/>
      <c r="E10" s="845" t="s">
        <v>115</v>
      </c>
      <c r="F10" s="846" t="s">
        <v>113</v>
      </c>
      <c r="G10" s="846"/>
      <c r="H10" s="845" t="s">
        <v>116</v>
      </c>
      <c r="I10" s="845" t="s">
        <v>117</v>
      </c>
      <c r="J10" s="845" t="s">
        <v>118</v>
      </c>
      <c r="K10" s="845" t="s">
        <v>119</v>
      </c>
      <c r="L10" s="845"/>
      <c r="M10" s="845" t="s">
        <v>395</v>
      </c>
      <c r="N10" s="749" t="s">
        <v>113</v>
      </c>
      <c r="O10" s="845" t="s">
        <v>120</v>
      </c>
    </row>
    <row r="11" spans="1:15" s="750" customFormat="1" ht="66" customHeight="1">
      <c r="A11" s="845"/>
      <c r="B11" s="845"/>
      <c r="C11" s="848"/>
      <c r="D11" s="845"/>
      <c r="E11" s="845"/>
      <c r="F11" s="749" t="s">
        <v>121</v>
      </c>
      <c r="G11" s="749" t="s">
        <v>122</v>
      </c>
      <c r="H11" s="845"/>
      <c r="I11" s="845"/>
      <c r="J11" s="845"/>
      <c r="K11" s="845"/>
      <c r="L11" s="845"/>
      <c r="M11" s="845"/>
      <c r="N11" s="749" t="s">
        <v>118</v>
      </c>
      <c r="O11" s="845"/>
    </row>
    <row r="12" spans="1:15" s="753" customFormat="1" ht="12.75">
      <c r="A12" s="751">
        <v>1</v>
      </c>
      <c r="B12" s="751">
        <v>2</v>
      </c>
      <c r="C12" s="752">
        <v>3</v>
      </c>
      <c r="D12" s="751">
        <v>4</v>
      </c>
      <c r="E12" s="751">
        <v>5</v>
      </c>
      <c r="F12" s="751">
        <v>6</v>
      </c>
      <c r="G12" s="751">
        <v>7</v>
      </c>
      <c r="H12" s="751">
        <v>8</v>
      </c>
      <c r="I12" s="751">
        <v>9</v>
      </c>
      <c r="J12" s="751">
        <v>10</v>
      </c>
      <c r="K12" s="751">
        <v>11</v>
      </c>
      <c r="L12" s="751">
        <v>12</v>
      </c>
      <c r="M12" s="751">
        <v>13</v>
      </c>
      <c r="N12" s="751">
        <v>14</v>
      </c>
      <c r="O12" s="751">
        <v>15</v>
      </c>
    </row>
    <row r="13" spans="1:15" s="757" customFormat="1" ht="5.25" customHeight="1">
      <c r="A13" s="754"/>
      <c r="B13" s="755"/>
      <c r="C13" s="756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755"/>
      <c r="O13" s="755"/>
    </row>
    <row r="14" spans="1:20" s="762" customFormat="1" ht="15.75">
      <c r="A14" s="758"/>
      <c r="B14" s="759" t="s">
        <v>123</v>
      </c>
      <c r="C14" s="760">
        <f>C16+C21+C24+C28+C30+C39+C42+C44+C49+C54+C61+C63+C65+C68+C70+C83+C93+C99+C105+C114+C117+C125+C136+C138+C51</f>
        <v>1133700177</v>
      </c>
      <c r="D14" s="760">
        <f aca="true" t="shared" si="0" ref="D14:O14">D16+D21+D24+D28+D30+D39+D42+D44+D49+D54+D61+D63+D65+D68+D70+D83+D93+D99+D105+D114+D117+D125+D136+D138+D51</f>
        <v>695163407</v>
      </c>
      <c r="E14" s="760">
        <f t="shared" si="0"/>
        <v>258182018</v>
      </c>
      <c r="F14" s="760">
        <f t="shared" si="0"/>
        <v>151705489</v>
      </c>
      <c r="G14" s="760">
        <f t="shared" si="0"/>
        <v>106476529</v>
      </c>
      <c r="H14" s="760">
        <f t="shared" si="0"/>
        <v>242939281</v>
      </c>
      <c r="I14" s="760">
        <f t="shared" si="0"/>
        <v>3205157</v>
      </c>
      <c r="J14" s="760">
        <f t="shared" si="0"/>
        <v>148644793</v>
      </c>
      <c r="K14" s="760">
        <f t="shared" si="0"/>
        <v>42192158</v>
      </c>
      <c r="L14" s="760">
        <f t="shared" si="0"/>
        <v>438536770</v>
      </c>
      <c r="M14" s="760">
        <f t="shared" si="0"/>
        <v>417444869</v>
      </c>
      <c r="N14" s="760">
        <f t="shared" si="0"/>
        <v>290360637</v>
      </c>
      <c r="O14" s="760">
        <f t="shared" si="0"/>
        <v>21091901</v>
      </c>
      <c r="P14" s="761"/>
      <c r="Q14" s="761"/>
      <c r="R14" s="761"/>
      <c r="S14" s="761"/>
      <c r="T14" s="761"/>
    </row>
    <row r="15" spans="1:20" s="757" customFormat="1" ht="4.5" customHeight="1">
      <c r="A15" s="763"/>
      <c r="B15" s="764"/>
      <c r="C15" s="765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  <c r="O15" s="766"/>
      <c r="P15" s="767"/>
      <c r="Q15" s="767"/>
      <c r="R15" s="767"/>
      <c r="S15" s="767"/>
      <c r="T15" s="767"/>
    </row>
    <row r="16" spans="1:20" s="774" customFormat="1" ht="16.5" customHeight="1">
      <c r="A16" s="768" t="s">
        <v>24</v>
      </c>
      <c r="B16" s="769" t="s">
        <v>52</v>
      </c>
      <c r="C16" s="770">
        <f>C17+C18+C19+C20</f>
        <v>13882000</v>
      </c>
      <c r="D16" s="771">
        <f aca="true" t="shared" si="1" ref="D16:O16">D17+D18+D19+D20</f>
        <v>7879500</v>
      </c>
      <c r="E16" s="771">
        <f t="shared" si="1"/>
        <v>891500</v>
      </c>
      <c r="F16" s="771">
        <f t="shared" si="1"/>
        <v>528000</v>
      </c>
      <c r="G16" s="771">
        <f t="shared" si="1"/>
        <v>363500</v>
      </c>
      <c r="H16" s="771">
        <f t="shared" si="1"/>
        <v>1388000</v>
      </c>
      <c r="I16" s="771">
        <f t="shared" si="1"/>
        <v>0</v>
      </c>
      <c r="J16" s="771">
        <f t="shared" si="1"/>
        <v>5600000</v>
      </c>
      <c r="K16" s="771">
        <f t="shared" si="1"/>
        <v>0</v>
      </c>
      <c r="L16" s="771">
        <f t="shared" si="1"/>
        <v>6002500</v>
      </c>
      <c r="M16" s="771">
        <f t="shared" si="1"/>
        <v>6002500</v>
      </c>
      <c r="N16" s="771">
        <f t="shared" si="1"/>
        <v>0</v>
      </c>
      <c r="O16" s="771">
        <f t="shared" si="1"/>
        <v>0</v>
      </c>
      <c r="P16" s="772"/>
      <c r="Q16" s="772"/>
      <c r="R16" s="773"/>
      <c r="S16" s="773"/>
      <c r="T16" s="773"/>
    </row>
    <row r="17" spans="1:20" s="757" customFormat="1" ht="16.5" customHeight="1">
      <c r="A17" s="775" t="s">
        <v>124</v>
      </c>
      <c r="B17" s="776" t="s">
        <v>125</v>
      </c>
      <c r="C17" s="765">
        <f>D17+L17</f>
        <v>1300000</v>
      </c>
      <c r="D17" s="766">
        <f>E17+H17+I17+J17+K17</f>
        <v>1300000</v>
      </c>
      <c r="E17" s="766">
        <f>F17+G17</f>
        <v>0</v>
      </c>
      <c r="F17" s="766">
        <v>0</v>
      </c>
      <c r="G17" s="766">
        <v>0</v>
      </c>
      <c r="H17" s="766">
        <v>1300000</v>
      </c>
      <c r="I17" s="766">
        <v>0</v>
      </c>
      <c r="J17" s="766">
        <v>0</v>
      </c>
      <c r="K17" s="766">
        <v>0</v>
      </c>
      <c r="L17" s="766">
        <f>M17+O17</f>
        <v>0</v>
      </c>
      <c r="M17" s="766">
        <v>0</v>
      </c>
      <c r="N17" s="766">
        <v>0</v>
      </c>
      <c r="O17" s="766">
        <v>0</v>
      </c>
      <c r="P17" s="777"/>
      <c r="Q17" s="777"/>
      <c r="R17" s="767"/>
      <c r="S17" s="767"/>
      <c r="T17" s="767"/>
    </row>
    <row r="18" spans="1:20" s="757" customFormat="1" ht="16.5" customHeight="1">
      <c r="A18" s="775" t="s">
        <v>72</v>
      </c>
      <c r="B18" s="776" t="s">
        <v>126</v>
      </c>
      <c r="C18" s="765">
        <f>D18+L18</f>
        <v>5610500</v>
      </c>
      <c r="D18" s="766">
        <f>E18+H18+I18+J18+K18</f>
        <v>5608000</v>
      </c>
      <c r="E18" s="766">
        <f>F18+G18</f>
        <v>0</v>
      </c>
      <c r="F18" s="766">
        <v>0</v>
      </c>
      <c r="G18" s="766">
        <v>0</v>
      </c>
      <c r="H18" s="766">
        <v>8000</v>
      </c>
      <c r="I18" s="766">
        <v>0</v>
      </c>
      <c r="J18" s="766">
        <v>5600000</v>
      </c>
      <c r="K18" s="766">
        <v>0</v>
      </c>
      <c r="L18" s="766">
        <f>M18+O18</f>
        <v>2500</v>
      </c>
      <c r="M18" s="766">
        <v>2500</v>
      </c>
      <c r="N18" s="766">
        <v>0</v>
      </c>
      <c r="O18" s="766">
        <v>0</v>
      </c>
      <c r="P18" s="777"/>
      <c r="Q18" s="777"/>
      <c r="R18" s="767"/>
      <c r="S18" s="767"/>
      <c r="T18" s="767"/>
    </row>
    <row r="19" spans="1:20" s="757" customFormat="1" ht="16.5" customHeight="1">
      <c r="A19" s="775" t="s">
        <v>83</v>
      </c>
      <c r="B19" s="776" t="s">
        <v>84</v>
      </c>
      <c r="C19" s="765">
        <f>D19+L19</f>
        <v>6550000</v>
      </c>
      <c r="D19" s="766">
        <f>E19+H19+I19+J19+K19</f>
        <v>550000</v>
      </c>
      <c r="E19" s="766">
        <f>F19+G19</f>
        <v>550000</v>
      </c>
      <c r="F19" s="766">
        <v>528000</v>
      </c>
      <c r="G19" s="766">
        <v>22000</v>
      </c>
      <c r="H19" s="766">
        <v>0</v>
      </c>
      <c r="I19" s="766">
        <v>0</v>
      </c>
      <c r="J19" s="766">
        <v>0</v>
      </c>
      <c r="K19" s="766">
        <v>0</v>
      </c>
      <c r="L19" s="766">
        <f>M19+O19</f>
        <v>6000000</v>
      </c>
      <c r="M19" s="766">
        <v>6000000</v>
      </c>
      <c r="N19" s="766">
        <v>0</v>
      </c>
      <c r="O19" s="766">
        <v>0</v>
      </c>
      <c r="P19" s="777"/>
      <c r="Q19" s="777"/>
      <c r="R19" s="767"/>
      <c r="S19" s="767"/>
      <c r="T19" s="767"/>
    </row>
    <row r="20" spans="1:20" s="757" customFormat="1" ht="16.5" customHeight="1">
      <c r="A20" s="775" t="s">
        <v>85</v>
      </c>
      <c r="B20" s="776" t="s">
        <v>73</v>
      </c>
      <c r="C20" s="765">
        <f>D20+L20</f>
        <v>421500</v>
      </c>
      <c r="D20" s="766">
        <f>E20+H20+I20+J20+K20</f>
        <v>421500</v>
      </c>
      <c r="E20" s="766">
        <f>F20+G20</f>
        <v>341500</v>
      </c>
      <c r="F20" s="766">
        <v>0</v>
      </c>
      <c r="G20" s="766">
        <v>341500</v>
      </c>
      <c r="H20" s="766">
        <v>80000</v>
      </c>
      <c r="I20" s="766">
        <v>0</v>
      </c>
      <c r="J20" s="766">
        <v>0</v>
      </c>
      <c r="K20" s="766">
        <v>0</v>
      </c>
      <c r="L20" s="766">
        <f>M20+O20</f>
        <v>0</v>
      </c>
      <c r="M20" s="766">
        <v>0</v>
      </c>
      <c r="N20" s="766">
        <v>0</v>
      </c>
      <c r="O20" s="766">
        <v>0</v>
      </c>
      <c r="P20" s="777"/>
      <c r="Q20" s="777"/>
      <c r="R20" s="767"/>
      <c r="S20" s="767"/>
      <c r="T20" s="767"/>
    </row>
    <row r="21" spans="1:20" s="782" customFormat="1" ht="16.5" customHeight="1">
      <c r="A21" s="768" t="s">
        <v>25</v>
      </c>
      <c r="B21" s="769" t="s">
        <v>26</v>
      </c>
      <c r="C21" s="778">
        <f aca="true" t="shared" si="2" ref="C21:O21">C22+C23</f>
        <v>449000</v>
      </c>
      <c r="D21" s="779">
        <f t="shared" si="2"/>
        <v>449000</v>
      </c>
      <c r="E21" s="779">
        <f t="shared" si="2"/>
        <v>61000</v>
      </c>
      <c r="F21" s="779">
        <f t="shared" si="2"/>
        <v>61000</v>
      </c>
      <c r="G21" s="779">
        <f t="shared" si="2"/>
        <v>0</v>
      </c>
      <c r="H21" s="779">
        <f t="shared" si="2"/>
        <v>8000</v>
      </c>
      <c r="I21" s="779">
        <f t="shared" si="2"/>
        <v>0</v>
      </c>
      <c r="J21" s="779">
        <f t="shared" si="2"/>
        <v>380000</v>
      </c>
      <c r="K21" s="779">
        <f t="shared" si="2"/>
        <v>0</v>
      </c>
      <c r="L21" s="779">
        <f t="shared" si="2"/>
        <v>0</v>
      </c>
      <c r="M21" s="779">
        <f t="shared" si="2"/>
        <v>0</v>
      </c>
      <c r="N21" s="779">
        <f t="shared" si="2"/>
        <v>0</v>
      </c>
      <c r="O21" s="779">
        <f t="shared" si="2"/>
        <v>0</v>
      </c>
      <c r="P21" s="780"/>
      <c r="Q21" s="780"/>
      <c r="R21" s="781"/>
      <c r="S21" s="781"/>
      <c r="T21" s="781"/>
    </row>
    <row r="22" spans="1:20" s="757" customFormat="1" ht="58.5" customHeight="1">
      <c r="A22" s="775" t="s">
        <v>76</v>
      </c>
      <c r="B22" s="783" t="s">
        <v>93</v>
      </c>
      <c r="C22" s="765">
        <f>D22+L22</f>
        <v>388000</v>
      </c>
      <c r="D22" s="766">
        <f>E22+H22+I22+J22+K22</f>
        <v>388000</v>
      </c>
      <c r="E22" s="766">
        <f>F22+G22</f>
        <v>0</v>
      </c>
      <c r="F22" s="766">
        <v>0</v>
      </c>
      <c r="G22" s="766">
        <v>0</v>
      </c>
      <c r="H22" s="766">
        <v>8000</v>
      </c>
      <c r="I22" s="766">
        <v>0</v>
      </c>
      <c r="J22" s="766">
        <v>380000</v>
      </c>
      <c r="K22" s="766">
        <v>0</v>
      </c>
      <c r="L22" s="766">
        <f>M22+O22</f>
        <v>0</v>
      </c>
      <c r="M22" s="766">
        <v>0</v>
      </c>
      <c r="N22" s="766">
        <v>0</v>
      </c>
      <c r="O22" s="766">
        <v>0</v>
      </c>
      <c r="P22" s="777"/>
      <c r="Q22" s="777"/>
      <c r="R22" s="767"/>
      <c r="S22" s="767"/>
      <c r="T22" s="767"/>
    </row>
    <row r="23" spans="1:20" s="757" customFormat="1" ht="16.5" customHeight="1">
      <c r="A23" s="784" t="s">
        <v>384</v>
      </c>
      <c r="B23" s="783" t="s">
        <v>73</v>
      </c>
      <c r="C23" s="765">
        <f>D23+L23</f>
        <v>61000</v>
      </c>
      <c r="D23" s="766">
        <f>E23+H23+I23+J23+K23</f>
        <v>61000</v>
      </c>
      <c r="E23" s="766">
        <f>F23+G23</f>
        <v>61000</v>
      </c>
      <c r="F23" s="766">
        <v>61000</v>
      </c>
      <c r="G23" s="766">
        <v>0</v>
      </c>
      <c r="H23" s="766">
        <v>0</v>
      </c>
      <c r="I23" s="766">
        <v>0</v>
      </c>
      <c r="J23" s="766">
        <v>0</v>
      </c>
      <c r="K23" s="766">
        <v>0</v>
      </c>
      <c r="L23" s="766">
        <f>M23+O23</f>
        <v>0</v>
      </c>
      <c r="M23" s="766">
        <v>0</v>
      </c>
      <c r="N23" s="766">
        <v>0</v>
      </c>
      <c r="O23" s="766">
        <v>0</v>
      </c>
      <c r="P23" s="777"/>
      <c r="Q23" s="777"/>
      <c r="R23" s="767"/>
      <c r="S23" s="767"/>
      <c r="T23" s="767"/>
    </row>
    <row r="24" spans="1:20" s="787" customFormat="1" ht="16.5" customHeight="1">
      <c r="A24" s="768" t="s">
        <v>91</v>
      </c>
      <c r="B24" s="769" t="s">
        <v>92</v>
      </c>
      <c r="C24" s="770">
        <f aca="true" t="shared" si="3" ref="C24:O24">C26+C27+C25</f>
        <v>18699266</v>
      </c>
      <c r="D24" s="771">
        <f t="shared" si="3"/>
        <v>18699266</v>
      </c>
      <c r="E24" s="771">
        <f t="shared" si="3"/>
        <v>3545861</v>
      </c>
      <c r="F24" s="771">
        <f t="shared" si="3"/>
        <v>240238</v>
      </c>
      <c r="G24" s="771">
        <f t="shared" si="3"/>
        <v>3305623</v>
      </c>
      <c r="H24" s="771">
        <f t="shared" si="3"/>
        <v>2941937</v>
      </c>
      <c r="I24" s="771">
        <f t="shared" si="3"/>
        <v>0</v>
      </c>
      <c r="J24" s="771">
        <f t="shared" si="3"/>
        <v>12211468</v>
      </c>
      <c r="K24" s="771">
        <f t="shared" si="3"/>
        <v>0</v>
      </c>
      <c r="L24" s="771">
        <f t="shared" si="3"/>
        <v>0</v>
      </c>
      <c r="M24" s="771">
        <f t="shared" si="3"/>
        <v>0</v>
      </c>
      <c r="N24" s="771">
        <f t="shared" si="3"/>
        <v>0</v>
      </c>
      <c r="O24" s="771">
        <f t="shared" si="3"/>
        <v>0</v>
      </c>
      <c r="P24" s="785"/>
      <c r="Q24" s="785"/>
      <c r="R24" s="786"/>
      <c r="S24" s="786"/>
      <c r="T24" s="786"/>
    </row>
    <row r="25" spans="1:20" s="757" customFormat="1" ht="16.5" customHeight="1">
      <c r="A25" s="775" t="s">
        <v>127</v>
      </c>
      <c r="B25" s="783" t="s">
        <v>128</v>
      </c>
      <c r="C25" s="765">
        <f>D25+L25</f>
        <v>6467798</v>
      </c>
      <c r="D25" s="766">
        <f>E25+H25+I25+J25+K25</f>
        <v>6467798</v>
      </c>
      <c r="E25" s="766">
        <f>F25+G25</f>
        <v>3525861</v>
      </c>
      <c r="F25" s="766">
        <v>235238</v>
      </c>
      <c r="G25" s="766">
        <v>3290623</v>
      </c>
      <c r="H25" s="766">
        <v>2941937</v>
      </c>
      <c r="I25" s="766">
        <v>0</v>
      </c>
      <c r="J25" s="766">
        <v>0</v>
      </c>
      <c r="K25" s="766">
        <v>0</v>
      </c>
      <c r="L25" s="766">
        <f>M25+O25</f>
        <v>0</v>
      </c>
      <c r="M25" s="766">
        <v>0</v>
      </c>
      <c r="N25" s="766">
        <v>0</v>
      </c>
      <c r="O25" s="766">
        <v>0</v>
      </c>
      <c r="P25" s="777"/>
      <c r="Q25" s="777"/>
      <c r="R25" s="767"/>
      <c r="S25" s="767"/>
      <c r="T25" s="767"/>
    </row>
    <row r="26" spans="1:20" s="757" customFormat="1" ht="30" customHeight="1">
      <c r="A26" s="775" t="s">
        <v>129</v>
      </c>
      <c r="B26" s="783" t="s">
        <v>130</v>
      </c>
      <c r="C26" s="765">
        <f>D26+L26</f>
        <v>11945212</v>
      </c>
      <c r="D26" s="766">
        <f>E26+H26+I26+J26+K26</f>
        <v>11945212</v>
      </c>
      <c r="E26" s="766">
        <f>F26+G26</f>
        <v>20000</v>
      </c>
      <c r="F26" s="766">
        <v>5000</v>
      </c>
      <c r="G26" s="766">
        <v>15000</v>
      </c>
      <c r="H26" s="766">
        <v>0</v>
      </c>
      <c r="I26" s="766">
        <v>0</v>
      </c>
      <c r="J26" s="766">
        <v>11925212</v>
      </c>
      <c r="K26" s="766">
        <v>0</v>
      </c>
      <c r="L26" s="766">
        <f>M26+O26</f>
        <v>0</v>
      </c>
      <c r="M26" s="766">
        <v>0</v>
      </c>
      <c r="N26" s="766">
        <v>0</v>
      </c>
      <c r="O26" s="766">
        <v>0</v>
      </c>
      <c r="P26" s="777"/>
      <c r="Q26" s="777"/>
      <c r="R26" s="767"/>
      <c r="S26" s="767"/>
      <c r="T26" s="767"/>
    </row>
    <row r="27" spans="1:20" s="757" customFormat="1" ht="16.5" customHeight="1">
      <c r="A27" s="775" t="s">
        <v>131</v>
      </c>
      <c r="B27" s="783" t="s">
        <v>73</v>
      </c>
      <c r="C27" s="765">
        <f>D27+L27</f>
        <v>286256</v>
      </c>
      <c r="D27" s="766">
        <f>E27+H27+I27+J27+K27</f>
        <v>286256</v>
      </c>
      <c r="E27" s="766">
        <f>F27+G27</f>
        <v>0</v>
      </c>
      <c r="F27" s="766">
        <v>0</v>
      </c>
      <c r="G27" s="766">
        <v>0</v>
      </c>
      <c r="H27" s="766">
        <v>0</v>
      </c>
      <c r="I27" s="766">
        <v>0</v>
      </c>
      <c r="J27" s="766">
        <v>286256</v>
      </c>
      <c r="K27" s="766">
        <v>0</v>
      </c>
      <c r="L27" s="766">
        <f>M27+O27</f>
        <v>0</v>
      </c>
      <c r="M27" s="766">
        <v>0</v>
      </c>
      <c r="N27" s="766">
        <v>0</v>
      </c>
      <c r="O27" s="766">
        <v>0</v>
      </c>
      <c r="P27" s="777"/>
      <c r="Q27" s="777"/>
      <c r="R27" s="767"/>
      <c r="S27" s="767"/>
      <c r="T27" s="767"/>
    </row>
    <row r="28" spans="1:20" s="790" customFormat="1" ht="16.5" customHeight="1">
      <c r="A28" s="768" t="s">
        <v>132</v>
      </c>
      <c r="B28" s="769" t="s">
        <v>133</v>
      </c>
      <c r="C28" s="770">
        <f aca="true" t="shared" si="4" ref="C28:O28">C29</f>
        <v>373550</v>
      </c>
      <c r="D28" s="771">
        <f t="shared" si="4"/>
        <v>373550</v>
      </c>
      <c r="E28" s="771">
        <f t="shared" si="4"/>
        <v>373550</v>
      </c>
      <c r="F28" s="771">
        <f t="shared" si="4"/>
        <v>294550</v>
      </c>
      <c r="G28" s="771">
        <f t="shared" si="4"/>
        <v>79000</v>
      </c>
      <c r="H28" s="771">
        <f t="shared" si="4"/>
        <v>0</v>
      </c>
      <c r="I28" s="771">
        <f t="shared" si="4"/>
        <v>0</v>
      </c>
      <c r="J28" s="771">
        <f t="shared" si="4"/>
        <v>0</v>
      </c>
      <c r="K28" s="771">
        <f t="shared" si="4"/>
        <v>0</v>
      </c>
      <c r="L28" s="771">
        <f t="shared" si="4"/>
        <v>0</v>
      </c>
      <c r="M28" s="771">
        <f t="shared" si="4"/>
        <v>0</v>
      </c>
      <c r="N28" s="771">
        <f>N29</f>
        <v>0</v>
      </c>
      <c r="O28" s="771">
        <f t="shared" si="4"/>
        <v>0</v>
      </c>
      <c r="P28" s="788"/>
      <c r="Q28" s="788"/>
      <c r="R28" s="789"/>
      <c r="S28" s="789"/>
      <c r="T28" s="789"/>
    </row>
    <row r="29" spans="1:20" s="793" customFormat="1" ht="16.5" customHeight="1">
      <c r="A29" s="775" t="s">
        <v>134</v>
      </c>
      <c r="B29" s="776" t="s">
        <v>135</v>
      </c>
      <c r="C29" s="765">
        <f>D29+L29</f>
        <v>373550</v>
      </c>
      <c r="D29" s="766">
        <f>E29+H29+I29+J29+K29</f>
        <v>373550</v>
      </c>
      <c r="E29" s="766">
        <f>F29+G29</f>
        <v>373550</v>
      </c>
      <c r="F29" s="766">
        <v>294550</v>
      </c>
      <c r="G29" s="766">
        <v>79000</v>
      </c>
      <c r="H29" s="766">
        <v>0</v>
      </c>
      <c r="I29" s="766">
        <v>0</v>
      </c>
      <c r="J29" s="766">
        <v>0</v>
      </c>
      <c r="K29" s="766">
        <v>0</v>
      </c>
      <c r="L29" s="766">
        <f>M29+O29</f>
        <v>0</v>
      </c>
      <c r="M29" s="766">
        <v>0</v>
      </c>
      <c r="N29" s="766">
        <v>0</v>
      </c>
      <c r="O29" s="766">
        <v>0</v>
      </c>
      <c r="P29" s="791"/>
      <c r="Q29" s="791"/>
      <c r="R29" s="792"/>
      <c r="S29" s="792"/>
      <c r="T29" s="792"/>
    </row>
    <row r="30" spans="1:20" s="787" customFormat="1" ht="16.5" customHeight="1">
      <c r="A30" s="768" t="s">
        <v>27</v>
      </c>
      <c r="B30" s="769" t="s">
        <v>28</v>
      </c>
      <c r="C30" s="770">
        <f aca="true" t="shared" si="5" ref="C30:O30">C31+C32+C33+C35+C38+C37+C36+C34</f>
        <v>391173517</v>
      </c>
      <c r="D30" s="771">
        <f t="shared" si="5"/>
        <v>191702184</v>
      </c>
      <c r="E30" s="771">
        <f t="shared" si="5"/>
        <v>51586249</v>
      </c>
      <c r="F30" s="771">
        <f t="shared" si="5"/>
        <v>14088248</v>
      </c>
      <c r="G30" s="771">
        <f t="shared" si="5"/>
        <v>37498001</v>
      </c>
      <c r="H30" s="771">
        <f t="shared" si="5"/>
        <v>138770000</v>
      </c>
      <c r="I30" s="771">
        <f t="shared" si="5"/>
        <v>65000</v>
      </c>
      <c r="J30" s="771">
        <f t="shared" si="5"/>
        <v>1280935</v>
      </c>
      <c r="K30" s="771">
        <f t="shared" si="5"/>
        <v>0</v>
      </c>
      <c r="L30" s="771">
        <f t="shared" si="5"/>
        <v>199471333</v>
      </c>
      <c r="M30" s="771">
        <f t="shared" si="5"/>
        <v>199471333</v>
      </c>
      <c r="N30" s="771">
        <f t="shared" si="5"/>
        <v>140068330</v>
      </c>
      <c r="O30" s="771">
        <f t="shared" si="5"/>
        <v>0</v>
      </c>
      <c r="P30" s="785"/>
      <c r="Q30" s="785"/>
      <c r="R30" s="786"/>
      <c r="S30" s="786"/>
      <c r="T30" s="786"/>
    </row>
    <row r="31" spans="1:20" s="757" customFormat="1" ht="16.5" customHeight="1">
      <c r="A31" s="775" t="s">
        <v>136</v>
      </c>
      <c r="B31" s="776" t="s">
        <v>77</v>
      </c>
      <c r="C31" s="765">
        <f aca="true" t="shared" si="6" ref="C31:C38">D31+L31</f>
        <v>110482366</v>
      </c>
      <c r="D31" s="766">
        <f aca="true" t="shared" si="7" ref="D31:D38">E31+H31+I31+J31+K31</f>
        <v>110482366</v>
      </c>
      <c r="E31" s="766">
        <f aca="true" t="shared" si="8" ref="E31:E38">F31+G31</f>
        <v>9962366</v>
      </c>
      <c r="F31" s="766">
        <v>0</v>
      </c>
      <c r="G31" s="766">
        <v>9962366</v>
      </c>
      <c r="H31" s="766">
        <v>100520000</v>
      </c>
      <c r="I31" s="766">
        <v>0</v>
      </c>
      <c r="J31" s="766">
        <v>0</v>
      </c>
      <c r="K31" s="766">
        <v>0</v>
      </c>
      <c r="L31" s="766">
        <f aca="true" t="shared" si="9" ref="L31:L38">M31+O31</f>
        <v>0</v>
      </c>
      <c r="M31" s="766">
        <v>0</v>
      </c>
      <c r="N31" s="766">
        <v>0</v>
      </c>
      <c r="O31" s="766">
        <v>0</v>
      </c>
      <c r="P31" s="777"/>
      <c r="Q31" s="777"/>
      <c r="R31" s="767"/>
      <c r="S31" s="767"/>
      <c r="T31" s="767"/>
    </row>
    <row r="32" spans="1:20" s="757" customFormat="1" ht="16.5" customHeight="1">
      <c r="A32" s="775" t="s">
        <v>137</v>
      </c>
      <c r="B32" s="776" t="s">
        <v>99</v>
      </c>
      <c r="C32" s="765">
        <f t="shared" si="6"/>
        <v>200000</v>
      </c>
      <c r="D32" s="766">
        <f t="shared" si="7"/>
        <v>0</v>
      </c>
      <c r="E32" s="766">
        <f t="shared" si="8"/>
        <v>0</v>
      </c>
      <c r="F32" s="766">
        <v>0</v>
      </c>
      <c r="G32" s="766">
        <v>0</v>
      </c>
      <c r="H32" s="766">
        <v>0</v>
      </c>
      <c r="I32" s="766">
        <v>0</v>
      </c>
      <c r="J32" s="766">
        <v>0</v>
      </c>
      <c r="K32" s="766">
        <v>0</v>
      </c>
      <c r="L32" s="766">
        <f t="shared" si="9"/>
        <v>200000</v>
      </c>
      <c r="M32" s="766">
        <v>200000</v>
      </c>
      <c r="N32" s="766">
        <v>0</v>
      </c>
      <c r="O32" s="766">
        <v>0</v>
      </c>
      <c r="P32" s="777"/>
      <c r="Q32" s="777"/>
      <c r="R32" s="767"/>
      <c r="S32" s="767"/>
      <c r="T32" s="767"/>
    </row>
    <row r="33" spans="1:20" s="757" customFormat="1" ht="16.5" customHeight="1">
      <c r="A33" s="775" t="s">
        <v>138</v>
      </c>
      <c r="B33" s="776" t="s">
        <v>78</v>
      </c>
      <c r="C33" s="765">
        <f t="shared" si="6"/>
        <v>37000000</v>
      </c>
      <c r="D33" s="766">
        <f t="shared" si="7"/>
        <v>37000000</v>
      </c>
      <c r="E33" s="766">
        <f t="shared" si="8"/>
        <v>0</v>
      </c>
      <c r="F33" s="766">
        <v>0</v>
      </c>
      <c r="G33" s="766">
        <v>0</v>
      </c>
      <c r="H33" s="766">
        <v>37000000</v>
      </c>
      <c r="I33" s="766">
        <v>0</v>
      </c>
      <c r="J33" s="766">
        <v>0</v>
      </c>
      <c r="K33" s="766">
        <v>0</v>
      </c>
      <c r="L33" s="766">
        <f t="shared" si="9"/>
        <v>0</v>
      </c>
      <c r="M33" s="766">
        <v>0</v>
      </c>
      <c r="N33" s="766">
        <v>0</v>
      </c>
      <c r="O33" s="766">
        <v>0</v>
      </c>
      <c r="P33" s="777"/>
      <c r="Q33" s="777"/>
      <c r="R33" s="767"/>
      <c r="S33" s="767"/>
      <c r="T33" s="767"/>
    </row>
    <row r="34" spans="1:20" s="757" customFormat="1" ht="16.5" customHeight="1">
      <c r="A34" s="784">
        <v>60004</v>
      </c>
      <c r="B34" s="776" t="s">
        <v>342</v>
      </c>
      <c r="C34" s="765">
        <f t="shared" si="6"/>
        <v>1200000</v>
      </c>
      <c r="D34" s="766">
        <f t="shared" si="7"/>
        <v>1200000</v>
      </c>
      <c r="E34" s="766">
        <f t="shared" si="8"/>
        <v>0</v>
      </c>
      <c r="F34" s="766">
        <v>0</v>
      </c>
      <c r="G34" s="766">
        <v>0</v>
      </c>
      <c r="H34" s="766">
        <v>1200000</v>
      </c>
      <c r="I34" s="766">
        <v>0</v>
      </c>
      <c r="J34" s="766">
        <v>0</v>
      </c>
      <c r="K34" s="766">
        <v>0</v>
      </c>
      <c r="L34" s="766">
        <f>M34+O34</f>
        <v>0</v>
      </c>
      <c r="M34" s="766">
        <v>0</v>
      </c>
      <c r="N34" s="766">
        <v>0</v>
      </c>
      <c r="O34" s="766">
        <v>0</v>
      </c>
      <c r="P34" s="777"/>
      <c r="Q34" s="777"/>
      <c r="R34" s="767"/>
      <c r="S34" s="767"/>
      <c r="T34" s="767"/>
    </row>
    <row r="35" spans="1:20" s="757" customFormat="1" ht="16.5" customHeight="1">
      <c r="A35" s="775" t="s">
        <v>139</v>
      </c>
      <c r="B35" s="776" t="s">
        <v>79</v>
      </c>
      <c r="C35" s="765">
        <f t="shared" si="6"/>
        <v>234377672</v>
      </c>
      <c r="D35" s="766">
        <f t="shared" si="7"/>
        <v>41806339</v>
      </c>
      <c r="E35" s="766">
        <f t="shared" si="8"/>
        <v>41229883</v>
      </c>
      <c r="F35" s="766">
        <v>13927348</v>
      </c>
      <c r="G35" s="766">
        <v>27302535</v>
      </c>
      <c r="H35" s="766">
        <v>0</v>
      </c>
      <c r="I35" s="766">
        <v>65000</v>
      </c>
      <c r="J35" s="766">
        <v>511456</v>
      </c>
      <c r="K35" s="766">
        <v>0</v>
      </c>
      <c r="L35" s="766">
        <f t="shared" si="9"/>
        <v>192571333</v>
      </c>
      <c r="M35" s="766">
        <v>192571333</v>
      </c>
      <c r="N35" s="766">
        <v>140068330</v>
      </c>
      <c r="O35" s="766">
        <v>0</v>
      </c>
      <c r="P35" s="777"/>
      <c r="Q35" s="777"/>
      <c r="R35" s="767"/>
      <c r="S35" s="767"/>
      <c r="T35" s="767"/>
    </row>
    <row r="36" spans="1:20" s="757" customFormat="1" ht="16.5" customHeight="1">
      <c r="A36" s="775" t="s">
        <v>140</v>
      </c>
      <c r="B36" s="776" t="s">
        <v>141</v>
      </c>
      <c r="C36" s="765">
        <f t="shared" si="6"/>
        <v>6550000</v>
      </c>
      <c r="D36" s="766">
        <f t="shared" si="7"/>
        <v>0</v>
      </c>
      <c r="E36" s="766">
        <f t="shared" si="8"/>
        <v>0</v>
      </c>
      <c r="F36" s="766">
        <v>0</v>
      </c>
      <c r="G36" s="766">
        <v>0</v>
      </c>
      <c r="H36" s="766">
        <v>0</v>
      </c>
      <c r="I36" s="766">
        <v>0</v>
      </c>
      <c r="J36" s="766">
        <v>0</v>
      </c>
      <c r="K36" s="766">
        <v>0</v>
      </c>
      <c r="L36" s="766">
        <f t="shared" si="9"/>
        <v>6550000</v>
      </c>
      <c r="M36" s="766">
        <v>6550000</v>
      </c>
      <c r="N36" s="766">
        <v>0</v>
      </c>
      <c r="O36" s="766">
        <v>0</v>
      </c>
      <c r="P36" s="777"/>
      <c r="Q36" s="777"/>
      <c r="R36" s="767"/>
      <c r="S36" s="767"/>
      <c r="T36" s="767"/>
    </row>
    <row r="37" spans="1:20" s="757" customFormat="1" ht="16.5" customHeight="1">
      <c r="A37" s="775" t="s">
        <v>142</v>
      </c>
      <c r="B37" s="776" t="s">
        <v>143</v>
      </c>
      <c r="C37" s="765">
        <f t="shared" si="6"/>
        <v>150000</v>
      </c>
      <c r="D37" s="766">
        <f t="shared" si="7"/>
        <v>0</v>
      </c>
      <c r="E37" s="766">
        <f t="shared" si="8"/>
        <v>0</v>
      </c>
      <c r="F37" s="766">
        <v>0</v>
      </c>
      <c r="G37" s="766">
        <v>0</v>
      </c>
      <c r="H37" s="766">
        <v>0</v>
      </c>
      <c r="I37" s="766">
        <v>0</v>
      </c>
      <c r="J37" s="766">
        <v>0</v>
      </c>
      <c r="K37" s="766">
        <v>0</v>
      </c>
      <c r="L37" s="766">
        <f t="shared" si="9"/>
        <v>150000</v>
      </c>
      <c r="M37" s="766">
        <v>150000</v>
      </c>
      <c r="N37" s="766">
        <v>0</v>
      </c>
      <c r="O37" s="766">
        <v>0</v>
      </c>
      <c r="P37" s="777"/>
      <c r="Q37" s="777"/>
      <c r="R37" s="767"/>
      <c r="S37" s="767"/>
      <c r="T37" s="767"/>
    </row>
    <row r="38" spans="1:20" s="757" customFormat="1" ht="16.5" customHeight="1">
      <c r="A38" s="775" t="s">
        <v>144</v>
      </c>
      <c r="B38" s="776" t="s">
        <v>73</v>
      </c>
      <c r="C38" s="765">
        <f t="shared" si="6"/>
        <v>1213479</v>
      </c>
      <c r="D38" s="766">
        <f t="shared" si="7"/>
        <v>1213479</v>
      </c>
      <c r="E38" s="766">
        <f t="shared" si="8"/>
        <v>394000</v>
      </c>
      <c r="F38" s="766">
        <v>160900</v>
      </c>
      <c r="G38" s="766">
        <f>212100+1000+20000</f>
        <v>233100</v>
      </c>
      <c r="H38" s="766">
        <v>50000</v>
      </c>
      <c r="I38" s="766">
        <v>0</v>
      </c>
      <c r="J38" s="766">
        <v>769479</v>
      </c>
      <c r="K38" s="766">
        <v>0</v>
      </c>
      <c r="L38" s="766">
        <f t="shared" si="9"/>
        <v>0</v>
      </c>
      <c r="M38" s="766">
        <v>0</v>
      </c>
      <c r="N38" s="766">
        <v>0</v>
      </c>
      <c r="O38" s="766">
        <v>0</v>
      </c>
      <c r="P38" s="777"/>
      <c r="Q38" s="777"/>
      <c r="R38" s="767"/>
      <c r="S38" s="767"/>
      <c r="T38" s="767"/>
    </row>
    <row r="39" spans="1:20" s="787" customFormat="1" ht="16.5" customHeight="1">
      <c r="A39" s="768" t="s">
        <v>97</v>
      </c>
      <c r="B39" s="769" t="s">
        <v>98</v>
      </c>
      <c r="C39" s="770">
        <f aca="true" t="shared" si="10" ref="C39:O39">C40+C41</f>
        <v>2036022</v>
      </c>
      <c r="D39" s="771">
        <f t="shared" si="10"/>
        <v>2036022</v>
      </c>
      <c r="E39" s="771">
        <f t="shared" si="10"/>
        <v>680805</v>
      </c>
      <c r="F39" s="771">
        <f t="shared" si="10"/>
        <v>180000</v>
      </c>
      <c r="G39" s="771">
        <f t="shared" si="10"/>
        <v>500805</v>
      </c>
      <c r="H39" s="771">
        <f t="shared" si="10"/>
        <v>150000</v>
      </c>
      <c r="I39" s="771">
        <f t="shared" si="10"/>
        <v>0</v>
      </c>
      <c r="J39" s="771">
        <f t="shared" si="10"/>
        <v>1205217</v>
      </c>
      <c r="K39" s="771">
        <f t="shared" si="10"/>
        <v>0</v>
      </c>
      <c r="L39" s="771">
        <f t="shared" si="10"/>
        <v>0</v>
      </c>
      <c r="M39" s="771">
        <f t="shared" si="10"/>
        <v>0</v>
      </c>
      <c r="N39" s="771">
        <f t="shared" si="10"/>
        <v>0</v>
      </c>
      <c r="O39" s="771">
        <f t="shared" si="10"/>
        <v>0</v>
      </c>
      <c r="P39" s="785"/>
      <c r="Q39" s="785"/>
      <c r="R39" s="786"/>
      <c r="S39" s="786"/>
      <c r="T39" s="786"/>
    </row>
    <row r="40" spans="1:20" s="757" customFormat="1" ht="16.5" customHeight="1">
      <c r="A40" s="775" t="s">
        <v>145</v>
      </c>
      <c r="B40" s="776" t="s">
        <v>105</v>
      </c>
      <c r="C40" s="765">
        <f>D40+L40</f>
        <v>652805</v>
      </c>
      <c r="D40" s="766">
        <f>E40+H40+I40+J40+K40</f>
        <v>652805</v>
      </c>
      <c r="E40" s="766">
        <f>F40+G40</f>
        <v>502805</v>
      </c>
      <c r="F40" s="766">
        <v>2000</v>
      </c>
      <c r="G40" s="766">
        <v>500805</v>
      </c>
      <c r="H40" s="766">
        <v>150000</v>
      </c>
      <c r="I40" s="766">
        <v>0</v>
      </c>
      <c r="J40" s="766">
        <v>0</v>
      </c>
      <c r="K40" s="766">
        <v>0</v>
      </c>
      <c r="L40" s="766">
        <f>M40+O40</f>
        <v>0</v>
      </c>
      <c r="M40" s="766">
        <v>0</v>
      </c>
      <c r="N40" s="766">
        <v>0</v>
      </c>
      <c r="O40" s="766">
        <v>0</v>
      </c>
      <c r="P40" s="777"/>
      <c r="Q40" s="777"/>
      <c r="R40" s="767"/>
      <c r="S40" s="767"/>
      <c r="T40" s="767"/>
    </row>
    <row r="41" spans="1:20" s="757" customFormat="1" ht="16.5" customHeight="1">
      <c r="A41" s="775" t="s">
        <v>146</v>
      </c>
      <c r="B41" s="776" t="s">
        <v>73</v>
      </c>
      <c r="C41" s="765">
        <f>D41+L41</f>
        <v>1383217</v>
      </c>
      <c r="D41" s="766">
        <f>E41+H41+I41+J41+K41</f>
        <v>1383217</v>
      </c>
      <c r="E41" s="766">
        <f>F41+G41</f>
        <v>178000</v>
      </c>
      <c r="F41" s="766">
        <v>178000</v>
      </c>
      <c r="G41" s="766">
        <v>0</v>
      </c>
      <c r="H41" s="766">
        <v>0</v>
      </c>
      <c r="I41" s="766">
        <v>0</v>
      </c>
      <c r="J41" s="766">
        <v>1205217</v>
      </c>
      <c r="K41" s="766">
        <v>0</v>
      </c>
      <c r="L41" s="766">
        <f>M41+O41</f>
        <v>0</v>
      </c>
      <c r="M41" s="766">
        <v>0</v>
      </c>
      <c r="N41" s="766">
        <v>0</v>
      </c>
      <c r="O41" s="766">
        <v>0</v>
      </c>
      <c r="P41" s="777"/>
      <c r="Q41" s="777"/>
      <c r="R41" s="767"/>
      <c r="S41" s="767"/>
      <c r="T41" s="767"/>
    </row>
    <row r="42" spans="1:20" s="787" customFormat="1" ht="16.5" customHeight="1">
      <c r="A42" s="768" t="s">
        <v>29</v>
      </c>
      <c r="B42" s="769" t="s">
        <v>30</v>
      </c>
      <c r="C42" s="770">
        <f aca="true" t="shared" si="11" ref="C42:O42">C43</f>
        <v>2245140</v>
      </c>
      <c r="D42" s="771">
        <f t="shared" si="11"/>
        <v>1272500</v>
      </c>
      <c r="E42" s="771">
        <f t="shared" si="11"/>
        <v>1272500</v>
      </c>
      <c r="F42" s="771">
        <f t="shared" si="11"/>
        <v>0</v>
      </c>
      <c r="G42" s="771">
        <f t="shared" si="11"/>
        <v>1272500</v>
      </c>
      <c r="H42" s="771">
        <f t="shared" si="11"/>
        <v>0</v>
      </c>
      <c r="I42" s="771">
        <f t="shared" si="11"/>
        <v>0</v>
      </c>
      <c r="J42" s="771">
        <f t="shared" si="11"/>
        <v>0</v>
      </c>
      <c r="K42" s="771">
        <f t="shared" si="11"/>
        <v>0</v>
      </c>
      <c r="L42" s="771">
        <f t="shared" si="11"/>
        <v>972640</v>
      </c>
      <c r="M42" s="771">
        <f t="shared" si="11"/>
        <v>972640</v>
      </c>
      <c r="N42" s="771">
        <f>N43</f>
        <v>0</v>
      </c>
      <c r="O42" s="771">
        <f t="shared" si="11"/>
        <v>0</v>
      </c>
      <c r="P42" s="785"/>
      <c r="Q42" s="785"/>
      <c r="R42" s="786"/>
      <c r="S42" s="786"/>
      <c r="T42" s="786"/>
    </row>
    <row r="43" spans="1:20" s="757" customFormat="1" ht="16.5" customHeight="1">
      <c r="A43" s="775" t="s">
        <v>147</v>
      </c>
      <c r="B43" s="776" t="s">
        <v>80</v>
      </c>
      <c r="C43" s="765">
        <f>D43+L43</f>
        <v>2245140</v>
      </c>
      <c r="D43" s="766">
        <f>E43+H43+I43+J43+K43</f>
        <v>1272500</v>
      </c>
      <c r="E43" s="766">
        <f>F43+G43</f>
        <v>1272500</v>
      </c>
      <c r="F43" s="766">
        <v>0</v>
      </c>
      <c r="G43" s="766">
        <v>1272500</v>
      </c>
      <c r="H43" s="766">
        <v>0</v>
      </c>
      <c r="I43" s="766">
        <v>0</v>
      </c>
      <c r="J43" s="766">
        <v>0</v>
      </c>
      <c r="K43" s="766">
        <v>0</v>
      </c>
      <c r="L43" s="766">
        <f>M43+O43</f>
        <v>972640</v>
      </c>
      <c r="M43" s="766">
        <v>972640</v>
      </c>
      <c r="N43" s="766">
        <v>0</v>
      </c>
      <c r="O43" s="766">
        <v>0</v>
      </c>
      <c r="P43" s="777"/>
      <c r="Q43" s="777"/>
      <c r="R43" s="767"/>
      <c r="S43" s="767"/>
      <c r="T43" s="767"/>
    </row>
    <row r="44" spans="1:20" s="787" customFormat="1" ht="16.5" customHeight="1">
      <c r="A44" s="768" t="s">
        <v>31</v>
      </c>
      <c r="B44" s="769" t="s">
        <v>32</v>
      </c>
      <c r="C44" s="794">
        <f>C45+C46+C47+C48</f>
        <v>4730270</v>
      </c>
      <c r="D44" s="771">
        <f aca="true" t="shared" si="12" ref="D44:O44">D45+D46+D47+D48</f>
        <v>4712270</v>
      </c>
      <c r="E44" s="771">
        <f t="shared" si="12"/>
        <v>4707970</v>
      </c>
      <c r="F44" s="771">
        <f t="shared" si="12"/>
        <v>3995660</v>
      </c>
      <c r="G44" s="771">
        <f t="shared" si="12"/>
        <v>712310</v>
      </c>
      <c r="H44" s="771">
        <f t="shared" si="12"/>
        <v>0</v>
      </c>
      <c r="I44" s="771">
        <f t="shared" si="12"/>
        <v>4300</v>
      </c>
      <c r="J44" s="771">
        <f t="shared" si="12"/>
        <v>0</v>
      </c>
      <c r="K44" s="771">
        <f t="shared" si="12"/>
        <v>0</v>
      </c>
      <c r="L44" s="771">
        <f t="shared" si="12"/>
        <v>18000</v>
      </c>
      <c r="M44" s="771">
        <f t="shared" si="12"/>
        <v>18000</v>
      </c>
      <c r="N44" s="771">
        <f t="shared" si="12"/>
        <v>0</v>
      </c>
      <c r="O44" s="771">
        <f t="shared" si="12"/>
        <v>0</v>
      </c>
      <c r="P44" s="785"/>
      <c r="Q44" s="785"/>
      <c r="R44" s="786"/>
      <c r="S44" s="786"/>
      <c r="T44" s="786"/>
    </row>
    <row r="45" spans="1:20" s="799" customFormat="1" ht="16.5" customHeight="1">
      <c r="A45" s="775" t="s">
        <v>148</v>
      </c>
      <c r="B45" s="776" t="s">
        <v>81</v>
      </c>
      <c r="C45" s="795">
        <f>D45+L45</f>
        <v>4278770</v>
      </c>
      <c r="D45" s="796">
        <f>E45+H45+I45+J45+K45</f>
        <v>4278770</v>
      </c>
      <c r="E45" s="796">
        <f>F45+G45</f>
        <v>4274470</v>
      </c>
      <c r="F45" s="796">
        <v>3766060</v>
      </c>
      <c r="G45" s="796">
        <v>508410</v>
      </c>
      <c r="H45" s="796">
        <v>0</v>
      </c>
      <c r="I45" s="796">
        <v>4300</v>
      </c>
      <c r="J45" s="796">
        <v>0</v>
      </c>
      <c r="K45" s="796">
        <v>0</v>
      </c>
      <c r="L45" s="796">
        <f>M45+O45</f>
        <v>0</v>
      </c>
      <c r="M45" s="796">
        <v>0</v>
      </c>
      <c r="N45" s="796">
        <v>0</v>
      </c>
      <c r="O45" s="796">
        <v>0</v>
      </c>
      <c r="P45" s="797"/>
      <c r="Q45" s="797"/>
      <c r="R45" s="798"/>
      <c r="S45" s="798"/>
      <c r="T45" s="798"/>
    </row>
    <row r="46" spans="1:20" s="757" customFormat="1" ht="16.5" customHeight="1">
      <c r="A46" s="775" t="s">
        <v>149</v>
      </c>
      <c r="B46" s="776" t="s">
        <v>150</v>
      </c>
      <c r="C46" s="765">
        <f>D46+L46</f>
        <v>25500</v>
      </c>
      <c r="D46" s="766">
        <f>E46+H46+I46+J46+K46</f>
        <v>25500</v>
      </c>
      <c r="E46" s="766">
        <f>F46+G46</f>
        <v>25500</v>
      </c>
      <c r="F46" s="766">
        <v>3600</v>
      </c>
      <c r="G46" s="766">
        <v>21900</v>
      </c>
      <c r="H46" s="766">
        <v>0</v>
      </c>
      <c r="I46" s="766">
        <v>0</v>
      </c>
      <c r="J46" s="766">
        <v>0</v>
      </c>
      <c r="K46" s="766">
        <v>0</v>
      </c>
      <c r="L46" s="766">
        <f>M46+O46</f>
        <v>0</v>
      </c>
      <c r="M46" s="796">
        <v>0</v>
      </c>
      <c r="N46" s="796">
        <v>0</v>
      </c>
      <c r="O46" s="796">
        <v>0</v>
      </c>
      <c r="P46" s="777"/>
      <c r="Q46" s="777"/>
      <c r="R46" s="767"/>
      <c r="S46" s="767"/>
      <c r="T46" s="767"/>
    </row>
    <row r="47" spans="1:20" s="757" customFormat="1" ht="16.5" customHeight="1">
      <c r="A47" s="775" t="s">
        <v>151</v>
      </c>
      <c r="B47" s="776" t="s">
        <v>82</v>
      </c>
      <c r="C47" s="765">
        <f>D47+L47</f>
        <v>256000</v>
      </c>
      <c r="D47" s="766">
        <f>E47+H47+I47+J47+K47</f>
        <v>256000</v>
      </c>
      <c r="E47" s="766">
        <f>F47+G47</f>
        <v>256000</v>
      </c>
      <c r="F47" s="766">
        <v>226000</v>
      </c>
      <c r="G47" s="766">
        <v>30000</v>
      </c>
      <c r="H47" s="766">
        <v>0</v>
      </c>
      <c r="I47" s="766">
        <v>0</v>
      </c>
      <c r="J47" s="766">
        <v>0</v>
      </c>
      <c r="K47" s="766">
        <v>0</v>
      </c>
      <c r="L47" s="766">
        <f>M47+O47</f>
        <v>0</v>
      </c>
      <c r="M47" s="796">
        <v>0</v>
      </c>
      <c r="N47" s="796">
        <v>0</v>
      </c>
      <c r="O47" s="796">
        <v>0</v>
      </c>
      <c r="P47" s="777"/>
      <c r="Q47" s="777"/>
      <c r="R47" s="767"/>
      <c r="S47" s="767"/>
      <c r="T47" s="767"/>
    </row>
    <row r="48" spans="1:20" s="757" customFormat="1" ht="16.5" customHeight="1">
      <c r="A48" s="775" t="s">
        <v>152</v>
      </c>
      <c r="B48" s="776" t="s">
        <v>88</v>
      </c>
      <c r="C48" s="765">
        <f>D48+L48</f>
        <v>170000</v>
      </c>
      <c r="D48" s="766">
        <f>E48+H48+I48+J48+K48</f>
        <v>152000</v>
      </c>
      <c r="E48" s="766">
        <f>F48+G48</f>
        <v>152000</v>
      </c>
      <c r="F48" s="766">
        <v>0</v>
      </c>
      <c r="G48" s="766">
        <v>152000</v>
      </c>
      <c r="H48" s="766">
        <v>0</v>
      </c>
      <c r="I48" s="766">
        <v>0</v>
      </c>
      <c r="J48" s="766">
        <v>0</v>
      </c>
      <c r="K48" s="766">
        <v>0</v>
      </c>
      <c r="L48" s="766">
        <f>M48+O48</f>
        <v>18000</v>
      </c>
      <c r="M48" s="766">
        <v>18000</v>
      </c>
      <c r="N48" s="766">
        <v>0</v>
      </c>
      <c r="O48" s="766">
        <v>0</v>
      </c>
      <c r="P48" s="777"/>
      <c r="Q48" s="777"/>
      <c r="R48" s="767"/>
      <c r="S48" s="767"/>
      <c r="T48" s="767"/>
    </row>
    <row r="49" spans="1:20" s="787" customFormat="1" ht="16.5" customHeight="1">
      <c r="A49" s="768" t="s">
        <v>33</v>
      </c>
      <c r="B49" s="769" t="s">
        <v>34</v>
      </c>
      <c r="C49" s="800">
        <f aca="true" t="shared" si="13" ref="C49:O49">C50</f>
        <v>93611196</v>
      </c>
      <c r="D49" s="801">
        <f t="shared" si="13"/>
        <v>7887967</v>
      </c>
      <c r="E49" s="801">
        <f t="shared" si="13"/>
        <v>2620543</v>
      </c>
      <c r="F49" s="801">
        <f t="shared" si="13"/>
        <v>0</v>
      </c>
      <c r="G49" s="801">
        <f t="shared" si="13"/>
        <v>2620543</v>
      </c>
      <c r="H49" s="801">
        <f t="shared" si="13"/>
        <v>0</v>
      </c>
      <c r="I49" s="801">
        <f t="shared" si="13"/>
        <v>0</v>
      </c>
      <c r="J49" s="801">
        <f t="shared" si="13"/>
        <v>5267424</v>
      </c>
      <c r="K49" s="801">
        <f t="shared" si="13"/>
        <v>0</v>
      </c>
      <c r="L49" s="801">
        <f t="shared" si="13"/>
        <v>85723229</v>
      </c>
      <c r="M49" s="801">
        <f t="shared" si="13"/>
        <v>83593828</v>
      </c>
      <c r="N49" s="801">
        <f>N50</f>
        <v>83593828</v>
      </c>
      <c r="O49" s="801">
        <f t="shared" si="13"/>
        <v>2129401</v>
      </c>
      <c r="P49" s="785"/>
      <c r="Q49" s="785"/>
      <c r="R49" s="786"/>
      <c r="S49" s="786"/>
      <c r="T49" s="786"/>
    </row>
    <row r="50" spans="1:20" s="799" customFormat="1" ht="16.5" customHeight="1">
      <c r="A50" s="775" t="s">
        <v>153</v>
      </c>
      <c r="B50" s="776" t="s">
        <v>73</v>
      </c>
      <c r="C50" s="765">
        <f>D50+L50</f>
        <v>93611196</v>
      </c>
      <c r="D50" s="766">
        <f>E50+H50+I50+J50+K50</f>
        <v>7887967</v>
      </c>
      <c r="E50" s="766">
        <f>F50+G50</f>
        <v>2620543</v>
      </c>
      <c r="F50" s="766">
        <v>0</v>
      </c>
      <c r="G50" s="766">
        <f>13350+854750+1337970+33890+256823+123760</f>
        <v>2620543</v>
      </c>
      <c r="H50" s="766">
        <v>0</v>
      </c>
      <c r="I50" s="766">
        <v>0</v>
      </c>
      <c r="J50" s="766">
        <v>5267424</v>
      </c>
      <c r="K50" s="766">
        <v>0</v>
      </c>
      <c r="L50" s="766">
        <f>M50+O50</f>
        <v>85723229</v>
      </c>
      <c r="M50" s="766">
        <v>83593828</v>
      </c>
      <c r="N50" s="766">
        <f>5028775+1681756+4503175+28946542+781572+42652008</f>
        <v>83593828</v>
      </c>
      <c r="O50" s="766">
        <v>2129401</v>
      </c>
      <c r="P50" s="797"/>
      <c r="Q50" s="797"/>
      <c r="R50" s="798"/>
      <c r="S50" s="798"/>
      <c r="T50" s="798"/>
    </row>
    <row r="51" spans="1:20" s="787" customFormat="1" ht="16.5" customHeight="1">
      <c r="A51" s="768" t="s">
        <v>326</v>
      </c>
      <c r="B51" s="769" t="s">
        <v>327</v>
      </c>
      <c r="C51" s="800">
        <f aca="true" t="shared" si="14" ref="C51:O51">C53+C52</f>
        <v>3741050</v>
      </c>
      <c r="D51" s="801">
        <f t="shared" si="14"/>
        <v>200000</v>
      </c>
      <c r="E51" s="801">
        <f t="shared" si="14"/>
        <v>0</v>
      </c>
      <c r="F51" s="801">
        <f t="shared" si="14"/>
        <v>0</v>
      </c>
      <c r="G51" s="801">
        <f t="shared" si="14"/>
        <v>0</v>
      </c>
      <c r="H51" s="801">
        <f t="shared" si="14"/>
        <v>200000</v>
      </c>
      <c r="I51" s="801">
        <f t="shared" si="14"/>
        <v>0</v>
      </c>
      <c r="J51" s="801">
        <f t="shared" si="14"/>
        <v>0</v>
      </c>
      <c r="K51" s="801">
        <f t="shared" si="14"/>
        <v>0</v>
      </c>
      <c r="L51" s="801">
        <f t="shared" si="14"/>
        <v>3541050</v>
      </c>
      <c r="M51" s="801">
        <f t="shared" si="14"/>
        <v>3541050</v>
      </c>
      <c r="N51" s="801">
        <f t="shared" si="14"/>
        <v>0</v>
      </c>
      <c r="O51" s="801">
        <f t="shared" si="14"/>
        <v>0</v>
      </c>
      <c r="P51" s="785"/>
      <c r="Q51" s="785"/>
      <c r="R51" s="786"/>
      <c r="S51" s="786"/>
      <c r="T51" s="786"/>
    </row>
    <row r="52" spans="1:20" s="799" customFormat="1" ht="16.5" customHeight="1">
      <c r="A52" s="775" t="s">
        <v>333</v>
      </c>
      <c r="B52" s="776" t="s">
        <v>334</v>
      </c>
      <c r="C52" s="765">
        <f>D52+L52</f>
        <v>200000</v>
      </c>
      <c r="D52" s="766">
        <f>E52+H52+I52+J52+K52</f>
        <v>200000</v>
      </c>
      <c r="E52" s="766">
        <f>F52+G52</f>
        <v>0</v>
      </c>
      <c r="F52" s="766">
        <v>0</v>
      </c>
      <c r="G52" s="766">
        <v>0</v>
      </c>
      <c r="H52" s="766">
        <v>200000</v>
      </c>
      <c r="I52" s="766">
        <v>0</v>
      </c>
      <c r="J52" s="766">
        <v>0</v>
      </c>
      <c r="K52" s="766">
        <v>0</v>
      </c>
      <c r="L52" s="766">
        <f>M52+O52</f>
        <v>0</v>
      </c>
      <c r="M52" s="766">
        <v>0</v>
      </c>
      <c r="N52" s="766">
        <v>0</v>
      </c>
      <c r="O52" s="766">
        <v>0</v>
      </c>
      <c r="P52" s="797"/>
      <c r="Q52" s="797"/>
      <c r="R52" s="798"/>
      <c r="S52" s="798"/>
      <c r="T52" s="798"/>
    </row>
    <row r="53" spans="1:20" s="799" customFormat="1" ht="16.5" customHeight="1">
      <c r="A53" s="775" t="s">
        <v>328</v>
      </c>
      <c r="B53" s="776" t="s">
        <v>73</v>
      </c>
      <c r="C53" s="765">
        <f>D53+L53</f>
        <v>3541050</v>
      </c>
      <c r="D53" s="766">
        <f>E53+H53+I53+J53+K53</f>
        <v>0</v>
      </c>
      <c r="E53" s="766">
        <f>F53+G53</f>
        <v>0</v>
      </c>
      <c r="F53" s="766">
        <v>0</v>
      </c>
      <c r="G53" s="766">
        <v>0</v>
      </c>
      <c r="H53" s="766">
        <v>0</v>
      </c>
      <c r="I53" s="766">
        <v>0</v>
      </c>
      <c r="J53" s="766">
        <v>0</v>
      </c>
      <c r="K53" s="766">
        <v>0</v>
      </c>
      <c r="L53" s="766">
        <f>M53+O53</f>
        <v>3541050</v>
      </c>
      <c r="M53" s="766">
        <v>3541050</v>
      </c>
      <c r="N53" s="766">
        <v>0</v>
      </c>
      <c r="O53" s="766">
        <v>0</v>
      </c>
      <c r="P53" s="797"/>
      <c r="Q53" s="797"/>
      <c r="R53" s="798"/>
      <c r="S53" s="798"/>
      <c r="T53" s="798"/>
    </row>
    <row r="54" spans="1:20" s="787" customFormat="1" ht="16.5" customHeight="1">
      <c r="A54" s="768" t="s">
        <v>35</v>
      </c>
      <c r="B54" s="769" t="s">
        <v>36</v>
      </c>
      <c r="C54" s="770">
        <f aca="true" t="shared" si="15" ref="C54:O54">C55+C56+C57+C58+C60+C59</f>
        <v>116626679</v>
      </c>
      <c r="D54" s="771">
        <f t="shared" si="15"/>
        <v>116016679</v>
      </c>
      <c r="E54" s="771">
        <f t="shared" si="15"/>
        <v>54943541</v>
      </c>
      <c r="F54" s="771">
        <f t="shared" si="15"/>
        <v>34030019</v>
      </c>
      <c r="G54" s="771">
        <f t="shared" si="15"/>
        <v>20913522</v>
      </c>
      <c r="H54" s="771">
        <f t="shared" si="15"/>
        <v>135000</v>
      </c>
      <c r="I54" s="771">
        <f t="shared" si="15"/>
        <v>1327000</v>
      </c>
      <c r="J54" s="771">
        <f t="shared" si="15"/>
        <v>59611138</v>
      </c>
      <c r="K54" s="771">
        <f t="shared" si="15"/>
        <v>0</v>
      </c>
      <c r="L54" s="771">
        <f t="shared" si="15"/>
        <v>610000</v>
      </c>
      <c r="M54" s="771">
        <f t="shared" si="15"/>
        <v>610000</v>
      </c>
      <c r="N54" s="771">
        <f t="shared" si="15"/>
        <v>40000</v>
      </c>
      <c r="O54" s="771">
        <f t="shared" si="15"/>
        <v>0</v>
      </c>
      <c r="P54" s="785"/>
      <c r="Q54" s="785"/>
      <c r="R54" s="786"/>
      <c r="S54" s="786"/>
      <c r="T54" s="786"/>
    </row>
    <row r="55" spans="1:20" s="799" customFormat="1" ht="16.5" customHeight="1">
      <c r="A55" s="775" t="s">
        <v>154</v>
      </c>
      <c r="B55" s="776" t="s">
        <v>155</v>
      </c>
      <c r="C55" s="765">
        <f aca="true" t="shared" si="16" ref="C55:C60">D55+L55</f>
        <v>1444000</v>
      </c>
      <c r="D55" s="766">
        <f aca="true" t="shared" si="17" ref="D55:D60">E55+H55+I55+J55+K55</f>
        <v>1444000</v>
      </c>
      <c r="E55" s="766">
        <f aca="true" t="shared" si="18" ref="E55:E60">F55+G55</f>
        <v>344000</v>
      </c>
      <c r="F55" s="766">
        <v>50000</v>
      </c>
      <c r="G55" s="766">
        <v>294000</v>
      </c>
      <c r="H55" s="766">
        <v>0</v>
      </c>
      <c r="I55" s="766">
        <v>1100000</v>
      </c>
      <c r="J55" s="766">
        <v>0</v>
      </c>
      <c r="K55" s="766">
        <v>0</v>
      </c>
      <c r="L55" s="766">
        <f aca="true" t="shared" si="19" ref="L55:L60">M55+O55</f>
        <v>0</v>
      </c>
      <c r="M55" s="766">
        <v>0</v>
      </c>
      <c r="N55" s="766">
        <v>0</v>
      </c>
      <c r="O55" s="766">
        <v>0</v>
      </c>
      <c r="P55" s="797"/>
      <c r="Q55" s="797"/>
      <c r="R55" s="798"/>
      <c r="S55" s="798"/>
      <c r="T55" s="798"/>
    </row>
    <row r="56" spans="1:20" s="799" customFormat="1" ht="16.5" customHeight="1">
      <c r="A56" s="775" t="s">
        <v>156</v>
      </c>
      <c r="B56" s="776" t="s">
        <v>53</v>
      </c>
      <c r="C56" s="765">
        <f t="shared" si="16"/>
        <v>83036937</v>
      </c>
      <c r="D56" s="766">
        <f t="shared" si="17"/>
        <v>82426937</v>
      </c>
      <c r="E56" s="766">
        <f t="shared" si="18"/>
        <v>42002735</v>
      </c>
      <c r="F56" s="766">
        <v>33807019</v>
      </c>
      <c r="G56" s="766">
        <v>8195716</v>
      </c>
      <c r="H56" s="766">
        <v>0</v>
      </c>
      <c r="I56" s="766">
        <v>40000</v>
      </c>
      <c r="J56" s="766">
        <v>40384202</v>
      </c>
      <c r="K56" s="766">
        <v>0</v>
      </c>
      <c r="L56" s="766">
        <f t="shared" si="19"/>
        <v>610000</v>
      </c>
      <c r="M56" s="766">
        <v>610000</v>
      </c>
      <c r="N56" s="766">
        <f>34000+6000</f>
        <v>40000</v>
      </c>
      <c r="O56" s="766">
        <v>0</v>
      </c>
      <c r="P56" s="797"/>
      <c r="Q56" s="797"/>
      <c r="R56" s="798"/>
      <c r="S56" s="798"/>
      <c r="T56" s="798"/>
    </row>
    <row r="57" spans="1:20" s="757" customFormat="1" ht="27.75" customHeight="1">
      <c r="A57" s="775" t="s">
        <v>157</v>
      </c>
      <c r="B57" s="776" t="s">
        <v>158</v>
      </c>
      <c r="C57" s="765">
        <f t="shared" si="16"/>
        <v>450000</v>
      </c>
      <c r="D57" s="766">
        <f t="shared" si="17"/>
        <v>450000</v>
      </c>
      <c r="E57" s="766">
        <f t="shared" si="18"/>
        <v>450000</v>
      </c>
      <c r="F57" s="766">
        <v>3000</v>
      </c>
      <c r="G57" s="766">
        <v>447000</v>
      </c>
      <c r="H57" s="766">
        <v>0</v>
      </c>
      <c r="I57" s="766">
        <v>0</v>
      </c>
      <c r="J57" s="766">
        <v>0</v>
      </c>
      <c r="K57" s="766">
        <v>0</v>
      </c>
      <c r="L57" s="766">
        <f t="shared" si="19"/>
        <v>0</v>
      </c>
      <c r="M57" s="766">
        <v>0</v>
      </c>
      <c r="N57" s="766">
        <v>0</v>
      </c>
      <c r="O57" s="766">
        <v>0</v>
      </c>
      <c r="P57" s="777"/>
      <c r="Q57" s="777"/>
      <c r="R57" s="767"/>
      <c r="S57" s="767"/>
      <c r="T57" s="767"/>
    </row>
    <row r="58" spans="1:20" s="799" customFormat="1" ht="16.5" customHeight="1">
      <c r="A58" s="775" t="s">
        <v>159</v>
      </c>
      <c r="B58" s="776" t="s">
        <v>94</v>
      </c>
      <c r="C58" s="765">
        <f t="shared" si="16"/>
        <v>27593922</v>
      </c>
      <c r="D58" s="766">
        <f t="shared" si="17"/>
        <v>27593922</v>
      </c>
      <c r="E58" s="766">
        <f t="shared" si="18"/>
        <v>10300000</v>
      </c>
      <c r="F58" s="766">
        <v>100000</v>
      </c>
      <c r="G58" s="766">
        <f>50000+300000+40000+9768000+2000+20000+20000</f>
        <v>10200000</v>
      </c>
      <c r="H58" s="766">
        <v>0</v>
      </c>
      <c r="I58" s="766">
        <v>0</v>
      </c>
      <c r="J58" s="766">
        <v>17293922</v>
      </c>
      <c r="K58" s="766">
        <v>0</v>
      </c>
      <c r="L58" s="766">
        <f t="shared" si="19"/>
        <v>0</v>
      </c>
      <c r="M58" s="766">
        <v>0</v>
      </c>
      <c r="N58" s="766">
        <v>0</v>
      </c>
      <c r="O58" s="766">
        <v>0</v>
      </c>
      <c r="P58" s="797"/>
      <c r="Q58" s="797"/>
      <c r="R58" s="798"/>
      <c r="S58" s="798"/>
      <c r="T58" s="798"/>
    </row>
    <row r="59" spans="1:20" s="757" customFormat="1" ht="30" customHeight="1">
      <c r="A59" s="775" t="s">
        <v>160</v>
      </c>
      <c r="B59" s="776" t="s">
        <v>95</v>
      </c>
      <c r="C59" s="765">
        <f t="shared" si="16"/>
        <v>202000</v>
      </c>
      <c r="D59" s="766">
        <f t="shared" si="17"/>
        <v>202000</v>
      </c>
      <c r="E59" s="766">
        <f t="shared" si="18"/>
        <v>172000</v>
      </c>
      <c r="F59" s="766">
        <v>70000</v>
      </c>
      <c r="G59" s="766">
        <v>102000</v>
      </c>
      <c r="H59" s="766">
        <v>0</v>
      </c>
      <c r="I59" s="766">
        <v>30000</v>
      </c>
      <c r="J59" s="766">
        <v>0</v>
      </c>
      <c r="K59" s="766">
        <v>0</v>
      </c>
      <c r="L59" s="766">
        <f t="shared" si="19"/>
        <v>0</v>
      </c>
      <c r="M59" s="766">
        <v>0</v>
      </c>
      <c r="N59" s="766">
        <v>0</v>
      </c>
      <c r="O59" s="766">
        <v>0</v>
      </c>
      <c r="P59" s="777"/>
      <c r="Q59" s="777"/>
      <c r="R59" s="767"/>
      <c r="S59" s="767"/>
      <c r="T59" s="767"/>
    </row>
    <row r="60" spans="1:20" s="799" customFormat="1" ht="16.5" customHeight="1">
      <c r="A60" s="775" t="s">
        <v>161</v>
      </c>
      <c r="B60" s="776" t="s">
        <v>73</v>
      </c>
      <c r="C60" s="765">
        <f t="shared" si="16"/>
        <v>3899820</v>
      </c>
      <c r="D60" s="766">
        <f t="shared" si="17"/>
        <v>3899820</v>
      </c>
      <c r="E60" s="766">
        <f t="shared" si="18"/>
        <v>1674806</v>
      </c>
      <c r="F60" s="766">
        <v>0</v>
      </c>
      <c r="G60" s="766">
        <f>68000+184000+74000+1243406+10400+95000</f>
        <v>1674806</v>
      </c>
      <c r="H60" s="766">
        <v>135000</v>
      </c>
      <c r="I60" s="766">
        <v>157000</v>
      </c>
      <c r="J60" s="766">
        <v>1933014</v>
      </c>
      <c r="K60" s="766">
        <v>0</v>
      </c>
      <c r="L60" s="766">
        <f t="shared" si="19"/>
        <v>0</v>
      </c>
      <c r="M60" s="766">
        <v>0</v>
      </c>
      <c r="N60" s="766">
        <v>0</v>
      </c>
      <c r="O60" s="766">
        <v>0</v>
      </c>
      <c r="P60" s="797"/>
      <c r="Q60" s="797"/>
      <c r="R60" s="798"/>
      <c r="S60" s="798"/>
      <c r="T60" s="798"/>
    </row>
    <row r="61" spans="1:20" s="787" customFormat="1" ht="16.5" customHeight="1">
      <c r="A61" s="768" t="s">
        <v>37</v>
      </c>
      <c r="B61" s="769" t="s">
        <v>38</v>
      </c>
      <c r="C61" s="770">
        <f aca="true" t="shared" si="20" ref="C61:O61">C62</f>
        <v>5000</v>
      </c>
      <c r="D61" s="771">
        <f t="shared" si="20"/>
        <v>5000</v>
      </c>
      <c r="E61" s="771">
        <f t="shared" si="20"/>
        <v>5000</v>
      </c>
      <c r="F61" s="771">
        <f t="shared" si="20"/>
        <v>0</v>
      </c>
      <c r="G61" s="771">
        <f t="shared" si="20"/>
        <v>5000</v>
      </c>
      <c r="H61" s="771">
        <f t="shared" si="20"/>
        <v>0</v>
      </c>
      <c r="I61" s="771">
        <f t="shared" si="20"/>
        <v>0</v>
      </c>
      <c r="J61" s="771">
        <f t="shared" si="20"/>
        <v>0</v>
      </c>
      <c r="K61" s="771">
        <f t="shared" si="20"/>
        <v>0</v>
      </c>
      <c r="L61" s="771">
        <f t="shared" si="20"/>
        <v>0</v>
      </c>
      <c r="M61" s="771">
        <f t="shared" si="20"/>
        <v>0</v>
      </c>
      <c r="N61" s="771">
        <f>N62</f>
        <v>0</v>
      </c>
      <c r="O61" s="771">
        <f t="shared" si="20"/>
        <v>0</v>
      </c>
      <c r="P61" s="785"/>
      <c r="Q61" s="785"/>
      <c r="R61" s="786"/>
      <c r="S61" s="786"/>
      <c r="T61" s="786"/>
    </row>
    <row r="62" spans="1:20" s="799" customFormat="1" ht="16.5" customHeight="1">
      <c r="A62" s="775" t="s">
        <v>162</v>
      </c>
      <c r="B62" s="776" t="s">
        <v>163</v>
      </c>
      <c r="C62" s="765">
        <f>D62+L62</f>
        <v>5000</v>
      </c>
      <c r="D62" s="766">
        <f>E62+H62+I62+J62+K62</f>
        <v>5000</v>
      </c>
      <c r="E62" s="766">
        <f>F62+G62</f>
        <v>5000</v>
      </c>
      <c r="F62" s="766">
        <v>0</v>
      </c>
      <c r="G62" s="766">
        <v>5000</v>
      </c>
      <c r="H62" s="766">
        <v>0</v>
      </c>
      <c r="I62" s="766">
        <v>0</v>
      </c>
      <c r="J62" s="766">
        <v>0</v>
      </c>
      <c r="K62" s="766">
        <v>0</v>
      </c>
      <c r="L62" s="766">
        <f>M62+O62</f>
        <v>0</v>
      </c>
      <c r="M62" s="766">
        <v>0</v>
      </c>
      <c r="N62" s="766">
        <v>0</v>
      </c>
      <c r="O62" s="766">
        <v>0</v>
      </c>
      <c r="P62" s="797"/>
      <c r="Q62" s="797"/>
      <c r="R62" s="798"/>
      <c r="S62" s="798"/>
      <c r="T62" s="798"/>
    </row>
    <row r="63" spans="1:20" s="787" customFormat="1" ht="30.75" customHeight="1">
      <c r="A63" s="768" t="s">
        <v>164</v>
      </c>
      <c r="B63" s="769" t="s">
        <v>165</v>
      </c>
      <c r="C63" s="770">
        <f aca="true" t="shared" si="21" ref="C63:O63">C64</f>
        <v>1185000</v>
      </c>
      <c r="D63" s="771">
        <f t="shared" si="21"/>
        <v>185000</v>
      </c>
      <c r="E63" s="771">
        <f t="shared" si="21"/>
        <v>185000</v>
      </c>
      <c r="F63" s="771">
        <f t="shared" si="21"/>
        <v>0</v>
      </c>
      <c r="G63" s="771">
        <f t="shared" si="21"/>
        <v>185000</v>
      </c>
      <c r="H63" s="771">
        <f t="shared" si="21"/>
        <v>0</v>
      </c>
      <c r="I63" s="771">
        <f t="shared" si="21"/>
        <v>0</v>
      </c>
      <c r="J63" s="771">
        <f t="shared" si="21"/>
        <v>0</v>
      </c>
      <c r="K63" s="771">
        <f t="shared" si="21"/>
        <v>0</v>
      </c>
      <c r="L63" s="771">
        <f t="shared" si="21"/>
        <v>1000000</v>
      </c>
      <c r="M63" s="771">
        <f t="shared" si="21"/>
        <v>1000000</v>
      </c>
      <c r="N63" s="771">
        <f>N64</f>
        <v>0</v>
      </c>
      <c r="O63" s="771">
        <f t="shared" si="21"/>
        <v>0</v>
      </c>
      <c r="P63" s="785"/>
      <c r="Q63" s="785"/>
      <c r="R63" s="786"/>
      <c r="S63" s="786"/>
      <c r="T63" s="786"/>
    </row>
    <row r="64" spans="1:20" s="799" customFormat="1" ht="16.5" customHeight="1">
      <c r="A64" s="775" t="s">
        <v>166</v>
      </c>
      <c r="B64" s="776" t="s">
        <v>73</v>
      </c>
      <c r="C64" s="765">
        <f>D64+L64</f>
        <v>1185000</v>
      </c>
      <c r="D64" s="766">
        <f>E64+H64+I64+J64+K64</f>
        <v>185000</v>
      </c>
      <c r="E64" s="766">
        <f>F64+G64</f>
        <v>185000</v>
      </c>
      <c r="F64" s="766">
        <v>0</v>
      </c>
      <c r="G64" s="766">
        <v>185000</v>
      </c>
      <c r="H64" s="766">
        <v>0</v>
      </c>
      <c r="I64" s="766">
        <v>0</v>
      </c>
      <c r="J64" s="766">
        <v>0</v>
      </c>
      <c r="K64" s="766">
        <v>0</v>
      </c>
      <c r="L64" s="766">
        <f>M64+O64</f>
        <v>1000000</v>
      </c>
      <c r="M64" s="766">
        <v>1000000</v>
      </c>
      <c r="N64" s="766">
        <v>0</v>
      </c>
      <c r="O64" s="766">
        <v>0</v>
      </c>
      <c r="P64" s="797"/>
      <c r="Q64" s="797"/>
      <c r="R64" s="798"/>
      <c r="S64" s="798"/>
      <c r="T64" s="798"/>
    </row>
    <row r="65" spans="1:20" s="787" customFormat="1" ht="16.5" customHeight="1">
      <c r="A65" s="768" t="s">
        <v>167</v>
      </c>
      <c r="B65" s="769" t="s">
        <v>168</v>
      </c>
      <c r="C65" s="770">
        <f aca="true" t="shared" si="22" ref="C65:O65">C66+C67</f>
        <v>42192158</v>
      </c>
      <c r="D65" s="771">
        <f t="shared" si="22"/>
        <v>42192158</v>
      </c>
      <c r="E65" s="771">
        <f t="shared" si="22"/>
        <v>0</v>
      </c>
      <c r="F65" s="771">
        <f t="shared" si="22"/>
        <v>0</v>
      </c>
      <c r="G65" s="771">
        <f t="shared" si="22"/>
        <v>0</v>
      </c>
      <c r="H65" s="771">
        <f t="shared" si="22"/>
        <v>0</v>
      </c>
      <c r="I65" s="771">
        <f t="shared" si="22"/>
        <v>0</v>
      </c>
      <c r="J65" s="771">
        <f t="shared" si="22"/>
        <v>0</v>
      </c>
      <c r="K65" s="771">
        <f t="shared" si="22"/>
        <v>42192158</v>
      </c>
      <c r="L65" s="771">
        <f t="shared" si="22"/>
        <v>0</v>
      </c>
      <c r="M65" s="771">
        <f t="shared" si="22"/>
        <v>0</v>
      </c>
      <c r="N65" s="771">
        <f t="shared" si="22"/>
        <v>0</v>
      </c>
      <c r="O65" s="771">
        <f t="shared" si="22"/>
        <v>0</v>
      </c>
      <c r="P65" s="785"/>
      <c r="Q65" s="785"/>
      <c r="R65" s="786"/>
      <c r="S65" s="786"/>
      <c r="T65" s="786"/>
    </row>
    <row r="66" spans="1:20" s="757" customFormat="1" ht="54.75" customHeight="1">
      <c r="A66" s="775" t="s">
        <v>169</v>
      </c>
      <c r="B66" s="776" t="s">
        <v>414</v>
      </c>
      <c r="C66" s="765">
        <f>D66+L66</f>
        <v>8682633</v>
      </c>
      <c r="D66" s="766">
        <f>E66+H66+I66+J66+K66</f>
        <v>8682633</v>
      </c>
      <c r="E66" s="766">
        <f>F66+G66</f>
        <v>0</v>
      </c>
      <c r="F66" s="766">
        <v>0</v>
      </c>
      <c r="G66" s="766">
        <v>0</v>
      </c>
      <c r="H66" s="766">
        <v>0</v>
      </c>
      <c r="I66" s="766">
        <v>0</v>
      </c>
      <c r="J66" s="766">
        <v>0</v>
      </c>
      <c r="K66" s="766">
        <v>8682633</v>
      </c>
      <c r="L66" s="766">
        <f>M66+O66</f>
        <v>0</v>
      </c>
      <c r="M66" s="766">
        <v>0</v>
      </c>
      <c r="N66" s="766">
        <v>0</v>
      </c>
      <c r="O66" s="766">
        <v>0</v>
      </c>
      <c r="P66" s="777"/>
      <c r="Q66" s="777"/>
      <c r="R66" s="767"/>
      <c r="S66" s="767"/>
      <c r="T66" s="767"/>
    </row>
    <row r="67" spans="1:20" s="757" customFormat="1" ht="41.25" customHeight="1">
      <c r="A67" s="775" t="s">
        <v>170</v>
      </c>
      <c r="B67" s="776" t="s">
        <v>171</v>
      </c>
      <c r="C67" s="765">
        <f>D67+L67</f>
        <v>33509525</v>
      </c>
      <c r="D67" s="766">
        <f>E67+H67+I67+J67+K67</f>
        <v>33509525</v>
      </c>
      <c r="E67" s="766">
        <f>F67+G67</f>
        <v>0</v>
      </c>
      <c r="F67" s="766">
        <v>0</v>
      </c>
      <c r="G67" s="766">
        <v>0</v>
      </c>
      <c r="H67" s="766">
        <v>0</v>
      </c>
      <c r="I67" s="766">
        <v>0</v>
      </c>
      <c r="J67" s="766">
        <v>0</v>
      </c>
      <c r="K67" s="766">
        <v>33509525</v>
      </c>
      <c r="L67" s="766">
        <f>M67+O67</f>
        <v>0</v>
      </c>
      <c r="M67" s="766">
        <v>0</v>
      </c>
      <c r="N67" s="766">
        <v>0</v>
      </c>
      <c r="O67" s="766">
        <v>0</v>
      </c>
      <c r="P67" s="777"/>
      <c r="Q67" s="777"/>
      <c r="R67" s="767"/>
      <c r="S67" s="767"/>
      <c r="T67" s="767"/>
    </row>
    <row r="68" spans="1:20" s="787" customFormat="1" ht="16.5" customHeight="1">
      <c r="A68" s="768" t="s">
        <v>39</v>
      </c>
      <c r="B68" s="769" t="s">
        <v>40</v>
      </c>
      <c r="C68" s="770">
        <f>C69</f>
        <v>23900000</v>
      </c>
      <c r="D68" s="771">
        <f aca="true" t="shared" si="23" ref="D68:O68">D69</f>
        <v>15100000</v>
      </c>
      <c r="E68" s="771">
        <f t="shared" si="23"/>
        <v>15100000</v>
      </c>
      <c r="F68" s="771">
        <f t="shared" si="23"/>
        <v>0</v>
      </c>
      <c r="G68" s="771">
        <f t="shared" si="23"/>
        <v>15100000</v>
      </c>
      <c r="H68" s="771">
        <f t="shared" si="23"/>
        <v>0</v>
      </c>
      <c r="I68" s="771">
        <f t="shared" si="23"/>
        <v>0</v>
      </c>
      <c r="J68" s="771">
        <f t="shared" si="23"/>
        <v>0</v>
      </c>
      <c r="K68" s="771">
        <f t="shared" si="23"/>
        <v>0</v>
      </c>
      <c r="L68" s="771">
        <f t="shared" si="23"/>
        <v>8800000</v>
      </c>
      <c r="M68" s="771">
        <f t="shared" si="23"/>
        <v>8800000</v>
      </c>
      <c r="N68" s="771">
        <f t="shared" si="23"/>
        <v>0</v>
      </c>
      <c r="O68" s="771">
        <f t="shared" si="23"/>
        <v>0</v>
      </c>
      <c r="P68" s="785"/>
      <c r="Q68" s="785"/>
      <c r="R68" s="786"/>
      <c r="S68" s="786"/>
      <c r="T68" s="786"/>
    </row>
    <row r="69" spans="1:20" s="799" customFormat="1" ht="16.5" customHeight="1">
      <c r="A69" s="775" t="s">
        <v>172</v>
      </c>
      <c r="B69" s="776" t="s">
        <v>173</v>
      </c>
      <c r="C69" s="765">
        <f>D69+L69</f>
        <v>23900000</v>
      </c>
      <c r="D69" s="766">
        <f>E69+H69+I69+J69+K69</f>
        <v>15100000</v>
      </c>
      <c r="E69" s="766">
        <f>F69+G69</f>
        <v>15100000</v>
      </c>
      <c r="F69" s="766">
        <v>0</v>
      </c>
      <c r="G69" s="766">
        <v>15100000</v>
      </c>
      <c r="H69" s="766">
        <v>0</v>
      </c>
      <c r="I69" s="766">
        <v>0</v>
      </c>
      <c r="J69" s="766">
        <v>0</v>
      </c>
      <c r="K69" s="766">
        <v>0</v>
      </c>
      <c r="L69" s="766">
        <f>M69+O69</f>
        <v>8800000</v>
      </c>
      <c r="M69" s="766">
        <v>8800000</v>
      </c>
      <c r="N69" s="766">
        <v>0</v>
      </c>
      <c r="O69" s="766">
        <v>0</v>
      </c>
      <c r="P69" s="797"/>
      <c r="Q69" s="797"/>
      <c r="R69" s="798"/>
      <c r="S69" s="798"/>
      <c r="T69" s="798"/>
    </row>
    <row r="70" spans="1:20" s="787" customFormat="1" ht="16.5" customHeight="1">
      <c r="A70" s="768" t="s">
        <v>41</v>
      </c>
      <c r="B70" s="769" t="s">
        <v>42</v>
      </c>
      <c r="C70" s="770">
        <f>C71+C72+C73+C74+C75+C76+C77+C78+C79+C80+C81+C82</f>
        <v>86045525</v>
      </c>
      <c r="D70" s="771">
        <f aca="true" t="shared" si="24" ref="D70:N70">D71+D72+D73+D74+D75+D76+D77+D78+D79+D80+D81+D82</f>
        <v>74103139</v>
      </c>
      <c r="E70" s="771">
        <f t="shared" si="24"/>
        <v>66162145</v>
      </c>
      <c r="F70" s="771">
        <f t="shared" si="24"/>
        <v>58474760</v>
      </c>
      <c r="G70" s="771">
        <f t="shared" si="24"/>
        <v>7687385</v>
      </c>
      <c r="H70" s="771">
        <f t="shared" si="24"/>
        <v>0</v>
      </c>
      <c r="I70" s="771">
        <f t="shared" si="24"/>
        <v>161764</v>
      </c>
      <c r="J70" s="771">
        <f t="shared" si="24"/>
        <v>7779230</v>
      </c>
      <c r="K70" s="771">
        <f t="shared" si="24"/>
        <v>0</v>
      </c>
      <c r="L70" s="771">
        <f t="shared" si="24"/>
        <v>11942386</v>
      </c>
      <c r="M70" s="771">
        <f t="shared" si="24"/>
        <v>11942386</v>
      </c>
      <c r="N70" s="771">
        <f t="shared" si="24"/>
        <v>8431439</v>
      </c>
      <c r="O70" s="771">
        <f>O71+O72+O73+O74+O75+O76+O77+O78+O79+O80+O81+O82</f>
        <v>0</v>
      </c>
      <c r="P70" s="785"/>
      <c r="Q70" s="785"/>
      <c r="R70" s="786"/>
      <c r="S70" s="786"/>
      <c r="T70" s="786"/>
    </row>
    <row r="71" spans="1:20" s="799" customFormat="1" ht="16.5" customHeight="1">
      <c r="A71" s="775" t="s">
        <v>174</v>
      </c>
      <c r="B71" s="776" t="s">
        <v>54</v>
      </c>
      <c r="C71" s="765">
        <f aca="true" t="shared" si="25" ref="C71:C82">D71+L71</f>
        <v>21412405</v>
      </c>
      <c r="D71" s="766">
        <f aca="true" t="shared" si="26" ref="D71:D82">E71+H71+I71+J71+K71</f>
        <v>21412405</v>
      </c>
      <c r="E71" s="766">
        <f aca="true" t="shared" si="27" ref="E71:E82">F71+G71</f>
        <v>21392509</v>
      </c>
      <c r="F71" s="766">
        <v>19969215</v>
      </c>
      <c r="G71" s="766">
        <v>1423294</v>
      </c>
      <c r="H71" s="766">
        <v>0</v>
      </c>
      <c r="I71" s="766">
        <v>19896</v>
      </c>
      <c r="J71" s="766">
        <v>0</v>
      </c>
      <c r="K71" s="766">
        <v>0</v>
      </c>
      <c r="L71" s="766">
        <f aca="true" t="shared" si="28" ref="L71:L82">M71+O71</f>
        <v>0</v>
      </c>
      <c r="M71" s="766">
        <v>0</v>
      </c>
      <c r="N71" s="766">
        <v>0</v>
      </c>
      <c r="O71" s="766">
        <v>0</v>
      </c>
      <c r="P71" s="797"/>
      <c r="Q71" s="797"/>
      <c r="R71" s="798"/>
      <c r="S71" s="798"/>
      <c r="T71" s="798"/>
    </row>
    <row r="72" spans="1:20" s="799" customFormat="1" ht="16.5" customHeight="1">
      <c r="A72" s="775" t="s">
        <v>175</v>
      </c>
      <c r="B72" s="776" t="s">
        <v>176</v>
      </c>
      <c r="C72" s="765">
        <f t="shared" si="25"/>
        <v>1114580</v>
      </c>
      <c r="D72" s="766">
        <f t="shared" si="26"/>
        <v>1114580</v>
      </c>
      <c r="E72" s="766">
        <f t="shared" si="27"/>
        <v>326142</v>
      </c>
      <c r="F72" s="766">
        <v>311921</v>
      </c>
      <c r="G72" s="766">
        <v>14221</v>
      </c>
      <c r="H72" s="766">
        <v>0</v>
      </c>
      <c r="I72" s="766">
        <v>958</v>
      </c>
      <c r="J72" s="766">
        <v>787480</v>
      </c>
      <c r="K72" s="766">
        <v>0</v>
      </c>
      <c r="L72" s="766">
        <f t="shared" si="28"/>
        <v>0</v>
      </c>
      <c r="M72" s="766">
        <v>0</v>
      </c>
      <c r="N72" s="766">
        <v>0</v>
      </c>
      <c r="O72" s="766">
        <v>0</v>
      </c>
      <c r="P72" s="797"/>
      <c r="Q72" s="797"/>
      <c r="R72" s="798"/>
      <c r="S72" s="798"/>
      <c r="T72" s="798"/>
    </row>
    <row r="73" spans="1:20" s="799" customFormat="1" ht="16.5" customHeight="1">
      <c r="A73" s="802" t="s">
        <v>177</v>
      </c>
      <c r="B73" s="803" t="s">
        <v>178</v>
      </c>
      <c r="C73" s="765">
        <f t="shared" si="25"/>
        <v>16500</v>
      </c>
      <c r="D73" s="766">
        <f t="shared" si="26"/>
        <v>16500</v>
      </c>
      <c r="E73" s="766">
        <f t="shared" si="27"/>
        <v>16500</v>
      </c>
      <c r="F73" s="766">
        <v>0</v>
      </c>
      <c r="G73" s="766">
        <v>16500</v>
      </c>
      <c r="H73" s="766">
        <v>0</v>
      </c>
      <c r="I73" s="766">
        <v>0</v>
      </c>
      <c r="J73" s="766">
        <v>0</v>
      </c>
      <c r="K73" s="766">
        <v>0</v>
      </c>
      <c r="L73" s="766">
        <f t="shared" si="28"/>
        <v>0</v>
      </c>
      <c r="M73" s="766">
        <v>0</v>
      </c>
      <c r="N73" s="766">
        <v>0</v>
      </c>
      <c r="O73" s="766">
        <v>0</v>
      </c>
      <c r="P73" s="797"/>
      <c r="Q73" s="797"/>
      <c r="R73" s="798"/>
      <c r="S73" s="798"/>
      <c r="T73" s="798"/>
    </row>
    <row r="74" spans="1:20" s="799" customFormat="1" ht="16.5" customHeight="1">
      <c r="A74" s="802" t="s">
        <v>179</v>
      </c>
      <c r="B74" s="803" t="s">
        <v>100</v>
      </c>
      <c r="C74" s="765">
        <f t="shared" si="25"/>
        <v>9941124</v>
      </c>
      <c r="D74" s="766">
        <f t="shared" si="26"/>
        <v>6436864</v>
      </c>
      <c r="E74" s="766">
        <f t="shared" si="27"/>
        <v>6351792</v>
      </c>
      <c r="F74" s="766">
        <v>4931816</v>
      </c>
      <c r="G74" s="766">
        <v>1419976</v>
      </c>
      <c r="H74" s="766">
        <v>0</v>
      </c>
      <c r="I74" s="766">
        <v>11200</v>
      </c>
      <c r="J74" s="766">
        <f>49881+8802+2602+460+9022+1592+1286+227</f>
        <v>73872</v>
      </c>
      <c r="K74" s="766">
        <v>0</v>
      </c>
      <c r="L74" s="766">
        <f t="shared" si="28"/>
        <v>3504260</v>
      </c>
      <c r="M74" s="766">
        <v>3504260</v>
      </c>
      <c r="N74" s="766">
        <f>1949397+344011</f>
        <v>2293408</v>
      </c>
      <c r="O74" s="766">
        <v>0</v>
      </c>
      <c r="P74" s="797"/>
      <c r="Q74" s="797"/>
      <c r="R74" s="798"/>
      <c r="S74" s="798"/>
      <c r="T74" s="798"/>
    </row>
    <row r="75" spans="1:20" s="799" customFormat="1" ht="16.5" customHeight="1">
      <c r="A75" s="775" t="s">
        <v>180</v>
      </c>
      <c r="B75" s="783" t="s">
        <v>55</v>
      </c>
      <c r="C75" s="765">
        <f t="shared" si="25"/>
        <v>3129856</v>
      </c>
      <c r="D75" s="766">
        <f t="shared" si="26"/>
        <v>3129856</v>
      </c>
      <c r="E75" s="766">
        <f t="shared" si="27"/>
        <v>3123936</v>
      </c>
      <c r="F75" s="766">
        <v>2926525</v>
      </c>
      <c r="G75" s="766">
        <v>197411</v>
      </c>
      <c r="H75" s="766">
        <v>0</v>
      </c>
      <c r="I75" s="766">
        <v>5920</v>
      </c>
      <c r="J75" s="766">
        <v>0</v>
      </c>
      <c r="K75" s="766">
        <v>0</v>
      </c>
      <c r="L75" s="766">
        <f t="shared" si="28"/>
        <v>0</v>
      </c>
      <c r="M75" s="766">
        <v>0</v>
      </c>
      <c r="N75" s="766">
        <v>0</v>
      </c>
      <c r="O75" s="766">
        <v>0</v>
      </c>
      <c r="P75" s="797"/>
      <c r="Q75" s="797"/>
      <c r="R75" s="798"/>
      <c r="S75" s="798"/>
      <c r="T75" s="798"/>
    </row>
    <row r="76" spans="1:20" s="799" customFormat="1" ht="16.5" customHeight="1">
      <c r="A76" s="775" t="s">
        <v>181</v>
      </c>
      <c r="B76" s="776" t="s">
        <v>56</v>
      </c>
      <c r="C76" s="765">
        <f t="shared" si="25"/>
        <v>14164063</v>
      </c>
      <c r="D76" s="766">
        <f t="shared" si="26"/>
        <v>14164063</v>
      </c>
      <c r="E76" s="766">
        <f t="shared" si="27"/>
        <v>14155163</v>
      </c>
      <c r="F76" s="766">
        <v>12944327</v>
      </c>
      <c r="G76" s="766">
        <v>1210836</v>
      </c>
      <c r="H76" s="766">
        <v>0</v>
      </c>
      <c r="I76" s="766">
        <v>8900</v>
      </c>
      <c r="J76" s="766">
        <v>0</v>
      </c>
      <c r="K76" s="766">
        <v>0</v>
      </c>
      <c r="L76" s="766">
        <f t="shared" si="28"/>
        <v>0</v>
      </c>
      <c r="M76" s="766">
        <v>0</v>
      </c>
      <c r="N76" s="766">
        <v>0</v>
      </c>
      <c r="O76" s="766">
        <v>0</v>
      </c>
      <c r="P76" s="797"/>
      <c r="Q76" s="797"/>
      <c r="R76" s="798"/>
      <c r="S76" s="798"/>
      <c r="T76" s="798"/>
    </row>
    <row r="77" spans="1:20" s="757" customFormat="1" ht="32.25" customHeight="1">
      <c r="A77" s="775" t="s">
        <v>182</v>
      </c>
      <c r="B77" s="776" t="s">
        <v>352</v>
      </c>
      <c r="C77" s="765">
        <f t="shared" si="25"/>
        <v>9238205</v>
      </c>
      <c r="D77" s="766">
        <f t="shared" si="26"/>
        <v>2673691</v>
      </c>
      <c r="E77" s="766">
        <f t="shared" si="27"/>
        <v>2541520</v>
      </c>
      <c r="F77" s="766">
        <v>2265334</v>
      </c>
      <c r="G77" s="766">
        <v>276186</v>
      </c>
      <c r="H77" s="766">
        <v>0</v>
      </c>
      <c r="I77" s="766">
        <v>2000</v>
      </c>
      <c r="J77" s="766">
        <v>130171</v>
      </c>
      <c r="K77" s="766">
        <v>0</v>
      </c>
      <c r="L77" s="766">
        <f t="shared" si="28"/>
        <v>6564514</v>
      </c>
      <c r="M77" s="766">
        <v>6564514</v>
      </c>
      <c r="N77" s="766">
        <f>4284356+756063</f>
        <v>5040419</v>
      </c>
      <c r="O77" s="766">
        <v>0</v>
      </c>
      <c r="P77" s="777"/>
      <c r="Q77" s="777"/>
      <c r="R77" s="767"/>
      <c r="S77" s="767"/>
      <c r="T77" s="767"/>
    </row>
    <row r="78" spans="1:20" s="799" customFormat="1" ht="16.5" customHeight="1">
      <c r="A78" s="775" t="s">
        <v>183</v>
      </c>
      <c r="B78" s="776" t="s">
        <v>57</v>
      </c>
      <c r="C78" s="765">
        <f t="shared" si="25"/>
        <v>8765182</v>
      </c>
      <c r="D78" s="766">
        <f t="shared" si="26"/>
        <v>7989182</v>
      </c>
      <c r="E78" s="766">
        <f t="shared" si="27"/>
        <v>7980927</v>
      </c>
      <c r="F78" s="766">
        <v>6935229</v>
      </c>
      <c r="G78" s="766">
        <v>1045698</v>
      </c>
      <c r="H78" s="766">
        <v>0</v>
      </c>
      <c r="I78" s="766">
        <v>8255</v>
      </c>
      <c r="J78" s="766">
        <v>0</v>
      </c>
      <c r="K78" s="766">
        <v>0</v>
      </c>
      <c r="L78" s="766">
        <f t="shared" si="28"/>
        <v>776000</v>
      </c>
      <c r="M78" s="766">
        <v>776000</v>
      </c>
      <c r="N78" s="766">
        <v>0</v>
      </c>
      <c r="O78" s="766">
        <v>0</v>
      </c>
      <c r="P78" s="797"/>
      <c r="Q78" s="797"/>
      <c r="R78" s="798"/>
      <c r="S78" s="798"/>
      <c r="T78" s="798"/>
    </row>
    <row r="79" spans="1:20" s="799" customFormat="1" ht="16.5" customHeight="1">
      <c r="A79" s="775" t="s">
        <v>184</v>
      </c>
      <c r="B79" s="776" t="s">
        <v>58</v>
      </c>
      <c r="C79" s="765">
        <f t="shared" si="25"/>
        <v>7529798</v>
      </c>
      <c r="D79" s="766">
        <f t="shared" si="26"/>
        <v>7529798</v>
      </c>
      <c r="E79" s="766">
        <f t="shared" si="27"/>
        <v>7525163</v>
      </c>
      <c r="F79" s="766">
        <v>6516414</v>
      </c>
      <c r="G79" s="766">
        <v>1008749</v>
      </c>
      <c r="H79" s="766">
        <v>0</v>
      </c>
      <c r="I79" s="766">
        <v>4635</v>
      </c>
      <c r="J79" s="766">
        <v>0</v>
      </c>
      <c r="K79" s="766">
        <v>0</v>
      </c>
      <c r="L79" s="766">
        <f t="shared" si="28"/>
        <v>0</v>
      </c>
      <c r="M79" s="766">
        <v>0</v>
      </c>
      <c r="N79" s="766">
        <v>0</v>
      </c>
      <c r="O79" s="766">
        <v>0</v>
      </c>
      <c r="P79" s="797"/>
      <c r="Q79" s="797"/>
      <c r="R79" s="798"/>
      <c r="S79" s="798"/>
      <c r="T79" s="798"/>
    </row>
    <row r="80" spans="1:20" s="757" customFormat="1" ht="72" customHeight="1">
      <c r="A80" s="775" t="s">
        <v>185</v>
      </c>
      <c r="B80" s="776" t="s">
        <v>186</v>
      </c>
      <c r="C80" s="765">
        <f t="shared" si="25"/>
        <v>1511283</v>
      </c>
      <c r="D80" s="766">
        <f t="shared" si="26"/>
        <v>1511283</v>
      </c>
      <c r="E80" s="766">
        <f t="shared" si="27"/>
        <v>1511283</v>
      </c>
      <c r="F80" s="766">
        <v>1425674</v>
      </c>
      <c r="G80" s="766">
        <v>85609</v>
      </c>
      <c r="H80" s="766">
        <v>0</v>
      </c>
      <c r="I80" s="766">
        <v>0</v>
      </c>
      <c r="J80" s="766">
        <v>0</v>
      </c>
      <c r="K80" s="766">
        <v>0</v>
      </c>
      <c r="L80" s="766">
        <f t="shared" si="28"/>
        <v>0</v>
      </c>
      <c r="M80" s="766">
        <v>0</v>
      </c>
      <c r="N80" s="766">
        <v>0</v>
      </c>
      <c r="O80" s="766">
        <v>0</v>
      </c>
      <c r="P80" s="777"/>
      <c r="Q80" s="777"/>
      <c r="R80" s="767"/>
      <c r="S80" s="767"/>
      <c r="T80" s="767"/>
    </row>
    <row r="81" spans="1:20" s="799" customFormat="1" ht="16.5" customHeight="1">
      <c r="A81" s="775" t="s">
        <v>187</v>
      </c>
      <c r="B81" s="776" t="s">
        <v>101</v>
      </c>
      <c r="C81" s="765">
        <f t="shared" si="25"/>
        <v>120077</v>
      </c>
      <c r="D81" s="766">
        <f t="shared" si="26"/>
        <v>120077</v>
      </c>
      <c r="E81" s="766">
        <f t="shared" si="27"/>
        <v>120077</v>
      </c>
      <c r="F81" s="766">
        <v>120077</v>
      </c>
      <c r="G81" s="766">
        <v>0</v>
      </c>
      <c r="H81" s="766">
        <v>0</v>
      </c>
      <c r="I81" s="766">
        <v>0</v>
      </c>
      <c r="J81" s="766">
        <v>0</v>
      </c>
      <c r="K81" s="766">
        <v>0</v>
      </c>
      <c r="L81" s="766">
        <f t="shared" si="28"/>
        <v>0</v>
      </c>
      <c r="M81" s="766">
        <v>0</v>
      </c>
      <c r="N81" s="766">
        <v>0</v>
      </c>
      <c r="O81" s="766">
        <v>0</v>
      </c>
      <c r="P81" s="797"/>
      <c r="Q81" s="797"/>
      <c r="R81" s="798"/>
      <c r="S81" s="798"/>
      <c r="T81" s="798"/>
    </row>
    <row r="82" spans="1:20" s="799" customFormat="1" ht="16.5" customHeight="1">
      <c r="A82" s="775" t="s">
        <v>188</v>
      </c>
      <c r="B82" s="776" t="s">
        <v>73</v>
      </c>
      <c r="C82" s="765">
        <f t="shared" si="25"/>
        <v>9102452</v>
      </c>
      <c r="D82" s="766">
        <f t="shared" si="26"/>
        <v>8004840</v>
      </c>
      <c r="E82" s="766">
        <f t="shared" si="27"/>
        <v>1117133</v>
      </c>
      <c r="F82" s="766">
        <v>128228</v>
      </c>
      <c r="G82" s="766">
        <v>988905</v>
      </c>
      <c r="H82" s="766">
        <v>0</v>
      </c>
      <c r="I82" s="766">
        <v>100000</v>
      </c>
      <c r="J82" s="766">
        <v>6787707</v>
      </c>
      <c r="K82" s="766">
        <v>0</v>
      </c>
      <c r="L82" s="766">
        <f t="shared" si="28"/>
        <v>1097612</v>
      </c>
      <c r="M82" s="766">
        <v>1097612</v>
      </c>
      <c r="N82" s="766">
        <v>1097612</v>
      </c>
      <c r="O82" s="766">
        <v>0</v>
      </c>
      <c r="P82" s="797"/>
      <c r="Q82" s="797"/>
      <c r="R82" s="798"/>
      <c r="S82" s="798"/>
      <c r="T82" s="798"/>
    </row>
    <row r="83" spans="1:20" s="787" customFormat="1" ht="16.5" customHeight="1">
      <c r="A83" s="804" t="s">
        <v>43</v>
      </c>
      <c r="B83" s="769" t="s">
        <v>44</v>
      </c>
      <c r="C83" s="794">
        <f>C84+C86+C87+C88+C89+C90+C91+C92+C85</f>
        <v>38800952</v>
      </c>
      <c r="D83" s="771">
        <f aca="true" t="shared" si="29" ref="D83:O83">D84+D86+D87+D88+D89+D90+D91+D92+D85</f>
        <v>8487183</v>
      </c>
      <c r="E83" s="771">
        <f t="shared" si="29"/>
        <v>3698114</v>
      </c>
      <c r="F83" s="771">
        <f t="shared" si="29"/>
        <v>18000</v>
      </c>
      <c r="G83" s="771">
        <f t="shared" si="29"/>
        <v>3680114</v>
      </c>
      <c r="H83" s="771">
        <f t="shared" si="29"/>
        <v>1785000</v>
      </c>
      <c r="I83" s="771">
        <f t="shared" si="29"/>
        <v>0</v>
      </c>
      <c r="J83" s="771">
        <f t="shared" si="29"/>
        <v>3004069</v>
      </c>
      <c r="K83" s="771">
        <f t="shared" si="29"/>
        <v>0</v>
      </c>
      <c r="L83" s="771">
        <f t="shared" si="29"/>
        <v>30313769</v>
      </c>
      <c r="M83" s="771">
        <f t="shared" si="29"/>
        <v>14351269</v>
      </c>
      <c r="N83" s="771">
        <f t="shared" si="29"/>
        <v>10607057</v>
      </c>
      <c r="O83" s="771">
        <f t="shared" si="29"/>
        <v>15962500</v>
      </c>
      <c r="P83" s="785"/>
      <c r="Q83" s="785"/>
      <c r="R83" s="786"/>
      <c r="S83" s="786"/>
      <c r="T83" s="786"/>
    </row>
    <row r="84" spans="1:20" s="799" customFormat="1" ht="16.5" customHeight="1">
      <c r="A84" s="805">
        <v>85111</v>
      </c>
      <c r="B84" s="776" t="s">
        <v>189</v>
      </c>
      <c r="C84" s="765">
        <f aca="true" t="shared" si="30" ref="C84:C92">D84+L84</f>
        <v>13517057</v>
      </c>
      <c r="D84" s="766">
        <f aca="true" t="shared" si="31" ref="D84:D92">E84+H84+I84+J84+K84</f>
        <v>0</v>
      </c>
      <c r="E84" s="766">
        <f aca="true" t="shared" si="32" ref="E84:E92">F84+G84</f>
        <v>0</v>
      </c>
      <c r="F84" s="766">
        <v>0</v>
      </c>
      <c r="G84" s="766">
        <v>0</v>
      </c>
      <c r="H84" s="766">
        <v>0</v>
      </c>
      <c r="I84" s="766">
        <v>0</v>
      </c>
      <c r="J84" s="766">
        <v>0</v>
      </c>
      <c r="K84" s="766">
        <v>0</v>
      </c>
      <c r="L84" s="766">
        <f aca="true" t="shared" si="33" ref="L84:L92">M84+O84</f>
        <v>13517057</v>
      </c>
      <c r="M84" s="766">
        <v>13517057</v>
      </c>
      <c r="N84" s="766">
        <v>10517057</v>
      </c>
      <c r="O84" s="766">
        <v>0</v>
      </c>
      <c r="P84" s="797"/>
      <c r="Q84" s="797"/>
      <c r="R84" s="798"/>
      <c r="S84" s="798"/>
      <c r="T84" s="798"/>
    </row>
    <row r="85" spans="1:20" s="799" customFormat="1" ht="16.5" customHeight="1">
      <c r="A85" s="805">
        <v>85120</v>
      </c>
      <c r="B85" s="776" t="s">
        <v>343</v>
      </c>
      <c r="C85" s="765">
        <f t="shared" si="30"/>
        <v>720000</v>
      </c>
      <c r="D85" s="766">
        <f t="shared" si="31"/>
        <v>0</v>
      </c>
      <c r="E85" s="766">
        <f t="shared" si="32"/>
        <v>0</v>
      </c>
      <c r="F85" s="766">
        <v>0</v>
      </c>
      <c r="G85" s="766">
        <v>0</v>
      </c>
      <c r="H85" s="766">
        <v>0</v>
      </c>
      <c r="I85" s="766">
        <v>0</v>
      </c>
      <c r="J85" s="766">
        <v>0</v>
      </c>
      <c r="K85" s="766">
        <v>0</v>
      </c>
      <c r="L85" s="766">
        <f>M85+O85</f>
        <v>720000</v>
      </c>
      <c r="M85" s="766">
        <v>720000</v>
      </c>
      <c r="N85" s="766">
        <v>0</v>
      </c>
      <c r="O85" s="766">
        <v>0</v>
      </c>
      <c r="P85" s="797"/>
      <c r="Q85" s="797"/>
      <c r="R85" s="798"/>
      <c r="S85" s="798"/>
      <c r="T85" s="798"/>
    </row>
    <row r="86" spans="1:20" s="799" customFormat="1" ht="16.5" customHeight="1">
      <c r="A86" s="805">
        <v>85141</v>
      </c>
      <c r="B86" s="776" t="s">
        <v>190</v>
      </c>
      <c r="C86" s="765">
        <f t="shared" si="30"/>
        <v>24212</v>
      </c>
      <c r="D86" s="766">
        <f t="shared" si="31"/>
        <v>0</v>
      </c>
      <c r="E86" s="766">
        <f t="shared" si="32"/>
        <v>0</v>
      </c>
      <c r="F86" s="766">
        <v>0</v>
      </c>
      <c r="G86" s="766">
        <v>0</v>
      </c>
      <c r="H86" s="766">
        <v>0</v>
      </c>
      <c r="I86" s="766">
        <v>0</v>
      </c>
      <c r="J86" s="766">
        <v>0</v>
      </c>
      <c r="K86" s="766">
        <v>0</v>
      </c>
      <c r="L86" s="766">
        <f t="shared" si="33"/>
        <v>24212</v>
      </c>
      <c r="M86" s="766">
        <v>24212</v>
      </c>
      <c r="N86" s="766">
        <v>0</v>
      </c>
      <c r="O86" s="766">
        <v>0</v>
      </c>
      <c r="P86" s="797"/>
      <c r="Q86" s="797"/>
      <c r="R86" s="798"/>
      <c r="S86" s="798"/>
      <c r="T86" s="798"/>
    </row>
    <row r="87" spans="1:20" s="799" customFormat="1" ht="16.5" customHeight="1">
      <c r="A87" s="805">
        <v>85148</v>
      </c>
      <c r="B87" s="776" t="s">
        <v>191</v>
      </c>
      <c r="C87" s="765">
        <f t="shared" si="30"/>
        <v>3435114</v>
      </c>
      <c r="D87" s="766">
        <f t="shared" si="31"/>
        <v>3435114</v>
      </c>
      <c r="E87" s="766">
        <f t="shared" si="32"/>
        <v>3435114</v>
      </c>
      <c r="F87" s="766">
        <v>0</v>
      </c>
      <c r="G87" s="766">
        <v>3435114</v>
      </c>
      <c r="H87" s="766">
        <v>0</v>
      </c>
      <c r="I87" s="766">
        <v>0</v>
      </c>
      <c r="J87" s="766">
        <v>0</v>
      </c>
      <c r="K87" s="766">
        <v>0</v>
      </c>
      <c r="L87" s="766">
        <f t="shared" si="33"/>
        <v>0</v>
      </c>
      <c r="M87" s="766">
        <v>0</v>
      </c>
      <c r="N87" s="766">
        <v>0</v>
      </c>
      <c r="O87" s="766">
        <v>0</v>
      </c>
      <c r="P87" s="797"/>
      <c r="Q87" s="797"/>
      <c r="R87" s="798"/>
      <c r="S87" s="798"/>
      <c r="T87" s="798"/>
    </row>
    <row r="88" spans="1:20" s="799" customFormat="1" ht="16.5" customHeight="1">
      <c r="A88" s="805">
        <v>85149</v>
      </c>
      <c r="B88" s="776" t="s">
        <v>192</v>
      </c>
      <c r="C88" s="765">
        <f t="shared" si="30"/>
        <v>2685000</v>
      </c>
      <c r="D88" s="766">
        <f t="shared" si="31"/>
        <v>2660000</v>
      </c>
      <c r="E88" s="766">
        <f t="shared" si="32"/>
        <v>75000</v>
      </c>
      <c r="F88" s="766">
        <v>1000</v>
      </c>
      <c r="G88" s="766">
        <f>2000+2000+70000</f>
        <v>74000</v>
      </c>
      <c r="H88" s="766">
        <v>1075000</v>
      </c>
      <c r="I88" s="766">
        <v>0</v>
      </c>
      <c r="J88" s="766">
        <v>1510000</v>
      </c>
      <c r="K88" s="766">
        <v>0</v>
      </c>
      <c r="L88" s="766">
        <f t="shared" si="33"/>
        <v>25000</v>
      </c>
      <c r="M88" s="766">
        <v>25000</v>
      </c>
      <c r="N88" s="766">
        <v>25000</v>
      </c>
      <c r="O88" s="766">
        <v>0</v>
      </c>
      <c r="P88" s="797"/>
      <c r="Q88" s="797"/>
      <c r="R88" s="798"/>
      <c r="S88" s="798"/>
      <c r="T88" s="798"/>
    </row>
    <row r="89" spans="1:20" s="799" customFormat="1" ht="16.5" customHeight="1">
      <c r="A89" s="805">
        <v>85153</v>
      </c>
      <c r="B89" s="776" t="s">
        <v>193</v>
      </c>
      <c r="C89" s="765">
        <f t="shared" si="30"/>
        <v>480000</v>
      </c>
      <c r="D89" s="766">
        <f t="shared" si="31"/>
        <v>480000</v>
      </c>
      <c r="E89" s="766">
        <f t="shared" si="32"/>
        <v>130000</v>
      </c>
      <c r="F89" s="766">
        <v>14000</v>
      </c>
      <c r="G89" s="766">
        <f>11000+7000+98000</f>
        <v>116000</v>
      </c>
      <c r="H89" s="766">
        <v>350000</v>
      </c>
      <c r="I89" s="766">
        <v>0</v>
      </c>
      <c r="J89" s="766">
        <v>0</v>
      </c>
      <c r="K89" s="766">
        <v>0</v>
      </c>
      <c r="L89" s="766">
        <f t="shared" si="33"/>
        <v>0</v>
      </c>
      <c r="M89" s="766">
        <v>0</v>
      </c>
      <c r="N89" s="766">
        <v>0</v>
      </c>
      <c r="O89" s="766">
        <v>0</v>
      </c>
      <c r="P89" s="797"/>
      <c r="Q89" s="797"/>
      <c r="R89" s="798"/>
      <c r="S89" s="798"/>
      <c r="T89" s="798"/>
    </row>
    <row r="90" spans="1:20" s="799" customFormat="1" ht="16.5" customHeight="1">
      <c r="A90" s="805">
        <v>85154</v>
      </c>
      <c r="B90" s="776" t="s">
        <v>194</v>
      </c>
      <c r="C90" s="765">
        <f t="shared" si="30"/>
        <v>390000</v>
      </c>
      <c r="D90" s="766">
        <f t="shared" si="31"/>
        <v>390000</v>
      </c>
      <c r="E90" s="766">
        <f t="shared" si="32"/>
        <v>30000</v>
      </c>
      <c r="F90" s="766">
        <v>3000</v>
      </c>
      <c r="G90" s="766">
        <v>27000</v>
      </c>
      <c r="H90" s="766">
        <v>360000</v>
      </c>
      <c r="I90" s="766">
        <v>0</v>
      </c>
      <c r="J90" s="766">
        <v>0</v>
      </c>
      <c r="K90" s="766">
        <v>0</v>
      </c>
      <c r="L90" s="766">
        <f t="shared" si="33"/>
        <v>0</v>
      </c>
      <c r="M90" s="766">
        <v>0</v>
      </c>
      <c r="N90" s="766">
        <v>0</v>
      </c>
      <c r="O90" s="766">
        <v>0</v>
      </c>
      <c r="P90" s="797"/>
      <c r="Q90" s="797"/>
      <c r="R90" s="798"/>
      <c r="S90" s="798"/>
      <c r="T90" s="798"/>
    </row>
    <row r="91" spans="1:20" s="757" customFormat="1" ht="41.25" customHeight="1">
      <c r="A91" s="805">
        <v>85156</v>
      </c>
      <c r="B91" s="776" t="s">
        <v>59</v>
      </c>
      <c r="C91" s="765">
        <f t="shared" si="30"/>
        <v>16000</v>
      </c>
      <c r="D91" s="766">
        <f t="shared" si="31"/>
        <v>16000</v>
      </c>
      <c r="E91" s="766">
        <f t="shared" si="32"/>
        <v>16000</v>
      </c>
      <c r="F91" s="766">
        <v>0</v>
      </c>
      <c r="G91" s="766">
        <v>16000</v>
      </c>
      <c r="H91" s="766">
        <v>0</v>
      </c>
      <c r="I91" s="766">
        <v>0</v>
      </c>
      <c r="J91" s="766">
        <v>0</v>
      </c>
      <c r="K91" s="766">
        <v>0</v>
      </c>
      <c r="L91" s="766">
        <f t="shared" si="33"/>
        <v>0</v>
      </c>
      <c r="M91" s="766">
        <v>0</v>
      </c>
      <c r="N91" s="766">
        <v>0</v>
      </c>
      <c r="O91" s="766">
        <v>0</v>
      </c>
      <c r="P91" s="777"/>
      <c r="Q91" s="777"/>
      <c r="R91" s="767"/>
      <c r="S91" s="767"/>
      <c r="T91" s="767"/>
    </row>
    <row r="92" spans="1:20" s="799" customFormat="1" ht="16.5" customHeight="1">
      <c r="A92" s="805">
        <v>85195</v>
      </c>
      <c r="B92" s="776" t="s">
        <v>73</v>
      </c>
      <c r="C92" s="765">
        <f t="shared" si="30"/>
        <v>17533569</v>
      </c>
      <c r="D92" s="766">
        <f t="shared" si="31"/>
        <v>1506069</v>
      </c>
      <c r="E92" s="766">
        <f t="shared" si="32"/>
        <v>12000</v>
      </c>
      <c r="F92" s="766">
        <v>0</v>
      </c>
      <c r="G92" s="766">
        <v>12000</v>
      </c>
      <c r="H92" s="766">
        <v>0</v>
      </c>
      <c r="I92" s="766">
        <v>0</v>
      </c>
      <c r="J92" s="766">
        <v>1494069</v>
      </c>
      <c r="K92" s="766">
        <v>0</v>
      </c>
      <c r="L92" s="766">
        <f t="shared" si="33"/>
        <v>16027500</v>
      </c>
      <c r="M92" s="766">
        <v>65000</v>
      </c>
      <c r="N92" s="766">
        <v>65000</v>
      </c>
      <c r="O92" s="766">
        <v>15962500</v>
      </c>
      <c r="P92" s="797"/>
      <c r="Q92" s="797"/>
      <c r="R92" s="798"/>
      <c r="S92" s="798"/>
      <c r="T92" s="798"/>
    </row>
    <row r="93" spans="1:20" s="787" customFormat="1" ht="16.5" customHeight="1">
      <c r="A93" s="804">
        <v>852</v>
      </c>
      <c r="B93" s="769" t="s">
        <v>45</v>
      </c>
      <c r="C93" s="770">
        <f aca="true" t="shared" si="34" ref="C93:O93">C94+C95+C96+C98+C97</f>
        <v>26974573</v>
      </c>
      <c r="D93" s="771">
        <f t="shared" si="34"/>
        <v>24741015</v>
      </c>
      <c r="E93" s="771">
        <f t="shared" si="34"/>
        <v>3111796</v>
      </c>
      <c r="F93" s="771">
        <f t="shared" si="34"/>
        <v>2325690</v>
      </c>
      <c r="G93" s="771">
        <f t="shared" si="34"/>
        <v>786106</v>
      </c>
      <c r="H93" s="771">
        <f t="shared" si="34"/>
        <v>30000</v>
      </c>
      <c r="I93" s="771">
        <f t="shared" si="34"/>
        <v>48900</v>
      </c>
      <c r="J93" s="771">
        <f t="shared" si="34"/>
        <v>21550319</v>
      </c>
      <c r="K93" s="771">
        <f t="shared" si="34"/>
        <v>0</v>
      </c>
      <c r="L93" s="771">
        <f t="shared" si="34"/>
        <v>2233558</v>
      </c>
      <c r="M93" s="771">
        <f t="shared" si="34"/>
        <v>2233558</v>
      </c>
      <c r="N93" s="771">
        <f t="shared" si="34"/>
        <v>2183422</v>
      </c>
      <c r="O93" s="771">
        <f t="shared" si="34"/>
        <v>0</v>
      </c>
      <c r="P93" s="785"/>
      <c r="Q93" s="785"/>
      <c r="R93" s="786"/>
      <c r="S93" s="786"/>
      <c r="T93" s="786"/>
    </row>
    <row r="94" spans="1:20" s="799" customFormat="1" ht="16.5" customHeight="1">
      <c r="A94" s="805">
        <v>85203</v>
      </c>
      <c r="B94" s="776" t="s">
        <v>195</v>
      </c>
      <c r="C94" s="765">
        <f>D94+L94</f>
        <v>1500000</v>
      </c>
      <c r="D94" s="766">
        <f>E94+H94+I94+J94+K94</f>
        <v>1500000</v>
      </c>
      <c r="E94" s="766">
        <f>F94+G94</f>
        <v>0</v>
      </c>
      <c r="F94" s="766">
        <v>0</v>
      </c>
      <c r="G94" s="766">
        <v>0</v>
      </c>
      <c r="H94" s="766">
        <v>0</v>
      </c>
      <c r="I94" s="766">
        <v>0</v>
      </c>
      <c r="J94" s="766">
        <v>1500000</v>
      </c>
      <c r="K94" s="766">
        <v>0</v>
      </c>
      <c r="L94" s="766">
        <f>M94+O94</f>
        <v>0</v>
      </c>
      <c r="M94" s="766">
        <v>0</v>
      </c>
      <c r="N94" s="766">
        <v>0</v>
      </c>
      <c r="O94" s="766">
        <v>0</v>
      </c>
      <c r="P94" s="797"/>
      <c r="Q94" s="797"/>
      <c r="R94" s="798"/>
      <c r="S94" s="798"/>
      <c r="T94" s="798"/>
    </row>
    <row r="95" spans="1:20" s="757" customFormat="1" ht="28.5" customHeight="1">
      <c r="A95" s="805">
        <v>85205</v>
      </c>
      <c r="B95" s="776" t="s">
        <v>86</v>
      </c>
      <c r="C95" s="765">
        <f>D95+L95</f>
        <v>500000</v>
      </c>
      <c r="D95" s="766">
        <f>E95+H95+I95+J95+K95</f>
        <v>500000</v>
      </c>
      <c r="E95" s="766">
        <f>F95+G95</f>
        <v>470000</v>
      </c>
      <c r="F95" s="766">
        <v>185500</v>
      </c>
      <c r="G95" s="766">
        <v>284500</v>
      </c>
      <c r="H95" s="766">
        <v>30000</v>
      </c>
      <c r="I95" s="766">
        <v>0</v>
      </c>
      <c r="J95" s="766">
        <v>0</v>
      </c>
      <c r="K95" s="766">
        <v>0</v>
      </c>
      <c r="L95" s="766">
        <f>M95+O95</f>
        <v>0</v>
      </c>
      <c r="M95" s="766">
        <v>0</v>
      </c>
      <c r="N95" s="766">
        <v>0</v>
      </c>
      <c r="O95" s="766">
        <v>0</v>
      </c>
      <c r="P95" s="777"/>
      <c r="Q95" s="777"/>
      <c r="R95" s="767"/>
      <c r="S95" s="767"/>
      <c r="T95" s="767"/>
    </row>
    <row r="96" spans="1:20" s="799" customFormat="1" ht="16.5" customHeight="1">
      <c r="A96" s="805">
        <v>85217</v>
      </c>
      <c r="B96" s="776" t="s">
        <v>60</v>
      </c>
      <c r="C96" s="765">
        <f>D96+L96</f>
        <v>3280827</v>
      </c>
      <c r="D96" s="766">
        <f>E96+H96+I96+J96+K96</f>
        <v>2630696</v>
      </c>
      <c r="E96" s="766">
        <f>F96+G96</f>
        <v>2626796</v>
      </c>
      <c r="F96" s="766">
        <v>2130190</v>
      </c>
      <c r="G96" s="766">
        <v>496606</v>
      </c>
      <c r="H96" s="766">
        <v>0</v>
      </c>
      <c r="I96" s="766">
        <v>3900</v>
      </c>
      <c r="J96" s="766">
        <v>0</v>
      </c>
      <c r="K96" s="766">
        <v>0</v>
      </c>
      <c r="L96" s="766">
        <f>M96+O96</f>
        <v>650131</v>
      </c>
      <c r="M96" s="766">
        <v>650131</v>
      </c>
      <c r="N96" s="766">
        <f>509996+89999</f>
        <v>599995</v>
      </c>
      <c r="O96" s="766">
        <v>0</v>
      </c>
      <c r="P96" s="797"/>
      <c r="Q96" s="797"/>
      <c r="R96" s="798"/>
      <c r="S96" s="798"/>
      <c r="T96" s="798"/>
    </row>
    <row r="97" spans="1:20" s="757" customFormat="1" ht="28.5" customHeight="1">
      <c r="A97" s="805">
        <v>85228</v>
      </c>
      <c r="B97" s="776" t="s">
        <v>196</v>
      </c>
      <c r="C97" s="765">
        <f>D97+L97</f>
        <v>115000</v>
      </c>
      <c r="D97" s="766">
        <f>E97+H97+I97+J97+K97</f>
        <v>115000</v>
      </c>
      <c r="E97" s="766">
        <f>F97+G97</f>
        <v>0</v>
      </c>
      <c r="F97" s="766">
        <v>0</v>
      </c>
      <c r="G97" s="766">
        <v>0</v>
      </c>
      <c r="H97" s="766">
        <v>0</v>
      </c>
      <c r="I97" s="766">
        <v>0</v>
      </c>
      <c r="J97" s="766">
        <v>115000</v>
      </c>
      <c r="K97" s="766">
        <v>0</v>
      </c>
      <c r="L97" s="766">
        <f>M97+O97</f>
        <v>0</v>
      </c>
      <c r="M97" s="766">
        <v>0</v>
      </c>
      <c r="N97" s="766">
        <v>0</v>
      </c>
      <c r="O97" s="766">
        <v>0</v>
      </c>
      <c r="P97" s="777"/>
      <c r="Q97" s="777"/>
      <c r="R97" s="767"/>
      <c r="S97" s="767"/>
      <c r="T97" s="767"/>
    </row>
    <row r="98" spans="1:20" s="799" customFormat="1" ht="16.5" customHeight="1">
      <c r="A98" s="805">
        <v>85295</v>
      </c>
      <c r="B98" s="776" t="s">
        <v>73</v>
      </c>
      <c r="C98" s="765">
        <f>D98+L98</f>
        <v>21578746</v>
      </c>
      <c r="D98" s="766">
        <f>E98+H98+I98+J98+K98</f>
        <v>19995319</v>
      </c>
      <c r="E98" s="766">
        <f>F98+G98</f>
        <v>15000</v>
      </c>
      <c r="F98" s="766">
        <v>10000</v>
      </c>
      <c r="G98" s="766">
        <f>5000</f>
        <v>5000</v>
      </c>
      <c r="H98" s="766">
        <v>0</v>
      </c>
      <c r="I98" s="766">
        <v>45000</v>
      </c>
      <c r="J98" s="766">
        <v>19935319</v>
      </c>
      <c r="K98" s="766">
        <v>0</v>
      </c>
      <c r="L98" s="766">
        <f>M98+O98</f>
        <v>1583427</v>
      </c>
      <c r="M98" s="766">
        <v>1583427</v>
      </c>
      <c r="N98" s="766">
        <v>1583427</v>
      </c>
      <c r="O98" s="766">
        <v>0</v>
      </c>
      <c r="P98" s="797"/>
      <c r="Q98" s="797"/>
      <c r="R98" s="798"/>
      <c r="S98" s="798"/>
      <c r="T98" s="798"/>
    </row>
    <row r="99" spans="1:20" s="787" customFormat="1" ht="30.75" customHeight="1">
      <c r="A99" s="804">
        <v>853</v>
      </c>
      <c r="B99" s="769" t="s">
        <v>61</v>
      </c>
      <c r="C99" s="770">
        <f aca="true" t="shared" si="35" ref="C99:O99">C100+C101+C103+C104+C102</f>
        <v>22593516</v>
      </c>
      <c r="D99" s="771">
        <f t="shared" si="35"/>
        <v>22485516</v>
      </c>
      <c r="E99" s="771">
        <f t="shared" si="35"/>
        <v>10466960</v>
      </c>
      <c r="F99" s="771">
        <f t="shared" si="35"/>
        <v>8395483</v>
      </c>
      <c r="G99" s="771">
        <f t="shared" si="35"/>
        <v>2071477</v>
      </c>
      <c r="H99" s="771">
        <f t="shared" si="35"/>
        <v>544000</v>
      </c>
      <c r="I99" s="771">
        <f t="shared" si="35"/>
        <v>34000</v>
      </c>
      <c r="J99" s="771">
        <f t="shared" si="35"/>
        <v>11440556</v>
      </c>
      <c r="K99" s="771">
        <f t="shared" si="35"/>
        <v>0</v>
      </c>
      <c r="L99" s="771">
        <f t="shared" si="35"/>
        <v>108000</v>
      </c>
      <c r="M99" s="771">
        <f t="shared" si="35"/>
        <v>108000</v>
      </c>
      <c r="N99" s="771">
        <f t="shared" si="35"/>
        <v>48000</v>
      </c>
      <c r="O99" s="771">
        <f t="shared" si="35"/>
        <v>0</v>
      </c>
      <c r="P99" s="785"/>
      <c r="Q99" s="785"/>
      <c r="R99" s="786"/>
      <c r="S99" s="786"/>
      <c r="T99" s="786"/>
    </row>
    <row r="100" spans="1:20" s="757" customFormat="1" ht="30.75" customHeight="1">
      <c r="A100" s="805">
        <v>85311</v>
      </c>
      <c r="B100" s="776" t="s">
        <v>197</v>
      </c>
      <c r="C100" s="765">
        <f>D100+L100</f>
        <v>444000</v>
      </c>
      <c r="D100" s="766">
        <f>E100+H100+I100+J100+K100</f>
        <v>444000</v>
      </c>
      <c r="E100" s="766">
        <f>F100+G100</f>
        <v>0</v>
      </c>
      <c r="F100" s="766">
        <v>0</v>
      </c>
      <c r="G100" s="766">
        <v>0</v>
      </c>
      <c r="H100" s="766">
        <v>444000</v>
      </c>
      <c r="I100" s="766">
        <v>0</v>
      </c>
      <c r="J100" s="766">
        <v>0</v>
      </c>
      <c r="K100" s="766">
        <v>0</v>
      </c>
      <c r="L100" s="766">
        <f>M100+O100</f>
        <v>0</v>
      </c>
      <c r="M100" s="766">
        <v>0</v>
      </c>
      <c r="N100" s="766">
        <v>0</v>
      </c>
      <c r="O100" s="766">
        <v>0</v>
      </c>
      <c r="P100" s="777"/>
      <c r="Q100" s="777"/>
      <c r="R100" s="767"/>
      <c r="S100" s="767"/>
      <c r="T100" s="767"/>
    </row>
    <row r="101" spans="1:20" s="757" customFormat="1" ht="30.75" customHeight="1">
      <c r="A101" s="805">
        <v>85324</v>
      </c>
      <c r="B101" s="776" t="s">
        <v>62</v>
      </c>
      <c r="C101" s="765">
        <f>D101+L101</f>
        <v>256150</v>
      </c>
      <c r="D101" s="766">
        <f>E101+H101+I101+J101+K101</f>
        <v>256150</v>
      </c>
      <c r="E101" s="766">
        <f>F101+G101</f>
        <v>256150</v>
      </c>
      <c r="F101" s="766">
        <v>237150</v>
      </c>
      <c r="G101" s="766">
        <v>19000</v>
      </c>
      <c r="H101" s="766">
        <v>0</v>
      </c>
      <c r="I101" s="766">
        <v>0</v>
      </c>
      <c r="J101" s="766">
        <v>0</v>
      </c>
      <c r="K101" s="766">
        <v>0</v>
      </c>
      <c r="L101" s="766">
        <f>M101+O101</f>
        <v>0</v>
      </c>
      <c r="M101" s="766">
        <v>0</v>
      </c>
      <c r="N101" s="766">
        <v>0</v>
      </c>
      <c r="O101" s="766">
        <v>0</v>
      </c>
      <c r="P101" s="777"/>
      <c r="Q101" s="777"/>
      <c r="R101" s="767"/>
      <c r="S101" s="767"/>
      <c r="T101" s="767"/>
    </row>
    <row r="102" spans="1:20" s="757" customFormat="1" ht="30.75" customHeight="1">
      <c r="A102" s="805">
        <v>85325</v>
      </c>
      <c r="B102" s="776" t="s">
        <v>7</v>
      </c>
      <c r="C102" s="765">
        <f>D102+L102</f>
        <v>1300000</v>
      </c>
      <c r="D102" s="766">
        <f>E102+H102+I102+J102+K102</f>
        <v>1300000</v>
      </c>
      <c r="E102" s="766">
        <f>F102+G102</f>
        <v>1298000</v>
      </c>
      <c r="F102" s="766">
        <v>1021000</v>
      </c>
      <c r="G102" s="766">
        <v>277000</v>
      </c>
      <c r="H102" s="766">
        <v>0</v>
      </c>
      <c r="I102" s="766">
        <v>2000</v>
      </c>
      <c r="J102" s="766">
        <v>0</v>
      </c>
      <c r="K102" s="766">
        <v>0</v>
      </c>
      <c r="L102" s="766">
        <f>M102+O102</f>
        <v>0</v>
      </c>
      <c r="M102" s="766">
        <v>0</v>
      </c>
      <c r="N102" s="766">
        <v>0</v>
      </c>
      <c r="O102" s="766">
        <v>0</v>
      </c>
      <c r="P102" s="777"/>
      <c r="Q102" s="777"/>
      <c r="R102" s="767"/>
      <c r="S102" s="767"/>
      <c r="T102" s="767"/>
    </row>
    <row r="103" spans="1:20" s="799" customFormat="1" ht="16.5" customHeight="1">
      <c r="A103" s="805">
        <v>85332</v>
      </c>
      <c r="B103" s="776" t="s">
        <v>63</v>
      </c>
      <c r="C103" s="765">
        <f>D103+L103</f>
        <v>17303366</v>
      </c>
      <c r="D103" s="766">
        <f>E103+H103+I103+J103+K103</f>
        <v>17195366</v>
      </c>
      <c r="E103" s="766">
        <f>F103+G103</f>
        <v>8750810</v>
      </c>
      <c r="F103" s="766">
        <v>7137333</v>
      </c>
      <c r="G103" s="766">
        <f>34000+120000+2400+219000+103000+4000+335000+44000+1000+440000+14000+3000+10000+208077+28000+42000+6000</f>
        <v>1613477</v>
      </c>
      <c r="H103" s="766">
        <v>0</v>
      </c>
      <c r="I103" s="766">
        <v>11000</v>
      </c>
      <c r="J103" s="766">
        <v>8433556</v>
      </c>
      <c r="K103" s="766">
        <v>0</v>
      </c>
      <c r="L103" s="766">
        <f>M103+O103</f>
        <v>108000</v>
      </c>
      <c r="M103" s="766">
        <v>108000</v>
      </c>
      <c r="N103" s="766">
        <f>17895+2105+23598+4402</f>
        <v>48000</v>
      </c>
      <c r="O103" s="766">
        <v>0</v>
      </c>
      <c r="P103" s="797"/>
      <c r="Q103" s="797"/>
      <c r="R103" s="798"/>
      <c r="S103" s="798"/>
      <c r="T103" s="798"/>
    </row>
    <row r="104" spans="1:20" s="799" customFormat="1" ht="16.5" customHeight="1">
      <c r="A104" s="805">
        <v>85395</v>
      </c>
      <c r="B104" s="776" t="s">
        <v>73</v>
      </c>
      <c r="C104" s="765">
        <f>D104+L104</f>
        <v>3290000</v>
      </c>
      <c r="D104" s="766">
        <f>E104+H104+I104+J104+K104</f>
        <v>3290000</v>
      </c>
      <c r="E104" s="766">
        <f>F104+G104</f>
        <v>162000</v>
      </c>
      <c r="F104" s="766">
        <v>0</v>
      </c>
      <c r="G104" s="766">
        <f>3500+3500+155000</f>
        <v>162000</v>
      </c>
      <c r="H104" s="766">
        <v>100000</v>
      </c>
      <c r="I104" s="766">
        <v>21000</v>
      </c>
      <c r="J104" s="766">
        <f>2928464+78536</f>
        <v>3007000</v>
      </c>
      <c r="K104" s="766">
        <v>0</v>
      </c>
      <c r="L104" s="766">
        <f>M104+O104</f>
        <v>0</v>
      </c>
      <c r="M104" s="766">
        <v>0</v>
      </c>
      <c r="N104" s="766">
        <v>0</v>
      </c>
      <c r="O104" s="766">
        <v>0</v>
      </c>
      <c r="P104" s="797"/>
      <c r="Q104" s="797"/>
      <c r="R104" s="798"/>
      <c r="S104" s="798"/>
      <c r="T104" s="798"/>
    </row>
    <row r="105" spans="1:20" s="787" customFormat="1" ht="32.25" customHeight="1">
      <c r="A105" s="804">
        <v>854</v>
      </c>
      <c r="B105" s="769" t="s">
        <v>198</v>
      </c>
      <c r="C105" s="770">
        <f aca="true" t="shared" si="36" ref="C105:O105">C106+C108+C109+C110+C112+C113+C107+C111</f>
        <v>62154421</v>
      </c>
      <c r="D105" s="771">
        <f t="shared" si="36"/>
        <v>33603211</v>
      </c>
      <c r="E105" s="771">
        <f t="shared" si="36"/>
        <v>26430084</v>
      </c>
      <c r="F105" s="771">
        <f t="shared" si="36"/>
        <v>22653358</v>
      </c>
      <c r="G105" s="771">
        <f t="shared" si="36"/>
        <v>3776726</v>
      </c>
      <c r="H105" s="771">
        <f t="shared" si="36"/>
        <v>219000</v>
      </c>
      <c r="I105" s="771">
        <f t="shared" si="36"/>
        <v>59893</v>
      </c>
      <c r="J105" s="771">
        <f t="shared" si="36"/>
        <v>6894234</v>
      </c>
      <c r="K105" s="771">
        <f t="shared" si="36"/>
        <v>0</v>
      </c>
      <c r="L105" s="771">
        <f t="shared" si="36"/>
        <v>28551210</v>
      </c>
      <c r="M105" s="771">
        <f t="shared" si="36"/>
        <v>28551210</v>
      </c>
      <c r="N105" s="771">
        <f t="shared" si="36"/>
        <v>14708980</v>
      </c>
      <c r="O105" s="771">
        <f t="shared" si="36"/>
        <v>0</v>
      </c>
      <c r="P105" s="785"/>
      <c r="Q105" s="785"/>
      <c r="R105" s="786"/>
      <c r="S105" s="786"/>
      <c r="T105" s="786"/>
    </row>
    <row r="106" spans="1:20" s="799" customFormat="1" ht="16.5" customHeight="1">
      <c r="A106" s="805">
        <v>85403</v>
      </c>
      <c r="B106" s="776" t="s">
        <v>64</v>
      </c>
      <c r="C106" s="765">
        <f aca="true" t="shared" si="37" ref="C106:C113">D106+L106</f>
        <v>48609856</v>
      </c>
      <c r="D106" s="766">
        <f aca="true" t="shared" si="38" ref="D106:D113">E106+H106+I106+J106+K106</f>
        <v>20058646</v>
      </c>
      <c r="E106" s="766">
        <f aca="true" t="shared" si="39" ref="E106:E113">F106+G106</f>
        <v>19023362</v>
      </c>
      <c r="F106" s="766">
        <v>16194582</v>
      </c>
      <c r="G106" s="766">
        <v>2828780</v>
      </c>
      <c r="H106" s="766">
        <v>0</v>
      </c>
      <c r="I106" s="766">
        <v>8500</v>
      </c>
      <c r="J106" s="766">
        <f>473158+83498+21777+3845+85078+15014+11816+2084+32415+5720+23553+4157+224969+39700</f>
        <v>1026784</v>
      </c>
      <c r="K106" s="766">
        <v>0</v>
      </c>
      <c r="L106" s="766">
        <f aca="true" t="shared" si="40" ref="L106:L113">M106+O106</f>
        <v>28551210</v>
      </c>
      <c r="M106" s="766">
        <v>28551210</v>
      </c>
      <c r="N106" s="766">
        <f>12502634+2206346</f>
        <v>14708980</v>
      </c>
      <c r="O106" s="766">
        <v>0</v>
      </c>
      <c r="P106" s="797"/>
      <c r="Q106" s="797"/>
      <c r="R106" s="798"/>
      <c r="S106" s="798"/>
      <c r="T106" s="798"/>
    </row>
    <row r="107" spans="1:20" s="799" customFormat="1" ht="16.5" customHeight="1">
      <c r="A107" s="805">
        <v>85404</v>
      </c>
      <c r="B107" s="776" t="s">
        <v>87</v>
      </c>
      <c r="C107" s="765">
        <f t="shared" si="37"/>
        <v>1404716</v>
      </c>
      <c r="D107" s="766">
        <f t="shared" si="38"/>
        <v>1404716</v>
      </c>
      <c r="E107" s="766">
        <f t="shared" si="39"/>
        <v>1404716</v>
      </c>
      <c r="F107" s="766">
        <v>1300354</v>
      </c>
      <c r="G107" s="766">
        <v>104362</v>
      </c>
      <c r="H107" s="766">
        <v>0</v>
      </c>
      <c r="I107" s="766">
        <v>0</v>
      </c>
      <c r="J107" s="766">
        <v>0</v>
      </c>
      <c r="K107" s="766">
        <v>0</v>
      </c>
      <c r="L107" s="766">
        <f t="shared" si="40"/>
        <v>0</v>
      </c>
      <c r="M107" s="766">
        <v>0</v>
      </c>
      <c r="N107" s="766">
        <v>0</v>
      </c>
      <c r="O107" s="766">
        <v>0</v>
      </c>
      <c r="P107" s="797"/>
      <c r="Q107" s="797"/>
      <c r="R107" s="798"/>
      <c r="S107" s="798"/>
      <c r="T107" s="798"/>
    </row>
    <row r="108" spans="1:20" s="799" customFormat="1" ht="16.5" customHeight="1">
      <c r="A108" s="805">
        <v>85407</v>
      </c>
      <c r="B108" s="776" t="s">
        <v>65</v>
      </c>
      <c r="C108" s="765">
        <f t="shared" si="37"/>
        <v>4056505</v>
      </c>
      <c r="D108" s="766">
        <f t="shared" si="38"/>
        <v>4056505</v>
      </c>
      <c r="E108" s="766">
        <f t="shared" si="39"/>
        <v>4047612</v>
      </c>
      <c r="F108" s="766">
        <v>3893757</v>
      </c>
      <c r="G108" s="766">
        <v>153855</v>
      </c>
      <c r="H108" s="766">
        <v>0</v>
      </c>
      <c r="I108" s="766">
        <v>8893</v>
      </c>
      <c r="J108" s="766">
        <v>0</v>
      </c>
      <c r="K108" s="766">
        <v>0</v>
      </c>
      <c r="L108" s="766">
        <f t="shared" si="40"/>
        <v>0</v>
      </c>
      <c r="M108" s="766">
        <v>0</v>
      </c>
      <c r="N108" s="766">
        <v>0</v>
      </c>
      <c r="O108" s="766">
        <v>0</v>
      </c>
      <c r="P108" s="797"/>
      <c r="Q108" s="797"/>
      <c r="R108" s="798"/>
      <c r="S108" s="798"/>
      <c r="T108" s="798"/>
    </row>
    <row r="109" spans="1:20" s="799" customFormat="1" ht="16.5" customHeight="1">
      <c r="A109" s="805">
        <v>85410</v>
      </c>
      <c r="B109" s="776" t="s">
        <v>199</v>
      </c>
      <c r="C109" s="765">
        <f t="shared" si="37"/>
        <v>1551067</v>
      </c>
      <c r="D109" s="766">
        <f t="shared" si="38"/>
        <v>1551067</v>
      </c>
      <c r="E109" s="766">
        <f t="shared" si="39"/>
        <v>1548567</v>
      </c>
      <c r="F109" s="766">
        <v>1264665</v>
      </c>
      <c r="G109" s="766">
        <v>283902</v>
      </c>
      <c r="H109" s="766">
        <v>0</v>
      </c>
      <c r="I109" s="766">
        <v>2500</v>
      </c>
      <c r="J109" s="766">
        <v>0</v>
      </c>
      <c r="K109" s="766">
        <v>0</v>
      </c>
      <c r="L109" s="766">
        <f t="shared" si="40"/>
        <v>0</v>
      </c>
      <c r="M109" s="766">
        <v>0</v>
      </c>
      <c r="N109" s="766">
        <v>0</v>
      </c>
      <c r="O109" s="766">
        <v>0</v>
      </c>
      <c r="P109" s="797"/>
      <c r="Q109" s="797"/>
      <c r="R109" s="798"/>
      <c r="S109" s="798"/>
      <c r="T109" s="798"/>
    </row>
    <row r="110" spans="1:20" s="757" customFormat="1" ht="27.75" customHeight="1">
      <c r="A110" s="805">
        <v>85415</v>
      </c>
      <c r="B110" s="776" t="s">
        <v>200</v>
      </c>
      <c r="C110" s="765">
        <f t="shared" si="37"/>
        <v>219000</v>
      </c>
      <c r="D110" s="766">
        <f t="shared" si="38"/>
        <v>219000</v>
      </c>
      <c r="E110" s="766">
        <f t="shared" si="39"/>
        <v>0</v>
      </c>
      <c r="F110" s="766">
        <v>0</v>
      </c>
      <c r="G110" s="766">
        <v>0</v>
      </c>
      <c r="H110" s="766">
        <v>219000</v>
      </c>
      <c r="I110" s="766">
        <v>0</v>
      </c>
      <c r="J110" s="766">
        <v>0</v>
      </c>
      <c r="K110" s="766">
        <v>0</v>
      </c>
      <c r="L110" s="766">
        <f t="shared" si="40"/>
        <v>0</v>
      </c>
      <c r="M110" s="766">
        <v>0</v>
      </c>
      <c r="N110" s="766">
        <v>0</v>
      </c>
      <c r="O110" s="766">
        <v>0</v>
      </c>
      <c r="P110" s="777"/>
      <c r="Q110" s="777"/>
      <c r="R110" s="767"/>
      <c r="S110" s="767"/>
      <c r="T110" s="767"/>
    </row>
    <row r="111" spans="1:20" s="757" customFormat="1" ht="28.5" customHeight="1">
      <c r="A111" s="805">
        <v>85416</v>
      </c>
      <c r="B111" s="776" t="s">
        <v>201</v>
      </c>
      <c r="C111" s="765">
        <f t="shared" si="37"/>
        <v>5867450</v>
      </c>
      <c r="D111" s="766">
        <f t="shared" si="38"/>
        <v>5867450</v>
      </c>
      <c r="E111" s="766">
        <f t="shared" si="39"/>
        <v>0</v>
      </c>
      <c r="F111" s="766">
        <v>0</v>
      </c>
      <c r="G111" s="766">
        <v>0</v>
      </c>
      <c r="H111" s="766">
        <v>0</v>
      </c>
      <c r="I111" s="766">
        <v>0</v>
      </c>
      <c r="J111" s="766">
        <v>5867450</v>
      </c>
      <c r="K111" s="766">
        <v>0</v>
      </c>
      <c r="L111" s="766">
        <f t="shared" si="40"/>
        <v>0</v>
      </c>
      <c r="M111" s="766">
        <v>0</v>
      </c>
      <c r="N111" s="766">
        <v>0</v>
      </c>
      <c r="O111" s="766">
        <v>0</v>
      </c>
      <c r="P111" s="777"/>
      <c r="Q111" s="777"/>
      <c r="R111" s="767"/>
      <c r="S111" s="767"/>
      <c r="T111" s="767"/>
    </row>
    <row r="112" spans="1:20" s="799" customFormat="1" ht="16.5" customHeight="1">
      <c r="A112" s="805">
        <v>85446</v>
      </c>
      <c r="B112" s="776" t="s">
        <v>57</v>
      </c>
      <c r="C112" s="765">
        <f t="shared" si="37"/>
        <v>91170</v>
      </c>
      <c r="D112" s="766">
        <f t="shared" si="38"/>
        <v>91170</v>
      </c>
      <c r="E112" s="766">
        <f t="shared" si="39"/>
        <v>91170</v>
      </c>
      <c r="F112" s="766">
        <v>0</v>
      </c>
      <c r="G112" s="766">
        <v>91170</v>
      </c>
      <c r="H112" s="766">
        <v>0</v>
      </c>
      <c r="I112" s="766">
        <v>0</v>
      </c>
      <c r="J112" s="766">
        <v>0</v>
      </c>
      <c r="K112" s="766">
        <v>0</v>
      </c>
      <c r="L112" s="766">
        <f t="shared" si="40"/>
        <v>0</v>
      </c>
      <c r="M112" s="766">
        <v>0</v>
      </c>
      <c r="N112" s="766">
        <v>0</v>
      </c>
      <c r="O112" s="766">
        <v>0</v>
      </c>
      <c r="P112" s="797"/>
      <c r="Q112" s="797"/>
      <c r="R112" s="798"/>
      <c r="S112" s="798"/>
      <c r="T112" s="798"/>
    </row>
    <row r="113" spans="1:20" s="799" customFormat="1" ht="16.5" customHeight="1">
      <c r="A113" s="805">
        <v>85495</v>
      </c>
      <c r="B113" s="776" t="s">
        <v>73</v>
      </c>
      <c r="C113" s="765">
        <f t="shared" si="37"/>
        <v>354657</v>
      </c>
      <c r="D113" s="766">
        <f t="shared" si="38"/>
        <v>354657</v>
      </c>
      <c r="E113" s="766">
        <f t="shared" si="39"/>
        <v>314657</v>
      </c>
      <c r="F113" s="766">
        <v>0</v>
      </c>
      <c r="G113" s="766">
        <v>314657</v>
      </c>
      <c r="H113" s="766">
        <v>0</v>
      </c>
      <c r="I113" s="766">
        <v>40000</v>
      </c>
      <c r="J113" s="766">
        <v>0</v>
      </c>
      <c r="K113" s="766">
        <v>0</v>
      </c>
      <c r="L113" s="766">
        <f t="shared" si="40"/>
        <v>0</v>
      </c>
      <c r="M113" s="766">
        <v>0</v>
      </c>
      <c r="N113" s="766">
        <v>0</v>
      </c>
      <c r="O113" s="766">
        <v>0</v>
      </c>
      <c r="P113" s="797"/>
      <c r="Q113" s="797"/>
      <c r="R113" s="798"/>
      <c r="S113" s="798"/>
      <c r="T113" s="798"/>
    </row>
    <row r="114" spans="1:20" s="787" customFormat="1" ht="16.5" customHeight="1">
      <c r="A114" s="804">
        <v>855</v>
      </c>
      <c r="B114" s="769" t="s">
        <v>90</v>
      </c>
      <c r="C114" s="770">
        <f aca="true" t="shared" si="41" ref="C114:O114">C115+C116</f>
        <v>6078936</v>
      </c>
      <c r="D114" s="771">
        <f t="shared" si="41"/>
        <v>6078936</v>
      </c>
      <c r="E114" s="771">
        <f t="shared" si="41"/>
        <v>1597000</v>
      </c>
      <c r="F114" s="771">
        <f t="shared" si="41"/>
        <v>1264275</v>
      </c>
      <c r="G114" s="771">
        <f t="shared" si="41"/>
        <v>332725</v>
      </c>
      <c r="H114" s="771">
        <f t="shared" si="41"/>
        <v>1480000</v>
      </c>
      <c r="I114" s="771">
        <f t="shared" si="41"/>
        <v>1000</v>
      </c>
      <c r="J114" s="771">
        <f t="shared" si="41"/>
        <v>3000936</v>
      </c>
      <c r="K114" s="771">
        <f t="shared" si="41"/>
        <v>0</v>
      </c>
      <c r="L114" s="771">
        <f t="shared" si="41"/>
        <v>0</v>
      </c>
      <c r="M114" s="771">
        <f t="shared" si="41"/>
        <v>0</v>
      </c>
      <c r="N114" s="771">
        <f t="shared" si="41"/>
        <v>0</v>
      </c>
      <c r="O114" s="771">
        <f t="shared" si="41"/>
        <v>0</v>
      </c>
      <c r="P114" s="785"/>
      <c r="Q114" s="785"/>
      <c r="R114" s="786"/>
      <c r="S114" s="786"/>
      <c r="T114" s="786"/>
    </row>
    <row r="115" spans="1:20" s="799" customFormat="1" ht="16.5" customHeight="1">
      <c r="A115" s="805">
        <v>85509</v>
      </c>
      <c r="B115" s="776" t="s">
        <v>96</v>
      </c>
      <c r="C115" s="765">
        <f>D115+L115</f>
        <v>1852000</v>
      </c>
      <c r="D115" s="766">
        <f>E115+H115+I115+J115+K115</f>
        <v>1852000</v>
      </c>
      <c r="E115" s="766">
        <f>F115+G115</f>
        <v>1421000</v>
      </c>
      <c r="F115" s="766">
        <v>1262275</v>
      </c>
      <c r="G115" s="766">
        <v>158725</v>
      </c>
      <c r="H115" s="766">
        <v>430000</v>
      </c>
      <c r="I115" s="766">
        <v>1000</v>
      </c>
      <c r="J115" s="766">
        <v>0</v>
      </c>
      <c r="K115" s="766">
        <v>0</v>
      </c>
      <c r="L115" s="766">
        <f>M115+O115</f>
        <v>0</v>
      </c>
      <c r="M115" s="766">
        <v>0</v>
      </c>
      <c r="N115" s="766">
        <v>0</v>
      </c>
      <c r="O115" s="766">
        <v>0</v>
      </c>
      <c r="P115" s="806"/>
      <c r="Q115" s="806"/>
      <c r="R115" s="798"/>
      <c r="S115" s="798"/>
      <c r="T115" s="798"/>
    </row>
    <row r="116" spans="1:20" s="799" customFormat="1" ht="16.5" customHeight="1">
      <c r="A116" s="805">
        <v>85595</v>
      </c>
      <c r="B116" s="776" t="s">
        <v>73</v>
      </c>
      <c r="C116" s="765">
        <f>D116+L116</f>
        <v>4226936</v>
      </c>
      <c r="D116" s="766">
        <f>E116+H116+I116+J116+K116</f>
        <v>4226936</v>
      </c>
      <c r="E116" s="766">
        <f>F116+G116</f>
        <v>176000</v>
      </c>
      <c r="F116" s="766">
        <v>2000</v>
      </c>
      <c r="G116" s="766">
        <f>4000+3400+2600+164000</f>
        <v>174000</v>
      </c>
      <c r="H116" s="766">
        <v>1050000</v>
      </c>
      <c r="I116" s="766">
        <v>0</v>
      </c>
      <c r="J116" s="766">
        <v>3000936</v>
      </c>
      <c r="K116" s="766">
        <v>0</v>
      </c>
      <c r="L116" s="766">
        <f>M116+O116</f>
        <v>0</v>
      </c>
      <c r="M116" s="766">
        <v>0</v>
      </c>
      <c r="N116" s="766">
        <v>0</v>
      </c>
      <c r="O116" s="766">
        <v>0</v>
      </c>
      <c r="P116" s="797"/>
      <c r="Q116" s="797"/>
      <c r="R116" s="798"/>
      <c r="S116" s="798"/>
      <c r="T116" s="798"/>
    </row>
    <row r="117" spans="1:20" s="787" customFormat="1" ht="30.75" customHeight="1">
      <c r="A117" s="804">
        <v>900</v>
      </c>
      <c r="B117" s="807" t="s">
        <v>48</v>
      </c>
      <c r="C117" s="770">
        <f>C118+C119+C120+C121+C122+C124+C123</f>
        <v>24762944</v>
      </c>
      <c r="D117" s="771">
        <f aca="true" t="shared" si="42" ref="D117:O117">D118+D119+D120+D121+D122+D124+D123</f>
        <v>7550516</v>
      </c>
      <c r="E117" s="771">
        <f t="shared" si="42"/>
        <v>2520263</v>
      </c>
      <c r="F117" s="771">
        <f t="shared" si="42"/>
        <v>1546753</v>
      </c>
      <c r="G117" s="771">
        <f t="shared" si="42"/>
        <v>973510</v>
      </c>
      <c r="H117" s="771">
        <f t="shared" si="42"/>
        <v>0</v>
      </c>
      <c r="I117" s="771">
        <f t="shared" si="42"/>
        <v>0</v>
      </c>
      <c r="J117" s="771">
        <f t="shared" si="42"/>
        <v>5030253</v>
      </c>
      <c r="K117" s="771">
        <f t="shared" si="42"/>
        <v>0</v>
      </c>
      <c r="L117" s="771">
        <f t="shared" si="42"/>
        <v>17212428</v>
      </c>
      <c r="M117" s="771">
        <f t="shared" si="42"/>
        <v>14212428</v>
      </c>
      <c r="N117" s="771">
        <f t="shared" si="42"/>
        <v>14212428</v>
      </c>
      <c r="O117" s="771">
        <f t="shared" si="42"/>
        <v>3000000</v>
      </c>
      <c r="P117" s="785"/>
      <c r="Q117" s="785"/>
      <c r="R117" s="786"/>
      <c r="S117" s="786"/>
      <c r="T117" s="786"/>
    </row>
    <row r="118" spans="1:20" s="799" customFormat="1" ht="16.5" customHeight="1">
      <c r="A118" s="805">
        <v>90005</v>
      </c>
      <c r="B118" s="776" t="s">
        <v>66</v>
      </c>
      <c r="C118" s="765">
        <f aca="true" t="shared" si="43" ref="C118:C124">D118+L118</f>
        <v>295000</v>
      </c>
      <c r="D118" s="766">
        <f aca="true" t="shared" si="44" ref="D118:D124">E118+H118+I118+J118+K118</f>
        <v>295000</v>
      </c>
      <c r="E118" s="766">
        <f aca="true" t="shared" si="45" ref="E118:E124">F118+G118</f>
        <v>295000</v>
      </c>
      <c r="F118" s="766">
        <v>0</v>
      </c>
      <c r="G118" s="766">
        <v>295000</v>
      </c>
      <c r="H118" s="766">
        <v>0</v>
      </c>
      <c r="I118" s="766">
        <v>0</v>
      </c>
      <c r="J118" s="766">
        <v>0</v>
      </c>
      <c r="K118" s="766">
        <v>0</v>
      </c>
      <c r="L118" s="766">
        <f aca="true" t="shared" si="46" ref="L118:L124">M118+O118</f>
        <v>0</v>
      </c>
      <c r="M118" s="766">
        <v>0</v>
      </c>
      <c r="N118" s="766">
        <v>0</v>
      </c>
      <c r="O118" s="766">
        <v>0</v>
      </c>
      <c r="P118" s="797"/>
      <c r="Q118" s="797"/>
      <c r="R118" s="798"/>
      <c r="S118" s="798"/>
      <c r="T118" s="798"/>
    </row>
    <row r="119" spans="1:20" s="799" customFormat="1" ht="16.5" customHeight="1">
      <c r="A119" s="805">
        <v>90007</v>
      </c>
      <c r="B119" s="776" t="s">
        <v>67</v>
      </c>
      <c r="C119" s="765">
        <f t="shared" si="43"/>
        <v>59000</v>
      </c>
      <c r="D119" s="766">
        <f t="shared" si="44"/>
        <v>59000</v>
      </c>
      <c r="E119" s="766">
        <f t="shared" si="45"/>
        <v>59000</v>
      </c>
      <c r="F119" s="766">
        <v>0</v>
      </c>
      <c r="G119" s="766">
        <v>59000</v>
      </c>
      <c r="H119" s="766">
        <v>0</v>
      </c>
      <c r="I119" s="766">
        <v>0</v>
      </c>
      <c r="J119" s="766">
        <v>0</v>
      </c>
      <c r="K119" s="766">
        <v>0</v>
      </c>
      <c r="L119" s="766">
        <f t="shared" si="46"/>
        <v>0</v>
      </c>
      <c r="M119" s="766">
        <v>0</v>
      </c>
      <c r="N119" s="766">
        <v>0</v>
      </c>
      <c r="O119" s="766">
        <v>0</v>
      </c>
      <c r="P119" s="797"/>
      <c r="Q119" s="797"/>
      <c r="R119" s="798"/>
      <c r="S119" s="798"/>
      <c r="T119" s="798"/>
    </row>
    <row r="120" spans="1:20" s="757" customFormat="1" ht="28.5" customHeight="1">
      <c r="A120" s="805">
        <v>90019</v>
      </c>
      <c r="B120" s="776" t="s">
        <v>102</v>
      </c>
      <c r="C120" s="765">
        <f t="shared" si="43"/>
        <v>869873</v>
      </c>
      <c r="D120" s="766">
        <f t="shared" si="44"/>
        <v>869873</v>
      </c>
      <c r="E120" s="766">
        <f t="shared" si="45"/>
        <v>869873</v>
      </c>
      <c r="F120" s="766">
        <v>647253</v>
      </c>
      <c r="G120" s="766">
        <v>222620</v>
      </c>
      <c r="H120" s="766">
        <v>0</v>
      </c>
      <c r="I120" s="766">
        <v>0</v>
      </c>
      <c r="J120" s="766">
        <v>0</v>
      </c>
      <c r="K120" s="766">
        <v>0</v>
      </c>
      <c r="L120" s="766">
        <f t="shared" si="46"/>
        <v>0</v>
      </c>
      <c r="M120" s="766">
        <v>0</v>
      </c>
      <c r="N120" s="766">
        <v>0</v>
      </c>
      <c r="O120" s="766">
        <v>0</v>
      </c>
      <c r="P120" s="777"/>
      <c r="Q120" s="777"/>
      <c r="R120" s="767"/>
      <c r="S120" s="767"/>
      <c r="T120" s="767"/>
    </row>
    <row r="121" spans="1:20" s="757" customFormat="1" ht="27.75" customHeight="1">
      <c r="A121" s="808">
        <v>90020</v>
      </c>
      <c r="B121" s="776" t="s">
        <v>68</v>
      </c>
      <c r="C121" s="765">
        <f t="shared" si="43"/>
        <v>22480</v>
      </c>
      <c r="D121" s="766">
        <f t="shared" si="44"/>
        <v>22480</v>
      </c>
      <c r="E121" s="766">
        <f t="shared" si="45"/>
        <v>22480</v>
      </c>
      <c r="F121" s="766">
        <v>16500</v>
      </c>
      <c r="G121" s="766">
        <v>5980</v>
      </c>
      <c r="H121" s="766">
        <v>0</v>
      </c>
      <c r="I121" s="766">
        <v>0</v>
      </c>
      <c r="J121" s="766">
        <v>0</v>
      </c>
      <c r="K121" s="766">
        <v>0</v>
      </c>
      <c r="L121" s="766">
        <f t="shared" si="46"/>
        <v>0</v>
      </c>
      <c r="M121" s="766">
        <v>0</v>
      </c>
      <c r="N121" s="766">
        <v>0</v>
      </c>
      <c r="O121" s="766">
        <v>0</v>
      </c>
      <c r="P121" s="777"/>
      <c r="Q121" s="777"/>
      <c r="R121" s="767"/>
      <c r="S121" s="767"/>
      <c r="T121" s="767"/>
    </row>
    <row r="122" spans="1:20" s="757" customFormat="1" ht="27" customHeight="1">
      <c r="A122" s="808">
        <v>90024</v>
      </c>
      <c r="B122" s="776" t="s">
        <v>202</v>
      </c>
      <c r="C122" s="765">
        <f t="shared" si="43"/>
        <v>3510</v>
      </c>
      <c r="D122" s="766">
        <f t="shared" si="44"/>
        <v>3510</v>
      </c>
      <c r="E122" s="766">
        <f t="shared" si="45"/>
        <v>3510</v>
      </c>
      <c r="F122" s="766">
        <v>0</v>
      </c>
      <c r="G122" s="766">
        <v>3510</v>
      </c>
      <c r="H122" s="766">
        <v>0</v>
      </c>
      <c r="I122" s="766">
        <v>0</v>
      </c>
      <c r="J122" s="766">
        <v>0</v>
      </c>
      <c r="K122" s="766">
        <v>0</v>
      </c>
      <c r="L122" s="766">
        <f t="shared" si="46"/>
        <v>0</v>
      </c>
      <c r="M122" s="766">
        <v>0</v>
      </c>
      <c r="N122" s="766">
        <v>0</v>
      </c>
      <c r="O122" s="766">
        <v>0</v>
      </c>
      <c r="P122" s="777"/>
      <c r="Q122" s="777"/>
      <c r="R122" s="767"/>
      <c r="S122" s="767"/>
      <c r="T122" s="767"/>
    </row>
    <row r="123" spans="1:20" s="757" customFormat="1" ht="27" customHeight="1">
      <c r="A123" s="808">
        <v>90026</v>
      </c>
      <c r="B123" s="776" t="s">
        <v>106</v>
      </c>
      <c r="C123" s="765">
        <f t="shared" si="43"/>
        <v>13324414</v>
      </c>
      <c r="D123" s="766">
        <f t="shared" si="44"/>
        <v>3466521</v>
      </c>
      <c r="E123" s="766">
        <f t="shared" si="45"/>
        <v>200300</v>
      </c>
      <c r="F123" s="766">
        <v>180000</v>
      </c>
      <c r="G123" s="766">
        <f>8300+6000+6000</f>
        <v>20300</v>
      </c>
      <c r="H123" s="766">
        <v>0</v>
      </c>
      <c r="I123" s="766">
        <v>0</v>
      </c>
      <c r="J123" s="766">
        <v>3266221</v>
      </c>
      <c r="K123" s="766">
        <v>0</v>
      </c>
      <c r="L123" s="766">
        <f t="shared" si="46"/>
        <v>9857893</v>
      </c>
      <c r="M123" s="766">
        <v>9857893</v>
      </c>
      <c r="N123" s="766">
        <v>9857893</v>
      </c>
      <c r="O123" s="766">
        <v>0</v>
      </c>
      <c r="P123" s="777"/>
      <c r="Q123" s="777"/>
      <c r="R123" s="767"/>
      <c r="S123" s="767"/>
      <c r="T123" s="767"/>
    </row>
    <row r="124" spans="1:20" s="799" customFormat="1" ht="16.5" customHeight="1">
      <c r="A124" s="808">
        <v>90095</v>
      </c>
      <c r="B124" s="776" t="s">
        <v>73</v>
      </c>
      <c r="C124" s="765">
        <f t="shared" si="43"/>
        <v>10188667</v>
      </c>
      <c r="D124" s="766">
        <f t="shared" si="44"/>
        <v>2834132</v>
      </c>
      <c r="E124" s="766">
        <f t="shared" si="45"/>
        <v>1070100</v>
      </c>
      <c r="F124" s="766">
        <v>703000</v>
      </c>
      <c r="G124" s="766">
        <f>5000+25150+234000+93000+9950</f>
        <v>367100</v>
      </c>
      <c r="H124" s="766">
        <v>0</v>
      </c>
      <c r="I124" s="766">
        <v>0</v>
      </c>
      <c r="J124" s="766">
        <v>1764032</v>
      </c>
      <c r="K124" s="766">
        <v>0</v>
      </c>
      <c r="L124" s="766">
        <f t="shared" si="46"/>
        <v>7354535</v>
      </c>
      <c r="M124" s="766">
        <v>4354535</v>
      </c>
      <c r="N124" s="766">
        <v>4354535</v>
      </c>
      <c r="O124" s="766">
        <v>3000000</v>
      </c>
      <c r="P124" s="797"/>
      <c r="Q124" s="797"/>
      <c r="R124" s="798"/>
      <c r="S124" s="798"/>
      <c r="T124" s="798"/>
    </row>
    <row r="125" spans="1:20" s="787" customFormat="1" ht="30" customHeight="1">
      <c r="A125" s="809">
        <v>921</v>
      </c>
      <c r="B125" s="807" t="s">
        <v>50</v>
      </c>
      <c r="C125" s="794">
        <f aca="true" t="shared" si="47" ref="C125:O125">C127+C128+C129+C130+C131+C132+C133+C135+C134+C126</f>
        <v>133576604</v>
      </c>
      <c r="D125" s="771">
        <f t="shared" si="47"/>
        <v>99098313</v>
      </c>
      <c r="E125" s="771">
        <f t="shared" si="47"/>
        <v>3403043</v>
      </c>
      <c r="F125" s="771">
        <f t="shared" si="47"/>
        <v>49000</v>
      </c>
      <c r="G125" s="771">
        <f t="shared" si="47"/>
        <v>3354043</v>
      </c>
      <c r="H125" s="771">
        <f t="shared" si="47"/>
        <v>91388344</v>
      </c>
      <c r="I125" s="771">
        <f t="shared" si="47"/>
        <v>450000</v>
      </c>
      <c r="J125" s="771">
        <f t="shared" si="47"/>
        <v>3856926</v>
      </c>
      <c r="K125" s="771">
        <f t="shared" si="47"/>
        <v>0</v>
      </c>
      <c r="L125" s="771">
        <f t="shared" si="47"/>
        <v>34478291</v>
      </c>
      <c r="M125" s="771">
        <f t="shared" si="47"/>
        <v>34478291</v>
      </c>
      <c r="N125" s="771">
        <f t="shared" si="47"/>
        <v>11361621</v>
      </c>
      <c r="O125" s="771">
        <f t="shared" si="47"/>
        <v>0</v>
      </c>
      <c r="P125" s="785"/>
      <c r="Q125" s="785"/>
      <c r="R125" s="786"/>
      <c r="S125" s="786"/>
      <c r="T125" s="786"/>
    </row>
    <row r="126" spans="1:20" s="799" customFormat="1" ht="16.5" customHeight="1">
      <c r="A126" s="808">
        <v>92105</v>
      </c>
      <c r="B126" s="776" t="s">
        <v>107</v>
      </c>
      <c r="C126" s="765">
        <f aca="true" t="shared" si="48" ref="C126:C135">D126+L126</f>
        <v>470000</v>
      </c>
      <c r="D126" s="766">
        <f aca="true" t="shared" si="49" ref="D126:D135">E126+H126+I126+J126+K126</f>
        <v>470000</v>
      </c>
      <c r="E126" s="766">
        <f aca="true" t="shared" si="50" ref="E126:E135">F126+G126</f>
        <v>0</v>
      </c>
      <c r="F126" s="766">
        <v>0</v>
      </c>
      <c r="G126" s="766">
        <v>0</v>
      </c>
      <c r="H126" s="766">
        <v>470000</v>
      </c>
      <c r="I126" s="766">
        <v>0</v>
      </c>
      <c r="J126" s="766">
        <v>0</v>
      </c>
      <c r="K126" s="766">
        <v>0</v>
      </c>
      <c r="L126" s="766">
        <f aca="true" t="shared" si="51" ref="L126:L135">M126+O126</f>
        <v>0</v>
      </c>
      <c r="M126" s="766">
        <v>0</v>
      </c>
      <c r="N126" s="766">
        <v>0</v>
      </c>
      <c r="O126" s="766">
        <v>0</v>
      </c>
      <c r="P126" s="797"/>
      <c r="Q126" s="797"/>
      <c r="R126" s="798"/>
      <c r="S126" s="798"/>
      <c r="T126" s="798"/>
    </row>
    <row r="127" spans="1:20" s="799" customFormat="1" ht="16.5" customHeight="1">
      <c r="A127" s="808">
        <v>92106</v>
      </c>
      <c r="B127" s="776" t="s">
        <v>203</v>
      </c>
      <c r="C127" s="765">
        <f t="shared" si="48"/>
        <v>40538825</v>
      </c>
      <c r="D127" s="766">
        <f t="shared" si="49"/>
        <v>30050000</v>
      </c>
      <c r="E127" s="766">
        <f t="shared" si="50"/>
        <v>0</v>
      </c>
      <c r="F127" s="766">
        <v>0</v>
      </c>
      <c r="G127" s="766">
        <v>0</v>
      </c>
      <c r="H127" s="766">
        <v>30050000</v>
      </c>
      <c r="I127" s="766">
        <v>0</v>
      </c>
      <c r="J127" s="766">
        <v>0</v>
      </c>
      <c r="K127" s="766">
        <v>0</v>
      </c>
      <c r="L127" s="766">
        <f t="shared" si="51"/>
        <v>10488825</v>
      </c>
      <c r="M127" s="766">
        <v>10488825</v>
      </c>
      <c r="N127" s="766">
        <v>0</v>
      </c>
      <c r="O127" s="766">
        <v>0</v>
      </c>
      <c r="P127" s="797"/>
      <c r="Q127" s="797"/>
      <c r="R127" s="798"/>
      <c r="S127" s="798"/>
      <c r="T127" s="798"/>
    </row>
    <row r="128" spans="1:20" s="799" customFormat="1" ht="16.5" customHeight="1">
      <c r="A128" s="808">
        <v>92108</v>
      </c>
      <c r="B128" s="776" t="s">
        <v>204</v>
      </c>
      <c r="C128" s="765">
        <f t="shared" si="48"/>
        <v>9934500</v>
      </c>
      <c r="D128" s="766">
        <f t="shared" si="49"/>
        <v>9934500</v>
      </c>
      <c r="E128" s="766">
        <f t="shared" si="50"/>
        <v>0</v>
      </c>
      <c r="F128" s="766">
        <v>0</v>
      </c>
      <c r="G128" s="766">
        <v>0</v>
      </c>
      <c r="H128" s="766">
        <v>9934500</v>
      </c>
      <c r="I128" s="766">
        <v>0</v>
      </c>
      <c r="J128" s="766">
        <v>0</v>
      </c>
      <c r="K128" s="766">
        <v>0</v>
      </c>
      <c r="L128" s="766">
        <f t="shared" si="51"/>
        <v>0</v>
      </c>
      <c r="M128" s="766">
        <v>0</v>
      </c>
      <c r="N128" s="766">
        <v>0</v>
      </c>
      <c r="O128" s="766">
        <v>0</v>
      </c>
      <c r="P128" s="797"/>
      <c r="Q128" s="797"/>
      <c r="R128" s="798"/>
      <c r="S128" s="798"/>
      <c r="T128" s="798"/>
    </row>
    <row r="129" spans="1:20" s="799" customFormat="1" ht="16.5" customHeight="1">
      <c r="A129" s="808">
        <v>92109</v>
      </c>
      <c r="B129" s="776" t="s">
        <v>69</v>
      </c>
      <c r="C129" s="765">
        <f t="shared" si="48"/>
        <v>7246474</v>
      </c>
      <c r="D129" s="766">
        <f t="shared" si="49"/>
        <v>7056794</v>
      </c>
      <c r="E129" s="766">
        <f t="shared" si="50"/>
        <v>0</v>
      </c>
      <c r="F129" s="766">
        <v>0</v>
      </c>
      <c r="G129" s="766">
        <v>0</v>
      </c>
      <c r="H129" s="766">
        <v>7056794</v>
      </c>
      <c r="I129" s="766">
        <v>0</v>
      </c>
      <c r="J129" s="766">
        <v>0</v>
      </c>
      <c r="K129" s="766">
        <v>0</v>
      </c>
      <c r="L129" s="766">
        <f t="shared" si="51"/>
        <v>189680</v>
      </c>
      <c r="M129" s="766">
        <v>189680</v>
      </c>
      <c r="N129" s="766">
        <v>0</v>
      </c>
      <c r="O129" s="766">
        <v>0</v>
      </c>
      <c r="P129" s="797"/>
      <c r="Q129" s="797"/>
      <c r="R129" s="798"/>
      <c r="S129" s="798"/>
      <c r="T129" s="798"/>
    </row>
    <row r="130" spans="1:20" s="799" customFormat="1" ht="16.5" customHeight="1">
      <c r="A130" s="808">
        <v>92110</v>
      </c>
      <c r="B130" s="776" t="s">
        <v>205</v>
      </c>
      <c r="C130" s="765">
        <f t="shared" si="48"/>
        <v>2499300</v>
      </c>
      <c r="D130" s="766">
        <f t="shared" si="49"/>
        <v>2454300</v>
      </c>
      <c r="E130" s="766">
        <f t="shared" si="50"/>
        <v>0</v>
      </c>
      <c r="F130" s="766">
        <v>0</v>
      </c>
      <c r="G130" s="766">
        <v>0</v>
      </c>
      <c r="H130" s="766">
        <v>2454300</v>
      </c>
      <c r="I130" s="766">
        <v>0</v>
      </c>
      <c r="J130" s="766">
        <v>0</v>
      </c>
      <c r="K130" s="766">
        <v>0</v>
      </c>
      <c r="L130" s="766">
        <f t="shared" si="51"/>
        <v>45000</v>
      </c>
      <c r="M130" s="766">
        <v>45000</v>
      </c>
      <c r="N130" s="766">
        <v>0</v>
      </c>
      <c r="O130" s="766">
        <v>0</v>
      </c>
      <c r="P130" s="797"/>
      <c r="Q130" s="797"/>
      <c r="R130" s="798"/>
      <c r="S130" s="798"/>
      <c r="T130" s="798"/>
    </row>
    <row r="131" spans="1:20" s="799" customFormat="1" ht="16.5" customHeight="1">
      <c r="A131" s="808">
        <v>92113</v>
      </c>
      <c r="B131" s="776" t="s">
        <v>206</v>
      </c>
      <c r="C131" s="765">
        <f t="shared" si="48"/>
        <v>1299500</v>
      </c>
      <c r="D131" s="766">
        <f t="shared" si="49"/>
        <v>1299500</v>
      </c>
      <c r="E131" s="766">
        <f t="shared" si="50"/>
        <v>0</v>
      </c>
      <c r="F131" s="766">
        <v>0</v>
      </c>
      <c r="G131" s="766">
        <v>0</v>
      </c>
      <c r="H131" s="766">
        <v>1299500</v>
      </c>
      <c r="I131" s="766">
        <v>0</v>
      </c>
      <c r="J131" s="766">
        <v>0</v>
      </c>
      <c r="K131" s="766">
        <v>0</v>
      </c>
      <c r="L131" s="766">
        <f t="shared" si="51"/>
        <v>0</v>
      </c>
      <c r="M131" s="766">
        <v>0</v>
      </c>
      <c r="N131" s="766">
        <v>0</v>
      </c>
      <c r="O131" s="766">
        <v>0</v>
      </c>
      <c r="P131" s="797"/>
      <c r="Q131" s="797"/>
      <c r="R131" s="798"/>
      <c r="S131" s="798"/>
      <c r="T131" s="798"/>
    </row>
    <row r="132" spans="1:20" s="799" customFormat="1" ht="16.5" customHeight="1">
      <c r="A132" s="808">
        <v>92116</v>
      </c>
      <c r="B132" s="776" t="s">
        <v>70</v>
      </c>
      <c r="C132" s="765">
        <f t="shared" si="48"/>
        <v>21532300</v>
      </c>
      <c r="D132" s="766">
        <f t="shared" si="49"/>
        <v>21272300</v>
      </c>
      <c r="E132" s="766">
        <f t="shared" si="50"/>
        <v>0</v>
      </c>
      <c r="F132" s="766">
        <v>0</v>
      </c>
      <c r="G132" s="766">
        <v>0</v>
      </c>
      <c r="H132" s="766">
        <v>21272300</v>
      </c>
      <c r="I132" s="766">
        <v>0</v>
      </c>
      <c r="J132" s="766">
        <v>0</v>
      </c>
      <c r="K132" s="766">
        <v>0</v>
      </c>
      <c r="L132" s="766">
        <f t="shared" si="51"/>
        <v>260000</v>
      </c>
      <c r="M132" s="766">
        <v>260000</v>
      </c>
      <c r="N132" s="766">
        <v>0</v>
      </c>
      <c r="O132" s="766">
        <v>0</v>
      </c>
      <c r="P132" s="797"/>
      <c r="Q132" s="797"/>
      <c r="R132" s="798"/>
      <c r="S132" s="798"/>
      <c r="T132" s="798"/>
    </row>
    <row r="133" spans="1:20" s="799" customFormat="1" ht="16.5" customHeight="1">
      <c r="A133" s="808">
        <v>92118</v>
      </c>
      <c r="B133" s="776" t="s">
        <v>207</v>
      </c>
      <c r="C133" s="765">
        <f t="shared" si="48"/>
        <v>15782299</v>
      </c>
      <c r="D133" s="766">
        <f t="shared" si="49"/>
        <v>14545950</v>
      </c>
      <c r="E133" s="766">
        <f t="shared" si="50"/>
        <v>0</v>
      </c>
      <c r="F133" s="766">
        <v>0</v>
      </c>
      <c r="G133" s="766">
        <v>0</v>
      </c>
      <c r="H133" s="766">
        <v>14545950</v>
      </c>
      <c r="I133" s="766">
        <v>0</v>
      </c>
      <c r="J133" s="766">
        <v>0</v>
      </c>
      <c r="K133" s="766">
        <v>0</v>
      </c>
      <c r="L133" s="766">
        <f t="shared" si="51"/>
        <v>1236349</v>
      </c>
      <c r="M133" s="766">
        <v>1236349</v>
      </c>
      <c r="N133" s="766">
        <v>0</v>
      </c>
      <c r="O133" s="766">
        <v>0</v>
      </c>
      <c r="P133" s="797"/>
      <c r="Q133" s="797"/>
      <c r="R133" s="798"/>
      <c r="S133" s="798"/>
      <c r="T133" s="798"/>
    </row>
    <row r="134" spans="1:20" s="799" customFormat="1" ht="16.5" customHeight="1">
      <c r="A134" s="808">
        <v>92120</v>
      </c>
      <c r="B134" s="776" t="s">
        <v>208</v>
      </c>
      <c r="C134" s="765">
        <f t="shared" si="48"/>
        <v>4200000</v>
      </c>
      <c r="D134" s="766">
        <f t="shared" si="49"/>
        <v>4200000</v>
      </c>
      <c r="E134" s="766">
        <f t="shared" si="50"/>
        <v>75000</v>
      </c>
      <c r="F134" s="766">
        <v>19000</v>
      </c>
      <c r="G134" s="766">
        <f>2000+4000+50000</f>
        <v>56000</v>
      </c>
      <c r="H134" s="766">
        <v>1125000</v>
      </c>
      <c r="I134" s="766">
        <v>0</v>
      </c>
      <c r="J134" s="766">
        <v>3000000</v>
      </c>
      <c r="K134" s="766">
        <v>0</v>
      </c>
      <c r="L134" s="766">
        <f t="shared" si="51"/>
        <v>0</v>
      </c>
      <c r="M134" s="766">
        <v>0</v>
      </c>
      <c r="N134" s="766">
        <v>0</v>
      </c>
      <c r="O134" s="766">
        <v>0</v>
      </c>
      <c r="P134" s="797"/>
      <c r="Q134" s="797"/>
      <c r="R134" s="798"/>
      <c r="S134" s="798"/>
      <c r="T134" s="798"/>
    </row>
    <row r="135" spans="1:20" s="799" customFormat="1" ht="16.5" customHeight="1">
      <c r="A135" s="808">
        <v>92195</v>
      </c>
      <c r="B135" s="776" t="s">
        <v>73</v>
      </c>
      <c r="C135" s="765">
        <f t="shared" si="48"/>
        <v>30073406</v>
      </c>
      <c r="D135" s="766">
        <f t="shared" si="49"/>
        <v>7814969</v>
      </c>
      <c r="E135" s="766">
        <f t="shared" si="50"/>
        <v>3328043</v>
      </c>
      <c r="F135" s="766">
        <v>30000</v>
      </c>
      <c r="G135" s="766">
        <f>87000+23500+3187543</f>
        <v>3298043</v>
      </c>
      <c r="H135" s="766">
        <v>3180000</v>
      </c>
      <c r="I135" s="766">
        <v>450000</v>
      </c>
      <c r="J135" s="766">
        <v>856926</v>
      </c>
      <c r="K135" s="766">
        <v>0</v>
      </c>
      <c r="L135" s="766">
        <f t="shared" si="51"/>
        <v>22258437</v>
      </c>
      <c r="M135" s="766">
        <v>22258437</v>
      </c>
      <c r="N135" s="766">
        <f>10843744+517877</f>
        <v>11361621</v>
      </c>
      <c r="O135" s="766">
        <v>0</v>
      </c>
      <c r="P135" s="797"/>
      <c r="Q135" s="797"/>
      <c r="R135" s="798"/>
      <c r="S135" s="798"/>
      <c r="T135" s="798"/>
    </row>
    <row r="136" spans="1:20" s="787" customFormat="1" ht="60" customHeight="1">
      <c r="A136" s="809">
        <v>925</v>
      </c>
      <c r="B136" s="769" t="s">
        <v>51</v>
      </c>
      <c r="C136" s="770">
        <f aca="true" t="shared" si="52" ref="C136:O136">C137</f>
        <v>10732858</v>
      </c>
      <c r="D136" s="771">
        <f t="shared" si="52"/>
        <v>5174482</v>
      </c>
      <c r="E136" s="771">
        <f t="shared" si="52"/>
        <v>4549094</v>
      </c>
      <c r="F136" s="771">
        <f t="shared" si="52"/>
        <v>3557455</v>
      </c>
      <c r="G136" s="771">
        <f t="shared" si="52"/>
        <v>991639</v>
      </c>
      <c r="H136" s="771">
        <f t="shared" si="52"/>
        <v>0</v>
      </c>
      <c r="I136" s="771">
        <f t="shared" si="52"/>
        <v>93300</v>
      </c>
      <c r="J136" s="771">
        <f t="shared" si="52"/>
        <v>532088</v>
      </c>
      <c r="K136" s="771">
        <f t="shared" si="52"/>
        <v>0</v>
      </c>
      <c r="L136" s="771">
        <f t="shared" si="52"/>
        <v>5558376</v>
      </c>
      <c r="M136" s="771">
        <f t="shared" si="52"/>
        <v>5558376</v>
      </c>
      <c r="N136" s="771">
        <f>N137</f>
        <v>5105532</v>
      </c>
      <c r="O136" s="771">
        <f t="shared" si="52"/>
        <v>0</v>
      </c>
      <c r="P136" s="785"/>
      <c r="Q136" s="785"/>
      <c r="R136" s="786"/>
      <c r="S136" s="786"/>
      <c r="T136" s="786"/>
    </row>
    <row r="137" spans="1:20" s="799" customFormat="1" ht="16.5" customHeight="1">
      <c r="A137" s="808">
        <v>92502</v>
      </c>
      <c r="B137" s="776" t="s">
        <v>71</v>
      </c>
      <c r="C137" s="795">
        <f>D137+L137</f>
        <v>10732858</v>
      </c>
      <c r="D137" s="796">
        <f>E137+H137+I137+J137+K137</f>
        <v>5174482</v>
      </c>
      <c r="E137" s="796">
        <f>F137+G137</f>
        <v>4549094</v>
      </c>
      <c r="F137" s="796">
        <v>3557455</v>
      </c>
      <c r="G137" s="796">
        <f>247184+1242+120000+54586+2950+283700+47300+2500+50172+2300+1300+70348+73588+23317+1700+1502+500+7450</f>
        <v>991639</v>
      </c>
      <c r="H137" s="796">
        <v>0</v>
      </c>
      <c r="I137" s="796">
        <v>93300</v>
      </c>
      <c r="J137" s="796">
        <v>532088</v>
      </c>
      <c r="K137" s="796">
        <v>0</v>
      </c>
      <c r="L137" s="796">
        <f>M137+O137</f>
        <v>5558376</v>
      </c>
      <c r="M137" s="796">
        <v>5558376</v>
      </c>
      <c r="N137" s="796">
        <f>3818514+1249918+31535+5565</f>
        <v>5105532</v>
      </c>
      <c r="O137" s="796">
        <v>0</v>
      </c>
      <c r="P137" s="797"/>
      <c r="Q137" s="797"/>
      <c r="R137" s="798"/>
      <c r="S137" s="798"/>
      <c r="T137" s="798"/>
    </row>
    <row r="138" spans="1:20" s="787" customFormat="1" ht="16.5" customHeight="1">
      <c r="A138" s="809">
        <v>926</v>
      </c>
      <c r="B138" s="769" t="s">
        <v>209</v>
      </c>
      <c r="C138" s="770">
        <f aca="true" t="shared" si="53" ref="C138:O138">C139</f>
        <v>7130000</v>
      </c>
      <c r="D138" s="771">
        <f t="shared" si="53"/>
        <v>5130000</v>
      </c>
      <c r="E138" s="771">
        <f t="shared" si="53"/>
        <v>270000</v>
      </c>
      <c r="F138" s="771">
        <f t="shared" si="53"/>
        <v>3000</v>
      </c>
      <c r="G138" s="771">
        <f t="shared" si="53"/>
        <v>267000</v>
      </c>
      <c r="H138" s="771">
        <f t="shared" si="53"/>
        <v>3900000</v>
      </c>
      <c r="I138" s="771">
        <f t="shared" si="53"/>
        <v>960000</v>
      </c>
      <c r="J138" s="771">
        <f t="shared" si="53"/>
        <v>0</v>
      </c>
      <c r="K138" s="771">
        <f t="shared" si="53"/>
        <v>0</v>
      </c>
      <c r="L138" s="771">
        <f t="shared" si="53"/>
        <v>2000000</v>
      </c>
      <c r="M138" s="771">
        <f t="shared" si="53"/>
        <v>2000000</v>
      </c>
      <c r="N138" s="771">
        <f>N139</f>
        <v>0</v>
      </c>
      <c r="O138" s="771">
        <f t="shared" si="53"/>
        <v>0</v>
      </c>
      <c r="P138" s="785"/>
      <c r="Q138" s="785"/>
      <c r="R138" s="786"/>
      <c r="S138" s="786"/>
      <c r="T138" s="786"/>
    </row>
    <row r="139" spans="1:20" s="799" customFormat="1" ht="16.5" customHeight="1">
      <c r="A139" s="808">
        <v>92605</v>
      </c>
      <c r="B139" s="776" t="s">
        <v>210</v>
      </c>
      <c r="C139" s="765">
        <f>D139+L139</f>
        <v>7130000</v>
      </c>
      <c r="D139" s="766">
        <f>E139+H139+I139+J139+K139</f>
        <v>5130000</v>
      </c>
      <c r="E139" s="766">
        <f>F139+G139</f>
        <v>270000</v>
      </c>
      <c r="F139" s="766">
        <v>3000</v>
      </c>
      <c r="G139" s="766">
        <v>267000</v>
      </c>
      <c r="H139" s="766">
        <v>3900000</v>
      </c>
      <c r="I139" s="766">
        <v>960000</v>
      </c>
      <c r="J139" s="766">
        <v>0</v>
      </c>
      <c r="K139" s="766">
        <v>0</v>
      </c>
      <c r="L139" s="766">
        <f>M139+O139</f>
        <v>2000000</v>
      </c>
      <c r="M139" s="766">
        <v>2000000</v>
      </c>
      <c r="N139" s="766">
        <v>0</v>
      </c>
      <c r="O139" s="766">
        <v>0</v>
      </c>
      <c r="P139" s="797"/>
      <c r="Q139" s="797"/>
      <c r="R139" s="798"/>
      <c r="S139" s="798"/>
      <c r="T139" s="798"/>
    </row>
    <row r="140" spans="1:20" s="757" customFormat="1" ht="3.75" customHeight="1">
      <c r="A140" s="808"/>
      <c r="B140" s="764"/>
      <c r="C140" s="765"/>
      <c r="D140" s="810"/>
      <c r="E140" s="810"/>
      <c r="F140" s="810"/>
      <c r="G140" s="810"/>
      <c r="H140" s="810"/>
      <c r="I140" s="810"/>
      <c r="J140" s="810"/>
      <c r="K140" s="810"/>
      <c r="L140" s="810"/>
      <c r="M140" s="810"/>
      <c r="N140" s="810"/>
      <c r="O140" s="810"/>
      <c r="P140" s="767"/>
      <c r="Q140" s="767"/>
      <c r="R140" s="767"/>
      <c r="S140" s="767"/>
      <c r="T140" s="767"/>
    </row>
    <row r="141" spans="1:20" s="815" customFormat="1" ht="15.75">
      <c r="A141" s="811"/>
      <c r="B141" s="812" t="s">
        <v>123</v>
      </c>
      <c r="C141" s="813">
        <f aca="true" t="shared" si="54" ref="C141:O141">C14</f>
        <v>1133700177</v>
      </c>
      <c r="D141" s="813">
        <f t="shared" si="54"/>
        <v>695163407</v>
      </c>
      <c r="E141" s="813">
        <f t="shared" si="54"/>
        <v>258182018</v>
      </c>
      <c r="F141" s="813">
        <f t="shared" si="54"/>
        <v>151705489</v>
      </c>
      <c r="G141" s="813">
        <f t="shared" si="54"/>
        <v>106476529</v>
      </c>
      <c r="H141" s="813">
        <f t="shared" si="54"/>
        <v>242939281</v>
      </c>
      <c r="I141" s="813">
        <f t="shared" si="54"/>
        <v>3205157</v>
      </c>
      <c r="J141" s="813">
        <f t="shared" si="54"/>
        <v>148644793</v>
      </c>
      <c r="K141" s="813">
        <f t="shared" si="54"/>
        <v>42192158</v>
      </c>
      <c r="L141" s="813">
        <f t="shared" si="54"/>
        <v>438536770</v>
      </c>
      <c r="M141" s="813">
        <f t="shared" si="54"/>
        <v>417444869</v>
      </c>
      <c r="N141" s="813">
        <f t="shared" si="54"/>
        <v>290360637</v>
      </c>
      <c r="O141" s="813">
        <f t="shared" si="54"/>
        <v>21091901</v>
      </c>
      <c r="P141" s="814"/>
      <c r="Q141" s="814"/>
      <c r="R141" s="814"/>
      <c r="S141" s="814"/>
      <c r="T141" s="814"/>
    </row>
    <row r="142" spans="1:20" ht="12.75">
      <c r="A142" s="816"/>
      <c r="B142" s="817"/>
      <c r="C142" s="818"/>
      <c r="D142" s="819"/>
      <c r="E142" s="819"/>
      <c r="F142" s="819"/>
      <c r="G142" s="819"/>
      <c r="H142" s="819"/>
      <c r="I142" s="819"/>
      <c r="J142" s="819"/>
      <c r="K142" s="819"/>
      <c r="L142" s="819"/>
      <c r="M142" s="819"/>
      <c r="N142" s="819"/>
      <c r="O142" s="819"/>
      <c r="P142" s="817"/>
      <c r="Q142" s="817"/>
      <c r="R142" s="817"/>
      <c r="S142" s="817"/>
      <c r="T142" s="817"/>
    </row>
  </sheetData>
  <sheetProtection password="C25B" sheet="1"/>
  <mergeCells count="18">
    <mergeCell ref="A4:O4"/>
    <mergeCell ref="A5:O5"/>
    <mergeCell ref="A8:A11"/>
    <mergeCell ref="B8:B11"/>
    <mergeCell ref="C8:C11"/>
    <mergeCell ref="D8:O8"/>
    <mergeCell ref="D9:D11"/>
    <mergeCell ref="E9:K9"/>
    <mergeCell ref="L9:L11"/>
    <mergeCell ref="M9:O9"/>
    <mergeCell ref="M10:M11"/>
    <mergeCell ref="O10:O11"/>
    <mergeCell ref="E10:E11"/>
    <mergeCell ref="F10:G10"/>
    <mergeCell ref="H10:H11"/>
    <mergeCell ref="I10:I11"/>
    <mergeCell ref="J10:J11"/>
    <mergeCell ref="K10:K1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7"/>
  <sheetViews>
    <sheetView view="pageBreakPreview" zoomScaleSheetLayoutView="100" zoomScalePageLayoutView="0" workbookViewId="0" topLeftCell="A1507">
      <selection activeCell="C1529" sqref="C1529"/>
    </sheetView>
  </sheetViews>
  <sheetFormatPr defaultColWidth="8.796875" defaultRowHeight="14.25"/>
  <cols>
    <col min="1" max="1" width="10.09765625" style="245" customWidth="1"/>
    <col min="2" max="2" width="9.3984375" style="221" customWidth="1"/>
    <col min="3" max="3" width="62.5" style="243" customWidth="1"/>
    <col min="4" max="4" width="15.09765625" style="244" customWidth="1"/>
    <col min="5" max="16384" width="9" style="223" customWidth="1"/>
  </cols>
  <sheetData>
    <row r="1" spans="3:4" ht="15">
      <c r="C1" s="852" t="s">
        <v>598</v>
      </c>
      <c r="D1" s="852"/>
    </row>
    <row r="2" spans="3:4" ht="15">
      <c r="C2" s="852" t="s">
        <v>522</v>
      </c>
      <c r="D2" s="852"/>
    </row>
    <row r="3" spans="3:4" ht="15">
      <c r="C3" s="852" t="s">
        <v>524</v>
      </c>
      <c r="D3" s="852"/>
    </row>
    <row r="4" spans="3:4" ht="12" customHeight="1">
      <c r="C4" s="222"/>
      <c r="D4" s="224"/>
    </row>
    <row r="5" spans="1:4" ht="15">
      <c r="A5" s="853" t="s">
        <v>526</v>
      </c>
      <c r="B5" s="853"/>
      <c r="C5" s="853"/>
      <c r="D5" s="853"/>
    </row>
    <row r="6" spans="1:4" ht="15">
      <c r="A6" s="853" t="s">
        <v>351</v>
      </c>
      <c r="B6" s="853"/>
      <c r="C6" s="853"/>
      <c r="D6" s="853"/>
    </row>
    <row r="7" spans="1:4" ht="12.75" customHeight="1">
      <c r="A7" s="854" t="s">
        <v>525</v>
      </c>
      <c r="B7" s="854"/>
      <c r="C7" s="854"/>
      <c r="D7" s="854"/>
    </row>
    <row r="8" spans="1:4" s="228" customFormat="1" ht="28.5">
      <c r="A8" s="246" t="s">
        <v>441</v>
      </c>
      <c r="B8" s="225" t="s">
        <v>442</v>
      </c>
      <c r="C8" s="226" t="s">
        <v>19</v>
      </c>
      <c r="D8" s="227" t="s">
        <v>443</v>
      </c>
    </row>
    <row r="9" spans="1:4" s="232" customFormat="1" ht="13.5" customHeight="1">
      <c r="A9" s="247" t="s">
        <v>21</v>
      </c>
      <c r="B9" s="229" t="s">
        <v>22</v>
      </c>
      <c r="C9" s="230">
        <v>3</v>
      </c>
      <c r="D9" s="231">
        <v>4</v>
      </c>
    </row>
    <row r="10" spans="1:4" s="232" customFormat="1" ht="18.75" customHeight="1">
      <c r="A10" s="229"/>
      <c r="B10" s="229"/>
      <c r="C10" s="233" t="s">
        <v>527</v>
      </c>
      <c r="D10" s="234">
        <f>D11+D74+D114+D161+D173+D260+D296+D309+D349+D395+D400+D604+D608+D615+D621+D625+D863+D910+D993+D1107+D1221+D1279+D1384+D1463+D1504</f>
        <v>1133700177</v>
      </c>
    </row>
    <row r="11" spans="1:4" s="235" customFormat="1" ht="14.25">
      <c r="A11" s="248" t="s">
        <v>24</v>
      </c>
      <c r="B11" s="248" t="s">
        <v>445</v>
      </c>
      <c r="C11" s="249" t="s">
        <v>52</v>
      </c>
      <c r="D11" s="250">
        <f>D12+D14+D57+D66</f>
        <v>13882000</v>
      </c>
    </row>
    <row r="12" spans="1:4" s="235" customFormat="1" ht="14.25">
      <c r="A12" s="251" t="s">
        <v>124</v>
      </c>
      <c r="B12" s="251" t="s">
        <v>445</v>
      </c>
      <c r="C12" s="236" t="s">
        <v>125</v>
      </c>
      <c r="D12" s="252">
        <f>D13</f>
        <v>1300000</v>
      </c>
    </row>
    <row r="13" spans="1:4" ht="34.5" customHeight="1">
      <c r="A13" s="251" t="s">
        <v>445</v>
      </c>
      <c r="B13" s="253">
        <v>2830</v>
      </c>
      <c r="C13" s="237" t="s">
        <v>528</v>
      </c>
      <c r="D13" s="254">
        <v>1300000</v>
      </c>
    </row>
    <row r="14" spans="1:4" s="235" customFormat="1" ht="14.25">
      <c r="A14" s="251" t="s">
        <v>72</v>
      </c>
      <c r="B14" s="251" t="s">
        <v>445</v>
      </c>
      <c r="C14" s="236" t="s">
        <v>446</v>
      </c>
      <c r="D14" s="252">
        <f>SUM(D15:D56)</f>
        <v>5610500</v>
      </c>
    </row>
    <row r="15" spans="1:4" ht="60">
      <c r="A15" s="251" t="s">
        <v>445</v>
      </c>
      <c r="B15" s="253">
        <v>2008</v>
      </c>
      <c r="C15" s="237" t="s">
        <v>529</v>
      </c>
      <c r="D15" s="254">
        <v>305370</v>
      </c>
    </row>
    <row r="16" spans="1:4" ht="60">
      <c r="A16" s="251" t="s">
        <v>445</v>
      </c>
      <c r="B16" s="253">
        <v>2009</v>
      </c>
      <c r="C16" s="237" t="s">
        <v>529</v>
      </c>
      <c r="D16" s="254">
        <v>174630</v>
      </c>
    </row>
    <row r="17" spans="1:4" ht="60">
      <c r="A17" s="251" t="s">
        <v>445</v>
      </c>
      <c r="B17" s="253">
        <v>2058</v>
      </c>
      <c r="C17" s="237" t="s">
        <v>511</v>
      </c>
      <c r="D17" s="254">
        <v>63630</v>
      </c>
    </row>
    <row r="18" spans="1:4" ht="60">
      <c r="A18" s="251" t="s">
        <v>445</v>
      </c>
      <c r="B18" s="253">
        <v>2059</v>
      </c>
      <c r="C18" s="237" t="s">
        <v>511</v>
      </c>
      <c r="D18" s="254">
        <v>36370</v>
      </c>
    </row>
    <row r="19" spans="1:4" ht="45">
      <c r="A19" s="251" t="s">
        <v>445</v>
      </c>
      <c r="B19" s="253">
        <v>2910</v>
      </c>
      <c r="C19" s="237" t="s">
        <v>530</v>
      </c>
      <c r="D19" s="254">
        <v>8000</v>
      </c>
    </row>
    <row r="20" spans="1:4" ht="15">
      <c r="A20" s="251" t="s">
        <v>445</v>
      </c>
      <c r="B20" s="253">
        <v>4018</v>
      </c>
      <c r="C20" s="237" t="s">
        <v>531</v>
      </c>
      <c r="D20" s="254">
        <v>1901918</v>
      </c>
    </row>
    <row r="21" spans="1:4" ht="15">
      <c r="A21" s="251" t="s">
        <v>445</v>
      </c>
      <c r="B21" s="253">
        <v>4019</v>
      </c>
      <c r="C21" s="237" t="s">
        <v>531</v>
      </c>
      <c r="D21" s="254">
        <v>1087109</v>
      </c>
    </row>
    <row r="22" spans="1:4" ht="15">
      <c r="A22" s="251" t="s">
        <v>445</v>
      </c>
      <c r="B22" s="253">
        <v>4048</v>
      </c>
      <c r="C22" s="237" t="s">
        <v>532</v>
      </c>
      <c r="D22" s="254">
        <v>155257</v>
      </c>
    </row>
    <row r="23" spans="1:4" ht="15">
      <c r="A23" s="251" t="s">
        <v>445</v>
      </c>
      <c r="B23" s="253">
        <v>4049</v>
      </c>
      <c r="C23" s="237" t="s">
        <v>532</v>
      </c>
      <c r="D23" s="254">
        <v>88743</v>
      </c>
    </row>
    <row r="24" spans="1:4" ht="15">
      <c r="A24" s="251" t="s">
        <v>445</v>
      </c>
      <c r="B24" s="253">
        <v>4118</v>
      </c>
      <c r="C24" s="237" t="s">
        <v>533</v>
      </c>
      <c r="D24" s="254">
        <v>356806</v>
      </c>
    </row>
    <row r="25" spans="1:4" ht="15">
      <c r="A25" s="251" t="s">
        <v>445</v>
      </c>
      <c r="B25" s="253">
        <v>4119</v>
      </c>
      <c r="C25" s="237" t="s">
        <v>533</v>
      </c>
      <c r="D25" s="254">
        <v>203946</v>
      </c>
    </row>
    <row r="26" spans="1:4" ht="30">
      <c r="A26" s="251" t="s">
        <v>445</v>
      </c>
      <c r="B26" s="253">
        <v>4128</v>
      </c>
      <c r="C26" s="237" t="s">
        <v>534</v>
      </c>
      <c r="D26" s="254">
        <v>49772</v>
      </c>
    </row>
    <row r="27" spans="1:4" ht="30">
      <c r="A27" s="251" t="s">
        <v>445</v>
      </c>
      <c r="B27" s="253">
        <v>4129</v>
      </c>
      <c r="C27" s="237" t="s">
        <v>534</v>
      </c>
      <c r="D27" s="254">
        <v>28449</v>
      </c>
    </row>
    <row r="28" spans="1:4" ht="15">
      <c r="A28" s="251" t="s">
        <v>445</v>
      </c>
      <c r="B28" s="253">
        <v>4178</v>
      </c>
      <c r="C28" s="237" t="s">
        <v>535</v>
      </c>
      <c r="D28" s="254">
        <v>17817</v>
      </c>
    </row>
    <row r="29" spans="1:4" ht="15">
      <c r="A29" s="251" t="s">
        <v>445</v>
      </c>
      <c r="B29" s="253">
        <v>4179</v>
      </c>
      <c r="C29" s="237" t="s">
        <v>535</v>
      </c>
      <c r="D29" s="254">
        <v>10183</v>
      </c>
    </row>
    <row r="30" spans="1:4" ht="15">
      <c r="A30" s="251" t="s">
        <v>445</v>
      </c>
      <c r="B30" s="253">
        <v>4198</v>
      </c>
      <c r="C30" s="237" t="s">
        <v>536</v>
      </c>
      <c r="D30" s="254">
        <v>636</v>
      </c>
    </row>
    <row r="31" spans="1:4" ht="15">
      <c r="A31" s="251" t="s">
        <v>445</v>
      </c>
      <c r="B31" s="253">
        <v>4199</v>
      </c>
      <c r="C31" s="237" t="s">
        <v>536</v>
      </c>
      <c r="D31" s="254">
        <v>364</v>
      </c>
    </row>
    <row r="32" spans="1:4" ht="15">
      <c r="A32" s="251" t="s">
        <v>445</v>
      </c>
      <c r="B32" s="253">
        <v>4218</v>
      </c>
      <c r="C32" s="237" t="s">
        <v>537</v>
      </c>
      <c r="D32" s="254">
        <v>41995</v>
      </c>
    </row>
    <row r="33" spans="1:4" ht="15">
      <c r="A33" s="251" t="s">
        <v>445</v>
      </c>
      <c r="B33" s="253">
        <v>4219</v>
      </c>
      <c r="C33" s="237" t="s">
        <v>537</v>
      </c>
      <c r="D33" s="254">
        <v>24005</v>
      </c>
    </row>
    <row r="34" spans="1:4" ht="15">
      <c r="A34" s="251" t="s">
        <v>445</v>
      </c>
      <c r="B34" s="253">
        <v>4228</v>
      </c>
      <c r="C34" s="237" t="s">
        <v>538</v>
      </c>
      <c r="D34" s="254">
        <v>2863</v>
      </c>
    </row>
    <row r="35" spans="1:4" ht="15">
      <c r="A35" s="251" t="s">
        <v>445</v>
      </c>
      <c r="B35" s="253">
        <v>4229</v>
      </c>
      <c r="C35" s="237" t="s">
        <v>538</v>
      </c>
      <c r="D35" s="254">
        <v>1637</v>
      </c>
    </row>
    <row r="36" spans="1:4" ht="15">
      <c r="A36" s="251" t="s">
        <v>445</v>
      </c>
      <c r="B36" s="253">
        <v>4268</v>
      </c>
      <c r="C36" s="237" t="s">
        <v>539</v>
      </c>
      <c r="D36" s="254">
        <v>51540</v>
      </c>
    </row>
    <row r="37" spans="1:4" ht="15">
      <c r="A37" s="251" t="s">
        <v>445</v>
      </c>
      <c r="B37" s="253">
        <v>4269</v>
      </c>
      <c r="C37" s="237" t="s">
        <v>539</v>
      </c>
      <c r="D37" s="254">
        <v>29460</v>
      </c>
    </row>
    <row r="38" spans="1:4" ht="15">
      <c r="A38" s="251" t="s">
        <v>445</v>
      </c>
      <c r="B38" s="253">
        <v>4278</v>
      </c>
      <c r="C38" s="237" t="s">
        <v>540</v>
      </c>
      <c r="D38" s="254">
        <v>12089</v>
      </c>
    </row>
    <row r="39" spans="1:4" ht="15">
      <c r="A39" s="251" t="s">
        <v>445</v>
      </c>
      <c r="B39" s="253">
        <v>4279</v>
      </c>
      <c r="C39" s="237" t="s">
        <v>540</v>
      </c>
      <c r="D39" s="254">
        <v>6911</v>
      </c>
    </row>
    <row r="40" spans="1:4" ht="15">
      <c r="A40" s="251" t="s">
        <v>445</v>
      </c>
      <c r="B40" s="253">
        <v>4308</v>
      </c>
      <c r="C40" s="237" t="s">
        <v>541</v>
      </c>
      <c r="D40" s="254">
        <v>312693</v>
      </c>
    </row>
    <row r="41" spans="1:4" ht="15">
      <c r="A41" s="251" t="s">
        <v>445</v>
      </c>
      <c r="B41" s="253">
        <v>4309</v>
      </c>
      <c r="C41" s="237" t="s">
        <v>541</v>
      </c>
      <c r="D41" s="254">
        <v>177507</v>
      </c>
    </row>
    <row r="42" spans="1:4" ht="15">
      <c r="A42" s="251" t="s">
        <v>445</v>
      </c>
      <c r="B42" s="253">
        <v>4368</v>
      </c>
      <c r="C42" s="237" t="s">
        <v>542</v>
      </c>
      <c r="D42" s="254">
        <v>7317</v>
      </c>
    </row>
    <row r="43" spans="1:4" ht="15">
      <c r="A43" s="251" t="s">
        <v>445</v>
      </c>
      <c r="B43" s="253">
        <v>4369</v>
      </c>
      <c r="C43" s="237" t="s">
        <v>542</v>
      </c>
      <c r="D43" s="254">
        <v>4183</v>
      </c>
    </row>
    <row r="44" spans="1:4" ht="15">
      <c r="A44" s="251" t="s">
        <v>445</v>
      </c>
      <c r="B44" s="253">
        <v>4388</v>
      </c>
      <c r="C44" s="237" t="s">
        <v>543</v>
      </c>
      <c r="D44" s="254">
        <v>1909</v>
      </c>
    </row>
    <row r="45" spans="1:4" ht="15">
      <c r="A45" s="251" t="s">
        <v>445</v>
      </c>
      <c r="B45" s="253">
        <v>4389</v>
      </c>
      <c r="C45" s="237" t="s">
        <v>543</v>
      </c>
      <c r="D45" s="254">
        <v>1091</v>
      </c>
    </row>
    <row r="46" spans="1:4" ht="15">
      <c r="A46" s="251" t="s">
        <v>445</v>
      </c>
      <c r="B46" s="253">
        <v>4408</v>
      </c>
      <c r="C46" s="237" t="s">
        <v>544</v>
      </c>
      <c r="D46" s="254">
        <v>241794</v>
      </c>
    </row>
    <row r="47" spans="1:4" ht="15">
      <c r="A47" s="251" t="s">
        <v>445</v>
      </c>
      <c r="B47" s="253">
        <v>4409</v>
      </c>
      <c r="C47" s="237" t="s">
        <v>544</v>
      </c>
      <c r="D47" s="254">
        <v>138206</v>
      </c>
    </row>
    <row r="48" spans="1:4" ht="15">
      <c r="A48" s="255" t="s">
        <v>445</v>
      </c>
      <c r="B48" s="256">
        <v>4418</v>
      </c>
      <c r="C48" s="239" t="s">
        <v>545</v>
      </c>
      <c r="D48" s="257">
        <v>8272</v>
      </c>
    </row>
    <row r="49" spans="1:4" ht="15">
      <c r="A49" s="258" t="s">
        <v>445</v>
      </c>
      <c r="B49" s="259">
        <v>4419</v>
      </c>
      <c r="C49" s="240" t="s">
        <v>545</v>
      </c>
      <c r="D49" s="260">
        <v>4728</v>
      </c>
    </row>
    <row r="50" spans="1:4" ht="15">
      <c r="A50" s="251" t="s">
        <v>445</v>
      </c>
      <c r="B50" s="253">
        <v>4428</v>
      </c>
      <c r="C50" s="237" t="s">
        <v>546</v>
      </c>
      <c r="D50" s="254">
        <v>15907</v>
      </c>
    </row>
    <row r="51" spans="1:4" ht="15">
      <c r="A51" s="251" t="s">
        <v>445</v>
      </c>
      <c r="B51" s="253">
        <v>4429</v>
      </c>
      <c r="C51" s="237" t="s">
        <v>546</v>
      </c>
      <c r="D51" s="254">
        <v>9093</v>
      </c>
    </row>
    <row r="52" spans="1:4" ht="15">
      <c r="A52" s="251" t="s">
        <v>445</v>
      </c>
      <c r="B52" s="253">
        <v>4438</v>
      </c>
      <c r="C52" s="237" t="s">
        <v>547</v>
      </c>
      <c r="D52" s="254">
        <v>3690</v>
      </c>
    </row>
    <row r="53" spans="1:4" ht="15">
      <c r="A53" s="251" t="s">
        <v>445</v>
      </c>
      <c r="B53" s="253">
        <v>4439</v>
      </c>
      <c r="C53" s="237" t="s">
        <v>547</v>
      </c>
      <c r="D53" s="254">
        <v>2110</v>
      </c>
    </row>
    <row r="54" spans="1:4" ht="15">
      <c r="A54" s="251" t="s">
        <v>445</v>
      </c>
      <c r="B54" s="253">
        <v>4708</v>
      </c>
      <c r="C54" s="237" t="s">
        <v>548</v>
      </c>
      <c r="D54" s="254">
        <v>12725</v>
      </c>
    </row>
    <row r="55" spans="1:4" ht="15">
      <c r="A55" s="251" t="s">
        <v>445</v>
      </c>
      <c r="B55" s="253">
        <v>4709</v>
      </c>
      <c r="C55" s="237" t="s">
        <v>548</v>
      </c>
      <c r="D55" s="254">
        <v>7275</v>
      </c>
    </row>
    <row r="56" spans="1:4" ht="60">
      <c r="A56" s="251" t="s">
        <v>445</v>
      </c>
      <c r="B56" s="253">
        <v>6660</v>
      </c>
      <c r="C56" s="237" t="s">
        <v>549</v>
      </c>
      <c r="D56" s="254">
        <v>2500</v>
      </c>
    </row>
    <row r="57" spans="1:4" s="235" customFormat="1" ht="14.25">
      <c r="A57" s="251" t="s">
        <v>83</v>
      </c>
      <c r="B57" s="251" t="s">
        <v>445</v>
      </c>
      <c r="C57" s="236" t="s">
        <v>84</v>
      </c>
      <c r="D57" s="252">
        <f>SUM(D58:D65)</f>
        <v>6550000</v>
      </c>
    </row>
    <row r="58" spans="1:4" ht="15">
      <c r="A58" s="251" t="s">
        <v>445</v>
      </c>
      <c r="B58" s="253">
        <v>4010</v>
      </c>
      <c r="C58" s="237" t="s">
        <v>531</v>
      </c>
      <c r="D58" s="254">
        <v>410000</v>
      </c>
    </row>
    <row r="59" spans="1:4" ht="15">
      <c r="A59" s="251" t="s">
        <v>445</v>
      </c>
      <c r="B59" s="253">
        <v>4040</v>
      </c>
      <c r="C59" s="237" t="s">
        <v>532</v>
      </c>
      <c r="D59" s="254">
        <v>40000</v>
      </c>
    </row>
    <row r="60" spans="1:4" ht="15">
      <c r="A60" s="251" t="s">
        <v>445</v>
      </c>
      <c r="B60" s="253">
        <v>4110</v>
      </c>
      <c r="C60" s="237" t="s">
        <v>533</v>
      </c>
      <c r="D60" s="254">
        <v>68000</v>
      </c>
    </row>
    <row r="61" spans="1:4" ht="30">
      <c r="A61" s="251" t="s">
        <v>445</v>
      </c>
      <c r="B61" s="253">
        <v>4120</v>
      </c>
      <c r="C61" s="237" t="s">
        <v>534</v>
      </c>
      <c r="D61" s="254">
        <v>10000</v>
      </c>
    </row>
    <row r="62" spans="1:4" ht="15">
      <c r="A62" s="251" t="s">
        <v>445</v>
      </c>
      <c r="B62" s="253">
        <v>4210</v>
      </c>
      <c r="C62" s="237" t="s">
        <v>537</v>
      </c>
      <c r="D62" s="254">
        <v>10000</v>
      </c>
    </row>
    <row r="63" spans="1:4" ht="15">
      <c r="A63" s="251" t="s">
        <v>445</v>
      </c>
      <c r="B63" s="253">
        <v>4610</v>
      </c>
      <c r="C63" s="237" t="s">
        <v>550</v>
      </c>
      <c r="D63" s="254">
        <v>10000</v>
      </c>
    </row>
    <row r="64" spans="1:4" ht="15">
      <c r="A64" s="251" t="s">
        <v>445</v>
      </c>
      <c r="B64" s="253">
        <v>4700</v>
      </c>
      <c r="C64" s="237" t="s">
        <v>548</v>
      </c>
      <c r="D64" s="254">
        <v>2000</v>
      </c>
    </row>
    <row r="65" spans="1:4" ht="33.75" customHeight="1">
      <c r="A65" s="251" t="s">
        <v>445</v>
      </c>
      <c r="B65" s="253">
        <v>6610</v>
      </c>
      <c r="C65" s="237" t="s">
        <v>551</v>
      </c>
      <c r="D65" s="254">
        <v>6000000</v>
      </c>
    </row>
    <row r="66" spans="1:4" s="235" customFormat="1" ht="14.25">
      <c r="A66" s="251" t="s">
        <v>85</v>
      </c>
      <c r="B66" s="251" t="s">
        <v>445</v>
      </c>
      <c r="C66" s="236" t="s">
        <v>73</v>
      </c>
      <c r="D66" s="252">
        <f>SUM(D67:D73)</f>
        <v>421500</v>
      </c>
    </row>
    <row r="67" spans="1:4" ht="30">
      <c r="A67" s="251" t="s">
        <v>445</v>
      </c>
      <c r="B67" s="253">
        <v>2310</v>
      </c>
      <c r="C67" s="237" t="s">
        <v>552</v>
      </c>
      <c r="D67" s="254">
        <v>80000</v>
      </c>
    </row>
    <row r="68" spans="1:4" ht="15">
      <c r="A68" s="251" t="s">
        <v>445</v>
      </c>
      <c r="B68" s="253">
        <v>4190</v>
      </c>
      <c r="C68" s="237" t="s">
        <v>536</v>
      </c>
      <c r="D68" s="254">
        <v>72000</v>
      </c>
    </row>
    <row r="69" spans="1:4" ht="15">
      <c r="A69" s="251" t="s">
        <v>445</v>
      </c>
      <c r="B69" s="253">
        <v>4210</v>
      </c>
      <c r="C69" s="237" t="s">
        <v>537</v>
      </c>
      <c r="D69" s="254">
        <v>1000</v>
      </c>
    </row>
    <row r="70" spans="1:4" ht="15">
      <c r="A70" s="251" t="s">
        <v>445</v>
      </c>
      <c r="B70" s="253">
        <v>4220</v>
      </c>
      <c r="C70" s="237" t="s">
        <v>538</v>
      </c>
      <c r="D70" s="254">
        <v>2000</v>
      </c>
    </row>
    <row r="71" spans="1:4" ht="15">
      <c r="A71" s="251" t="s">
        <v>445</v>
      </c>
      <c r="B71" s="253">
        <v>4300</v>
      </c>
      <c r="C71" s="237" t="s">
        <v>541</v>
      </c>
      <c r="D71" s="254">
        <v>255500</v>
      </c>
    </row>
    <row r="72" spans="1:4" ht="15">
      <c r="A72" s="251" t="s">
        <v>445</v>
      </c>
      <c r="B72" s="253">
        <v>4530</v>
      </c>
      <c r="C72" s="237" t="s">
        <v>553</v>
      </c>
      <c r="D72" s="254">
        <v>2000</v>
      </c>
    </row>
    <row r="73" spans="1:4" ht="15">
      <c r="A73" s="251" t="s">
        <v>445</v>
      </c>
      <c r="B73" s="253">
        <v>4540</v>
      </c>
      <c r="C73" s="237" t="s">
        <v>554</v>
      </c>
      <c r="D73" s="254">
        <v>9000</v>
      </c>
    </row>
    <row r="74" spans="1:4" ht="15">
      <c r="A74" s="261" t="s">
        <v>25</v>
      </c>
      <c r="B74" s="261" t="s">
        <v>445</v>
      </c>
      <c r="C74" s="238" t="s">
        <v>26</v>
      </c>
      <c r="D74" s="262">
        <f>D75+D109</f>
        <v>449000</v>
      </c>
    </row>
    <row r="75" spans="1:4" s="235" customFormat="1" ht="42.75">
      <c r="A75" s="251" t="s">
        <v>76</v>
      </c>
      <c r="B75" s="251" t="s">
        <v>445</v>
      </c>
      <c r="C75" s="236" t="s">
        <v>93</v>
      </c>
      <c r="D75" s="252">
        <f>SUM(D76:D108)</f>
        <v>388000</v>
      </c>
    </row>
    <row r="76" spans="1:4" ht="45">
      <c r="A76" s="251" t="s">
        <v>445</v>
      </c>
      <c r="B76" s="253">
        <v>2910</v>
      </c>
      <c r="C76" s="237" t="s">
        <v>530</v>
      </c>
      <c r="D76" s="254">
        <v>8000</v>
      </c>
    </row>
    <row r="77" spans="1:4" ht="15">
      <c r="A77" s="251" t="s">
        <v>445</v>
      </c>
      <c r="B77" s="253">
        <v>4018</v>
      </c>
      <c r="C77" s="237" t="s">
        <v>531</v>
      </c>
      <c r="D77" s="254">
        <v>160526</v>
      </c>
    </row>
    <row r="78" spans="1:4" ht="15">
      <c r="A78" s="251" t="s">
        <v>445</v>
      </c>
      <c r="B78" s="253">
        <v>4019</v>
      </c>
      <c r="C78" s="237" t="s">
        <v>531</v>
      </c>
      <c r="D78" s="254">
        <v>53509</v>
      </c>
    </row>
    <row r="79" spans="1:4" ht="15">
      <c r="A79" s="251" t="s">
        <v>445</v>
      </c>
      <c r="B79" s="253">
        <v>4048</v>
      </c>
      <c r="C79" s="237" t="s">
        <v>532</v>
      </c>
      <c r="D79" s="254">
        <v>12750</v>
      </c>
    </row>
    <row r="80" spans="1:4" ht="15">
      <c r="A80" s="251" t="s">
        <v>445</v>
      </c>
      <c r="B80" s="253">
        <v>4049</v>
      </c>
      <c r="C80" s="237" t="s">
        <v>532</v>
      </c>
      <c r="D80" s="254">
        <v>4250</v>
      </c>
    </row>
    <row r="81" spans="1:4" ht="15">
      <c r="A81" s="251" t="s">
        <v>445</v>
      </c>
      <c r="B81" s="253">
        <v>4118</v>
      </c>
      <c r="C81" s="237" t="s">
        <v>533</v>
      </c>
      <c r="D81" s="254">
        <v>30174</v>
      </c>
    </row>
    <row r="82" spans="1:4" ht="15">
      <c r="A82" s="251" t="s">
        <v>445</v>
      </c>
      <c r="B82" s="253">
        <v>4119</v>
      </c>
      <c r="C82" s="237" t="s">
        <v>533</v>
      </c>
      <c r="D82" s="254">
        <v>10058</v>
      </c>
    </row>
    <row r="83" spans="1:4" ht="30">
      <c r="A83" s="251" t="s">
        <v>445</v>
      </c>
      <c r="B83" s="253">
        <v>4128</v>
      </c>
      <c r="C83" s="237" t="s">
        <v>534</v>
      </c>
      <c r="D83" s="254">
        <v>4300</v>
      </c>
    </row>
    <row r="84" spans="1:4" ht="30">
      <c r="A84" s="251" t="s">
        <v>445</v>
      </c>
      <c r="B84" s="253">
        <v>4129</v>
      </c>
      <c r="C84" s="237" t="s">
        <v>534</v>
      </c>
      <c r="D84" s="254">
        <v>1433</v>
      </c>
    </row>
    <row r="85" spans="1:4" ht="15">
      <c r="A85" s="251" t="s">
        <v>445</v>
      </c>
      <c r="B85" s="253">
        <v>4178</v>
      </c>
      <c r="C85" s="237" t="s">
        <v>535</v>
      </c>
      <c r="D85" s="254">
        <v>2250</v>
      </c>
    </row>
    <row r="86" spans="1:4" ht="15">
      <c r="A86" s="251" t="s">
        <v>445</v>
      </c>
      <c r="B86" s="253">
        <v>4179</v>
      </c>
      <c r="C86" s="237" t="s">
        <v>535</v>
      </c>
      <c r="D86" s="254">
        <v>750</v>
      </c>
    </row>
    <row r="87" spans="1:4" ht="15">
      <c r="A87" s="251" t="s">
        <v>445</v>
      </c>
      <c r="B87" s="253">
        <v>4218</v>
      </c>
      <c r="C87" s="237" t="s">
        <v>537</v>
      </c>
      <c r="D87" s="254">
        <v>15000</v>
      </c>
    </row>
    <row r="88" spans="1:4" ht="15">
      <c r="A88" s="251" t="s">
        <v>445</v>
      </c>
      <c r="B88" s="253">
        <v>4219</v>
      </c>
      <c r="C88" s="237" t="s">
        <v>537</v>
      </c>
      <c r="D88" s="254">
        <v>5000</v>
      </c>
    </row>
    <row r="89" spans="1:4" ht="15">
      <c r="A89" s="251" t="s">
        <v>445</v>
      </c>
      <c r="B89" s="253">
        <v>4228</v>
      </c>
      <c r="C89" s="237" t="s">
        <v>538</v>
      </c>
      <c r="D89" s="254">
        <v>2250</v>
      </c>
    </row>
    <row r="90" spans="1:4" ht="15">
      <c r="A90" s="251" t="s">
        <v>445</v>
      </c>
      <c r="B90" s="253">
        <v>4229</v>
      </c>
      <c r="C90" s="237" t="s">
        <v>538</v>
      </c>
      <c r="D90" s="254">
        <v>750</v>
      </c>
    </row>
    <row r="91" spans="1:4" ht="15">
      <c r="A91" s="251" t="s">
        <v>445</v>
      </c>
      <c r="B91" s="253">
        <v>4268</v>
      </c>
      <c r="C91" s="237" t="s">
        <v>539</v>
      </c>
      <c r="D91" s="254">
        <v>4500</v>
      </c>
    </row>
    <row r="92" spans="1:4" ht="15">
      <c r="A92" s="251" t="s">
        <v>445</v>
      </c>
      <c r="B92" s="253">
        <v>4269</v>
      </c>
      <c r="C92" s="237" t="s">
        <v>539</v>
      </c>
      <c r="D92" s="254">
        <v>1500</v>
      </c>
    </row>
    <row r="93" spans="1:4" ht="15">
      <c r="A93" s="251" t="s">
        <v>445</v>
      </c>
      <c r="B93" s="253">
        <v>4278</v>
      </c>
      <c r="C93" s="237" t="s">
        <v>540</v>
      </c>
      <c r="D93" s="254">
        <v>3750</v>
      </c>
    </row>
    <row r="94" spans="1:4" ht="15">
      <c r="A94" s="251" t="s">
        <v>445</v>
      </c>
      <c r="B94" s="253">
        <v>4279</v>
      </c>
      <c r="C94" s="237" t="s">
        <v>540</v>
      </c>
      <c r="D94" s="254">
        <v>1250</v>
      </c>
    </row>
    <row r="95" spans="1:4" ht="15">
      <c r="A95" s="251" t="s">
        <v>445</v>
      </c>
      <c r="B95" s="253">
        <v>4308</v>
      </c>
      <c r="C95" s="237" t="s">
        <v>541</v>
      </c>
      <c r="D95" s="254">
        <v>15750</v>
      </c>
    </row>
    <row r="96" spans="1:4" ht="15">
      <c r="A96" s="251" t="s">
        <v>445</v>
      </c>
      <c r="B96" s="253">
        <v>4309</v>
      </c>
      <c r="C96" s="237" t="s">
        <v>541</v>
      </c>
      <c r="D96" s="254">
        <v>5250</v>
      </c>
    </row>
    <row r="97" spans="1:4" ht="15">
      <c r="A97" s="251" t="s">
        <v>445</v>
      </c>
      <c r="B97" s="253">
        <v>4368</v>
      </c>
      <c r="C97" s="237" t="s">
        <v>542</v>
      </c>
      <c r="D97" s="254">
        <v>1500</v>
      </c>
    </row>
    <row r="98" spans="1:4" ht="15">
      <c r="A98" s="251" t="s">
        <v>445</v>
      </c>
      <c r="B98" s="253">
        <v>4369</v>
      </c>
      <c r="C98" s="237" t="s">
        <v>542</v>
      </c>
      <c r="D98" s="254">
        <v>500</v>
      </c>
    </row>
    <row r="99" spans="1:4" ht="15">
      <c r="A99" s="255" t="s">
        <v>445</v>
      </c>
      <c r="B99" s="256">
        <v>4408</v>
      </c>
      <c r="C99" s="239" t="s">
        <v>544</v>
      </c>
      <c r="D99" s="257">
        <v>23250</v>
      </c>
    </row>
    <row r="100" spans="1:4" ht="15">
      <c r="A100" s="258" t="s">
        <v>445</v>
      </c>
      <c r="B100" s="259">
        <v>4409</v>
      </c>
      <c r="C100" s="240" t="s">
        <v>544</v>
      </c>
      <c r="D100" s="260">
        <v>7750</v>
      </c>
    </row>
    <row r="101" spans="1:4" ht="15">
      <c r="A101" s="251" t="s">
        <v>445</v>
      </c>
      <c r="B101" s="253">
        <v>4418</v>
      </c>
      <c r="C101" s="237" t="s">
        <v>545</v>
      </c>
      <c r="D101" s="254">
        <v>2625</v>
      </c>
    </row>
    <row r="102" spans="1:4" ht="15">
      <c r="A102" s="251" t="s">
        <v>445</v>
      </c>
      <c r="B102" s="253">
        <v>4419</v>
      </c>
      <c r="C102" s="237" t="s">
        <v>545</v>
      </c>
      <c r="D102" s="254">
        <v>875</v>
      </c>
    </row>
    <row r="103" spans="1:4" ht="15">
      <c r="A103" s="251" t="s">
        <v>445</v>
      </c>
      <c r="B103" s="253">
        <v>4428</v>
      </c>
      <c r="C103" s="237" t="s">
        <v>546</v>
      </c>
      <c r="D103" s="254">
        <v>1125</v>
      </c>
    </row>
    <row r="104" spans="1:4" ht="15">
      <c r="A104" s="251" t="s">
        <v>445</v>
      </c>
      <c r="B104" s="253">
        <v>4429</v>
      </c>
      <c r="C104" s="237" t="s">
        <v>546</v>
      </c>
      <c r="D104" s="254">
        <v>375</v>
      </c>
    </row>
    <row r="105" spans="1:4" ht="15">
      <c r="A105" s="251" t="s">
        <v>445</v>
      </c>
      <c r="B105" s="253">
        <v>4438</v>
      </c>
      <c r="C105" s="237" t="s">
        <v>547</v>
      </c>
      <c r="D105" s="254">
        <v>1500</v>
      </c>
    </row>
    <row r="106" spans="1:4" ht="15">
      <c r="A106" s="251" t="s">
        <v>445</v>
      </c>
      <c r="B106" s="253">
        <v>4439</v>
      </c>
      <c r="C106" s="237" t="s">
        <v>547</v>
      </c>
      <c r="D106" s="254">
        <v>500</v>
      </c>
    </row>
    <row r="107" spans="1:4" ht="15">
      <c r="A107" s="251" t="s">
        <v>445</v>
      </c>
      <c r="B107" s="253">
        <v>4708</v>
      </c>
      <c r="C107" s="237" t="s">
        <v>548</v>
      </c>
      <c r="D107" s="254">
        <v>3750</v>
      </c>
    </row>
    <row r="108" spans="1:4" ht="15">
      <c r="A108" s="251" t="s">
        <v>445</v>
      </c>
      <c r="B108" s="253">
        <v>4709</v>
      </c>
      <c r="C108" s="237" t="s">
        <v>548</v>
      </c>
      <c r="D108" s="254">
        <v>1250</v>
      </c>
    </row>
    <row r="109" spans="1:4" s="235" customFormat="1" ht="14.25">
      <c r="A109" s="251" t="s">
        <v>384</v>
      </c>
      <c r="B109" s="251" t="s">
        <v>445</v>
      </c>
      <c r="C109" s="236" t="s">
        <v>73</v>
      </c>
      <c r="D109" s="252">
        <f>SUM(D110:D113)</f>
        <v>61000</v>
      </c>
    </row>
    <row r="110" spans="1:4" ht="15">
      <c r="A110" s="251" t="s">
        <v>445</v>
      </c>
      <c r="B110" s="253">
        <v>4010</v>
      </c>
      <c r="C110" s="237" t="s">
        <v>531</v>
      </c>
      <c r="D110" s="254">
        <v>47296</v>
      </c>
    </row>
    <row r="111" spans="1:4" ht="15">
      <c r="A111" s="251" t="s">
        <v>445</v>
      </c>
      <c r="B111" s="253">
        <v>4040</v>
      </c>
      <c r="C111" s="237" t="s">
        <v>532</v>
      </c>
      <c r="D111" s="254">
        <v>3690</v>
      </c>
    </row>
    <row r="112" spans="1:4" ht="15">
      <c r="A112" s="251" t="s">
        <v>445</v>
      </c>
      <c r="B112" s="253">
        <v>4110</v>
      </c>
      <c r="C112" s="237" t="s">
        <v>533</v>
      </c>
      <c r="D112" s="254">
        <v>8765</v>
      </c>
    </row>
    <row r="113" spans="1:4" ht="30">
      <c r="A113" s="251" t="s">
        <v>445</v>
      </c>
      <c r="B113" s="253">
        <v>4120</v>
      </c>
      <c r="C113" s="237" t="s">
        <v>534</v>
      </c>
      <c r="D113" s="254">
        <v>1249</v>
      </c>
    </row>
    <row r="114" spans="1:4" ht="15">
      <c r="A114" s="261" t="s">
        <v>91</v>
      </c>
      <c r="B114" s="261" t="s">
        <v>445</v>
      </c>
      <c r="C114" s="238" t="s">
        <v>92</v>
      </c>
      <c r="D114" s="262">
        <f>D115+D122+D138</f>
        <v>18699266</v>
      </c>
    </row>
    <row r="115" spans="1:4" s="235" customFormat="1" ht="14.25">
      <c r="A115" s="251">
        <v>15011</v>
      </c>
      <c r="B115" s="251" t="s">
        <v>445</v>
      </c>
      <c r="C115" s="236" t="s">
        <v>452</v>
      </c>
      <c r="D115" s="252">
        <f>SUM(D116:D121)</f>
        <v>6467798</v>
      </c>
    </row>
    <row r="116" spans="1:4" ht="30">
      <c r="A116" s="251" t="s">
        <v>445</v>
      </c>
      <c r="B116" s="253">
        <v>2800</v>
      </c>
      <c r="C116" s="237" t="s">
        <v>555</v>
      </c>
      <c r="D116" s="254">
        <v>2941937</v>
      </c>
    </row>
    <row r="117" spans="1:4" ht="15">
      <c r="A117" s="251" t="s">
        <v>445</v>
      </c>
      <c r="B117" s="253">
        <v>4010</v>
      </c>
      <c r="C117" s="237" t="s">
        <v>531</v>
      </c>
      <c r="D117" s="254">
        <v>154810</v>
      </c>
    </row>
    <row r="118" spans="1:4" ht="15">
      <c r="A118" s="251" t="s">
        <v>445</v>
      </c>
      <c r="B118" s="253">
        <v>4110</v>
      </c>
      <c r="C118" s="237" t="s">
        <v>533</v>
      </c>
      <c r="D118" s="254">
        <v>74429</v>
      </c>
    </row>
    <row r="119" spans="1:4" ht="30">
      <c r="A119" s="251" t="s">
        <v>445</v>
      </c>
      <c r="B119" s="253">
        <v>4120</v>
      </c>
      <c r="C119" s="237" t="s">
        <v>534</v>
      </c>
      <c r="D119" s="254">
        <v>5999</v>
      </c>
    </row>
    <row r="120" spans="1:4" ht="15">
      <c r="A120" s="251" t="s">
        <v>445</v>
      </c>
      <c r="B120" s="253">
        <v>4300</v>
      </c>
      <c r="C120" s="237" t="s">
        <v>541</v>
      </c>
      <c r="D120" s="254">
        <v>3288121</v>
      </c>
    </row>
    <row r="121" spans="1:4" ht="15">
      <c r="A121" s="251" t="s">
        <v>445</v>
      </c>
      <c r="B121" s="253">
        <v>4410</v>
      </c>
      <c r="C121" s="237" t="s">
        <v>545</v>
      </c>
      <c r="D121" s="254">
        <v>2502</v>
      </c>
    </row>
    <row r="122" spans="1:4" s="235" customFormat="1" ht="14.25">
      <c r="A122" s="251">
        <v>15013</v>
      </c>
      <c r="B122" s="251" t="s">
        <v>445</v>
      </c>
      <c r="C122" s="236" t="s">
        <v>130</v>
      </c>
      <c r="D122" s="252">
        <f>SUM(D123:D137)</f>
        <v>11945212</v>
      </c>
    </row>
    <row r="123" spans="1:4" ht="60">
      <c r="A123" s="251" t="s">
        <v>445</v>
      </c>
      <c r="B123" s="253">
        <v>2007</v>
      </c>
      <c r="C123" s="237" t="s">
        <v>529</v>
      </c>
      <c r="D123" s="254">
        <v>7878572</v>
      </c>
    </row>
    <row r="124" spans="1:4" ht="60">
      <c r="A124" s="251" t="s">
        <v>445</v>
      </c>
      <c r="B124" s="253">
        <v>2009</v>
      </c>
      <c r="C124" s="237" t="s">
        <v>529</v>
      </c>
      <c r="D124" s="254">
        <v>3596459</v>
      </c>
    </row>
    <row r="125" spans="1:4" ht="60">
      <c r="A125" s="251" t="s">
        <v>445</v>
      </c>
      <c r="B125" s="253">
        <v>2059</v>
      </c>
      <c r="C125" s="237" t="s">
        <v>511</v>
      </c>
      <c r="D125" s="254">
        <v>175000</v>
      </c>
    </row>
    <row r="126" spans="1:4" ht="15">
      <c r="A126" s="251" t="s">
        <v>445</v>
      </c>
      <c r="B126" s="253">
        <v>4017</v>
      </c>
      <c r="C126" s="237" t="s">
        <v>531</v>
      </c>
      <c r="D126" s="254">
        <v>97504</v>
      </c>
    </row>
    <row r="127" spans="1:4" ht="15">
      <c r="A127" s="251" t="s">
        <v>445</v>
      </c>
      <c r="B127" s="253">
        <v>4019</v>
      </c>
      <c r="C127" s="237" t="s">
        <v>531</v>
      </c>
      <c r="D127" s="254">
        <v>115700</v>
      </c>
    </row>
    <row r="128" spans="1:4" ht="15">
      <c r="A128" s="251" t="s">
        <v>445</v>
      </c>
      <c r="B128" s="253">
        <v>4117</v>
      </c>
      <c r="C128" s="237" t="s">
        <v>533</v>
      </c>
      <c r="D128" s="254">
        <v>20857</v>
      </c>
    </row>
    <row r="129" spans="1:4" ht="15">
      <c r="A129" s="251" t="s">
        <v>445</v>
      </c>
      <c r="B129" s="253">
        <v>4119</v>
      </c>
      <c r="C129" s="237" t="s">
        <v>533</v>
      </c>
      <c r="D129" s="254">
        <v>24750</v>
      </c>
    </row>
    <row r="130" spans="1:4" ht="30">
      <c r="A130" s="251" t="s">
        <v>445</v>
      </c>
      <c r="B130" s="253">
        <v>4127</v>
      </c>
      <c r="C130" s="237" t="s">
        <v>534</v>
      </c>
      <c r="D130" s="254">
        <v>2973</v>
      </c>
    </row>
    <row r="131" spans="1:4" ht="30">
      <c r="A131" s="251" t="s">
        <v>445</v>
      </c>
      <c r="B131" s="253">
        <v>4129</v>
      </c>
      <c r="C131" s="237" t="s">
        <v>534</v>
      </c>
      <c r="D131" s="254">
        <v>3526</v>
      </c>
    </row>
    <row r="132" spans="1:4" ht="15">
      <c r="A132" s="251" t="s">
        <v>445</v>
      </c>
      <c r="B132" s="253">
        <v>4170</v>
      </c>
      <c r="C132" s="237" t="s">
        <v>535</v>
      </c>
      <c r="D132" s="254">
        <v>5000</v>
      </c>
    </row>
    <row r="133" spans="1:4" ht="15">
      <c r="A133" s="251" t="s">
        <v>445</v>
      </c>
      <c r="B133" s="253">
        <v>4177</v>
      </c>
      <c r="C133" s="237" t="s">
        <v>535</v>
      </c>
      <c r="D133" s="254">
        <v>5440</v>
      </c>
    </row>
    <row r="134" spans="1:4" ht="15">
      <c r="A134" s="251" t="s">
        <v>445</v>
      </c>
      <c r="B134" s="253">
        <v>4179</v>
      </c>
      <c r="C134" s="237" t="s">
        <v>535</v>
      </c>
      <c r="D134" s="254">
        <v>27</v>
      </c>
    </row>
    <row r="135" spans="1:4" ht="15">
      <c r="A135" s="251" t="s">
        <v>445</v>
      </c>
      <c r="B135" s="253">
        <v>4217</v>
      </c>
      <c r="C135" s="237" t="s">
        <v>537</v>
      </c>
      <c r="D135" s="254">
        <v>245</v>
      </c>
    </row>
    <row r="136" spans="1:4" ht="15">
      <c r="A136" s="251" t="s">
        <v>445</v>
      </c>
      <c r="B136" s="253">
        <v>4219</v>
      </c>
      <c r="C136" s="237" t="s">
        <v>537</v>
      </c>
      <c r="D136" s="254">
        <v>4159</v>
      </c>
    </row>
    <row r="137" spans="1:4" ht="15">
      <c r="A137" s="251" t="s">
        <v>445</v>
      </c>
      <c r="B137" s="253">
        <v>4300</v>
      </c>
      <c r="C137" s="237" t="s">
        <v>541</v>
      </c>
      <c r="D137" s="254">
        <v>15000</v>
      </c>
    </row>
    <row r="138" spans="1:4" s="235" customFormat="1" ht="14.25">
      <c r="A138" s="251">
        <v>15095</v>
      </c>
      <c r="B138" s="251" t="s">
        <v>445</v>
      </c>
      <c r="C138" s="236" t="s">
        <v>73</v>
      </c>
      <c r="D138" s="252">
        <f>SUM(D139:D160)</f>
        <v>286256</v>
      </c>
    </row>
    <row r="139" spans="1:4" ht="15">
      <c r="A139" s="251" t="s">
        <v>445</v>
      </c>
      <c r="B139" s="253">
        <v>3038</v>
      </c>
      <c r="C139" s="237" t="s">
        <v>556</v>
      </c>
      <c r="D139" s="254">
        <v>4250</v>
      </c>
    </row>
    <row r="140" spans="1:4" ht="15">
      <c r="A140" s="251" t="s">
        <v>445</v>
      </c>
      <c r="B140" s="253">
        <v>3039</v>
      </c>
      <c r="C140" s="237" t="s">
        <v>556</v>
      </c>
      <c r="D140" s="254">
        <v>750</v>
      </c>
    </row>
    <row r="141" spans="1:4" ht="15">
      <c r="A141" s="251" t="s">
        <v>445</v>
      </c>
      <c r="B141" s="253">
        <v>4018</v>
      </c>
      <c r="C141" s="237" t="s">
        <v>531</v>
      </c>
      <c r="D141" s="254">
        <v>90631</v>
      </c>
    </row>
    <row r="142" spans="1:4" ht="15">
      <c r="A142" s="251" t="s">
        <v>445</v>
      </c>
      <c r="B142" s="253">
        <v>4019</v>
      </c>
      <c r="C142" s="237" t="s">
        <v>531</v>
      </c>
      <c r="D142" s="254">
        <v>15991</v>
      </c>
    </row>
    <row r="143" spans="1:4" ht="15">
      <c r="A143" s="251" t="s">
        <v>445</v>
      </c>
      <c r="B143" s="253">
        <v>4048</v>
      </c>
      <c r="C143" s="237" t="s">
        <v>532</v>
      </c>
      <c r="D143" s="254">
        <v>6174</v>
      </c>
    </row>
    <row r="144" spans="1:4" ht="15">
      <c r="A144" s="251" t="s">
        <v>445</v>
      </c>
      <c r="B144" s="253">
        <v>4049</v>
      </c>
      <c r="C144" s="237" t="s">
        <v>532</v>
      </c>
      <c r="D144" s="254">
        <v>1090</v>
      </c>
    </row>
    <row r="145" spans="1:4" ht="15">
      <c r="A145" s="251" t="s">
        <v>445</v>
      </c>
      <c r="B145" s="253">
        <v>4118</v>
      </c>
      <c r="C145" s="237" t="s">
        <v>533</v>
      </c>
      <c r="D145" s="254">
        <v>16642</v>
      </c>
    </row>
    <row r="146" spans="1:4" ht="15">
      <c r="A146" s="251" t="s">
        <v>445</v>
      </c>
      <c r="B146" s="253">
        <v>4119</v>
      </c>
      <c r="C146" s="237" t="s">
        <v>533</v>
      </c>
      <c r="D146" s="254">
        <v>2937</v>
      </c>
    </row>
    <row r="147" spans="1:4" ht="30">
      <c r="A147" s="255" t="s">
        <v>445</v>
      </c>
      <c r="B147" s="256">
        <v>4128</v>
      </c>
      <c r="C147" s="239" t="s">
        <v>534</v>
      </c>
      <c r="D147" s="257">
        <v>2372</v>
      </c>
    </row>
    <row r="148" spans="1:4" ht="30">
      <c r="A148" s="258" t="s">
        <v>445</v>
      </c>
      <c r="B148" s="259">
        <v>4129</v>
      </c>
      <c r="C148" s="240" t="s">
        <v>534</v>
      </c>
      <c r="D148" s="260">
        <v>419</v>
      </c>
    </row>
    <row r="149" spans="1:4" ht="15">
      <c r="A149" s="251" t="s">
        <v>445</v>
      </c>
      <c r="B149" s="253">
        <v>4218</v>
      </c>
      <c r="C149" s="237" t="s">
        <v>537</v>
      </c>
      <c r="D149" s="254">
        <v>1700</v>
      </c>
    </row>
    <row r="150" spans="1:4" ht="15">
      <c r="A150" s="251" t="s">
        <v>445</v>
      </c>
      <c r="B150" s="253">
        <v>4219</v>
      </c>
      <c r="C150" s="237" t="s">
        <v>537</v>
      </c>
      <c r="D150" s="254">
        <v>300</v>
      </c>
    </row>
    <row r="151" spans="1:4" ht="15">
      <c r="A151" s="251" t="s">
        <v>445</v>
      </c>
      <c r="B151" s="253">
        <v>4308</v>
      </c>
      <c r="C151" s="237" t="s">
        <v>541</v>
      </c>
      <c r="D151" s="254">
        <v>100266</v>
      </c>
    </row>
    <row r="152" spans="1:4" ht="15">
      <c r="A152" s="251" t="s">
        <v>445</v>
      </c>
      <c r="B152" s="253">
        <v>4309</v>
      </c>
      <c r="C152" s="237" t="s">
        <v>541</v>
      </c>
      <c r="D152" s="254">
        <v>17694</v>
      </c>
    </row>
    <row r="153" spans="1:4" ht="15">
      <c r="A153" s="251" t="s">
        <v>445</v>
      </c>
      <c r="B153" s="253">
        <v>4388</v>
      </c>
      <c r="C153" s="237" t="s">
        <v>543</v>
      </c>
      <c r="D153" s="254">
        <v>2550</v>
      </c>
    </row>
    <row r="154" spans="1:4" ht="15">
      <c r="A154" s="251" t="s">
        <v>445</v>
      </c>
      <c r="B154" s="253">
        <v>4389</v>
      </c>
      <c r="C154" s="237" t="s">
        <v>543</v>
      </c>
      <c r="D154" s="254">
        <v>450</v>
      </c>
    </row>
    <row r="155" spans="1:4" ht="15">
      <c r="A155" s="251" t="s">
        <v>445</v>
      </c>
      <c r="B155" s="253">
        <v>4418</v>
      </c>
      <c r="C155" s="237" t="s">
        <v>545</v>
      </c>
      <c r="D155" s="254">
        <v>850</v>
      </c>
    </row>
    <row r="156" spans="1:4" ht="15">
      <c r="A156" s="251" t="s">
        <v>445</v>
      </c>
      <c r="B156" s="253">
        <v>4419</v>
      </c>
      <c r="C156" s="237" t="s">
        <v>545</v>
      </c>
      <c r="D156" s="254">
        <v>150</v>
      </c>
    </row>
    <row r="157" spans="1:4" ht="15">
      <c r="A157" s="251" t="s">
        <v>445</v>
      </c>
      <c r="B157" s="253">
        <v>4428</v>
      </c>
      <c r="C157" s="237" t="s">
        <v>546</v>
      </c>
      <c r="D157" s="254">
        <v>17544</v>
      </c>
    </row>
    <row r="158" spans="1:4" ht="15">
      <c r="A158" s="251" t="s">
        <v>445</v>
      </c>
      <c r="B158" s="253">
        <v>4429</v>
      </c>
      <c r="C158" s="237" t="s">
        <v>546</v>
      </c>
      <c r="D158" s="254">
        <v>3096</v>
      </c>
    </row>
    <row r="159" spans="1:4" ht="15">
      <c r="A159" s="251" t="s">
        <v>445</v>
      </c>
      <c r="B159" s="253">
        <v>4438</v>
      </c>
      <c r="C159" s="237" t="s">
        <v>547</v>
      </c>
      <c r="D159" s="254">
        <v>340</v>
      </c>
    </row>
    <row r="160" spans="1:4" ht="15">
      <c r="A160" s="251" t="s">
        <v>445</v>
      </c>
      <c r="B160" s="253">
        <v>4439</v>
      </c>
      <c r="C160" s="237" t="s">
        <v>547</v>
      </c>
      <c r="D160" s="254">
        <v>60</v>
      </c>
    </row>
    <row r="161" spans="1:4" ht="15">
      <c r="A161" s="261" t="s">
        <v>132</v>
      </c>
      <c r="B161" s="261" t="s">
        <v>445</v>
      </c>
      <c r="C161" s="238" t="s">
        <v>133</v>
      </c>
      <c r="D161" s="262">
        <f>D162</f>
        <v>373550</v>
      </c>
    </row>
    <row r="162" spans="1:4" s="235" customFormat="1" ht="14.25">
      <c r="A162" s="251">
        <v>50005</v>
      </c>
      <c r="B162" s="251" t="s">
        <v>445</v>
      </c>
      <c r="C162" s="236" t="s">
        <v>135</v>
      </c>
      <c r="D162" s="252">
        <f>SUM(D163:D172)</f>
        <v>373550</v>
      </c>
    </row>
    <row r="163" spans="1:4" ht="15">
      <c r="A163" s="251" t="s">
        <v>445</v>
      </c>
      <c r="B163" s="253">
        <v>4010</v>
      </c>
      <c r="C163" s="237" t="s">
        <v>531</v>
      </c>
      <c r="D163" s="254">
        <v>226000</v>
      </c>
    </row>
    <row r="164" spans="1:4" ht="15">
      <c r="A164" s="251" t="s">
        <v>445</v>
      </c>
      <c r="B164" s="253">
        <v>4040</v>
      </c>
      <c r="C164" s="237" t="s">
        <v>532</v>
      </c>
      <c r="D164" s="254">
        <v>19000</v>
      </c>
    </row>
    <row r="165" spans="1:4" ht="15">
      <c r="A165" s="251" t="s">
        <v>445</v>
      </c>
      <c r="B165" s="253">
        <v>4110</v>
      </c>
      <c r="C165" s="237" t="s">
        <v>533</v>
      </c>
      <c r="D165" s="254">
        <v>42500</v>
      </c>
    </row>
    <row r="166" spans="1:4" ht="30">
      <c r="A166" s="251" t="s">
        <v>445</v>
      </c>
      <c r="B166" s="253">
        <v>4120</v>
      </c>
      <c r="C166" s="237" t="s">
        <v>534</v>
      </c>
      <c r="D166" s="254">
        <v>6050</v>
      </c>
    </row>
    <row r="167" spans="1:4" ht="15">
      <c r="A167" s="251" t="s">
        <v>445</v>
      </c>
      <c r="B167" s="253">
        <v>4170</v>
      </c>
      <c r="C167" s="237" t="s">
        <v>535</v>
      </c>
      <c r="D167" s="254">
        <v>1000</v>
      </c>
    </row>
    <row r="168" spans="1:4" ht="15">
      <c r="A168" s="251" t="s">
        <v>445</v>
      </c>
      <c r="B168" s="253">
        <v>4210</v>
      </c>
      <c r="C168" s="237" t="s">
        <v>537</v>
      </c>
      <c r="D168" s="254">
        <v>1500</v>
      </c>
    </row>
    <row r="169" spans="1:4" ht="15">
      <c r="A169" s="251" t="s">
        <v>445</v>
      </c>
      <c r="B169" s="253">
        <v>4220</v>
      </c>
      <c r="C169" s="237" t="s">
        <v>538</v>
      </c>
      <c r="D169" s="254">
        <v>500</v>
      </c>
    </row>
    <row r="170" spans="1:4" ht="15">
      <c r="A170" s="251" t="s">
        <v>445</v>
      </c>
      <c r="B170" s="253">
        <v>4300</v>
      </c>
      <c r="C170" s="237" t="s">
        <v>541</v>
      </c>
      <c r="D170" s="254">
        <v>74500</v>
      </c>
    </row>
    <row r="171" spans="1:4" ht="15">
      <c r="A171" s="251" t="s">
        <v>445</v>
      </c>
      <c r="B171" s="253">
        <v>4380</v>
      </c>
      <c r="C171" s="237" t="s">
        <v>543</v>
      </c>
      <c r="D171" s="254">
        <v>500</v>
      </c>
    </row>
    <row r="172" spans="1:4" ht="15">
      <c r="A172" s="251" t="s">
        <v>445</v>
      </c>
      <c r="B172" s="253">
        <v>4390</v>
      </c>
      <c r="C172" s="237" t="s">
        <v>557</v>
      </c>
      <c r="D172" s="254">
        <v>2000</v>
      </c>
    </row>
    <row r="173" spans="1:4" ht="15">
      <c r="A173" s="261" t="s">
        <v>27</v>
      </c>
      <c r="B173" s="261" t="s">
        <v>445</v>
      </c>
      <c r="C173" s="238" t="s">
        <v>28</v>
      </c>
      <c r="D173" s="262">
        <f>D174+D178+D180+D182+D184+D225+D227+D229</f>
        <v>391173517</v>
      </c>
    </row>
    <row r="174" spans="1:4" s="235" customFormat="1" ht="14.25">
      <c r="A174" s="251">
        <v>60001</v>
      </c>
      <c r="B174" s="251" t="s">
        <v>445</v>
      </c>
      <c r="C174" s="236" t="s">
        <v>77</v>
      </c>
      <c r="D174" s="252">
        <f>SUM(D175:D177)</f>
        <v>110482366</v>
      </c>
    </row>
    <row r="175" spans="1:4" ht="45">
      <c r="A175" s="251" t="s">
        <v>445</v>
      </c>
      <c r="B175" s="253">
        <v>2330</v>
      </c>
      <c r="C175" s="237" t="s">
        <v>558</v>
      </c>
      <c r="D175" s="254">
        <v>1300000</v>
      </c>
    </row>
    <row r="176" spans="1:4" ht="30">
      <c r="A176" s="251" t="s">
        <v>445</v>
      </c>
      <c r="B176" s="253">
        <v>2630</v>
      </c>
      <c r="C176" s="237" t="s">
        <v>559</v>
      </c>
      <c r="D176" s="254">
        <v>99220000</v>
      </c>
    </row>
    <row r="177" spans="1:4" ht="15">
      <c r="A177" s="251" t="s">
        <v>445</v>
      </c>
      <c r="B177" s="253">
        <v>4270</v>
      </c>
      <c r="C177" s="237" t="s">
        <v>540</v>
      </c>
      <c r="D177" s="254">
        <v>9962366</v>
      </c>
    </row>
    <row r="178" spans="1:4" s="235" customFormat="1" ht="14.25">
      <c r="A178" s="251">
        <v>60002</v>
      </c>
      <c r="B178" s="251" t="s">
        <v>445</v>
      </c>
      <c r="C178" s="236" t="s">
        <v>99</v>
      </c>
      <c r="D178" s="252">
        <f>D179</f>
        <v>200000</v>
      </c>
    </row>
    <row r="179" spans="1:4" ht="15">
      <c r="A179" s="251" t="s">
        <v>445</v>
      </c>
      <c r="B179" s="253">
        <v>6050</v>
      </c>
      <c r="C179" s="237" t="s">
        <v>560</v>
      </c>
      <c r="D179" s="254">
        <v>200000</v>
      </c>
    </row>
    <row r="180" spans="1:4" s="235" customFormat="1" ht="14.25">
      <c r="A180" s="251">
        <v>60003</v>
      </c>
      <c r="B180" s="251" t="s">
        <v>445</v>
      </c>
      <c r="C180" s="236" t="s">
        <v>78</v>
      </c>
      <c r="D180" s="252">
        <f>D181</f>
        <v>37000000</v>
      </c>
    </row>
    <row r="181" spans="1:4" ht="33" customHeight="1">
      <c r="A181" s="251" t="s">
        <v>445</v>
      </c>
      <c r="B181" s="253">
        <v>2830</v>
      </c>
      <c r="C181" s="237" t="s">
        <v>528</v>
      </c>
      <c r="D181" s="254">
        <v>37000000</v>
      </c>
    </row>
    <row r="182" spans="1:4" s="235" customFormat="1" ht="14.25">
      <c r="A182" s="251">
        <v>60004</v>
      </c>
      <c r="B182" s="251" t="s">
        <v>445</v>
      </c>
      <c r="C182" s="236" t="s">
        <v>342</v>
      </c>
      <c r="D182" s="252">
        <f>D183</f>
        <v>1200000</v>
      </c>
    </row>
    <row r="183" spans="1:4" ht="32.25" customHeight="1">
      <c r="A183" s="251" t="s">
        <v>445</v>
      </c>
      <c r="B183" s="253">
        <v>2830</v>
      </c>
      <c r="C183" s="237" t="s">
        <v>528</v>
      </c>
      <c r="D183" s="254">
        <v>1200000</v>
      </c>
    </row>
    <row r="184" spans="1:4" s="235" customFormat="1" ht="14.25">
      <c r="A184" s="251">
        <v>60013</v>
      </c>
      <c r="B184" s="251" t="s">
        <v>445</v>
      </c>
      <c r="C184" s="236" t="s">
        <v>79</v>
      </c>
      <c r="D184" s="252">
        <f>SUM(D185:D224)</f>
        <v>234377672</v>
      </c>
    </row>
    <row r="185" spans="1:4" ht="15">
      <c r="A185" s="251" t="s">
        <v>445</v>
      </c>
      <c r="B185" s="253">
        <v>3020</v>
      </c>
      <c r="C185" s="237" t="s">
        <v>561</v>
      </c>
      <c r="D185" s="254">
        <v>65000</v>
      </c>
    </row>
    <row r="186" spans="1:4" ht="15">
      <c r="A186" s="251" t="s">
        <v>445</v>
      </c>
      <c r="B186" s="253">
        <v>4010</v>
      </c>
      <c r="C186" s="237" t="s">
        <v>531</v>
      </c>
      <c r="D186" s="254">
        <v>10839764</v>
      </c>
    </row>
    <row r="187" spans="1:4" ht="15">
      <c r="A187" s="251" t="s">
        <v>445</v>
      </c>
      <c r="B187" s="253">
        <v>4017</v>
      </c>
      <c r="C187" s="237" t="s">
        <v>531</v>
      </c>
      <c r="D187" s="254">
        <v>181690</v>
      </c>
    </row>
    <row r="188" spans="1:4" ht="15">
      <c r="A188" s="251" t="s">
        <v>445</v>
      </c>
      <c r="B188" s="253">
        <v>4019</v>
      </c>
      <c r="C188" s="237" t="s">
        <v>531</v>
      </c>
      <c r="D188" s="254">
        <v>199626</v>
      </c>
    </row>
    <row r="189" spans="1:4" ht="15">
      <c r="A189" s="251" t="s">
        <v>445</v>
      </c>
      <c r="B189" s="253">
        <v>4040</v>
      </c>
      <c r="C189" s="237" t="s">
        <v>532</v>
      </c>
      <c r="D189" s="254">
        <v>836891</v>
      </c>
    </row>
    <row r="190" spans="1:4" ht="15">
      <c r="A190" s="251" t="s">
        <v>445</v>
      </c>
      <c r="B190" s="253">
        <v>4047</v>
      </c>
      <c r="C190" s="237" t="s">
        <v>532</v>
      </c>
      <c r="D190" s="254">
        <v>14115</v>
      </c>
    </row>
    <row r="191" spans="1:4" ht="15">
      <c r="A191" s="251" t="s">
        <v>445</v>
      </c>
      <c r="B191" s="253">
        <v>4049</v>
      </c>
      <c r="C191" s="237" t="s">
        <v>532</v>
      </c>
      <c r="D191" s="254">
        <v>9262</v>
      </c>
    </row>
    <row r="192" spans="1:4" ht="15">
      <c r="A192" s="251" t="s">
        <v>445</v>
      </c>
      <c r="B192" s="253">
        <v>4110</v>
      </c>
      <c r="C192" s="237" t="s">
        <v>533</v>
      </c>
      <c r="D192" s="254">
        <v>1938661</v>
      </c>
    </row>
    <row r="193" spans="1:4" ht="15">
      <c r="A193" s="251" t="s">
        <v>445</v>
      </c>
      <c r="B193" s="253">
        <v>4117</v>
      </c>
      <c r="C193" s="237" t="s">
        <v>533</v>
      </c>
      <c r="D193" s="254">
        <v>32900</v>
      </c>
    </row>
    <row r="194" spans="1:4" ht="15">
      <c r="A194" s="251" t="s">
        <v>445</v>
      </c>
      <c r="B194" s="253">
        <v>4119</v>
      </c>
      <c r="C194" s="237" t="s">
        <v>533</v>
      </c>
      <c r="D194" s="254">
        <v>35562</v>
      </c>
    </row>
    <row r="195" spans="1:4" ht="30">
      <c r="A195" s="251" t="s">
        <v>445</v>
      </c>
      <c r="B195" s="253">
        <v>4120</v>
      </c>
      <c r="C195" s="237" t="s">
        <v>534</v>
      </c>
      <c r="D195" s="254">
        <v>262032</v>
      </c>
    </row>
    <row r="196" spans="1:4" ht="30">
      <c r="A196" s="251" t="s">
        <v>445</v>
      </c>
      <c r="B196" s="253">
        <v>4127</v>
      </c>
      <c r="C196" s="237" t="s">
        <v>534</v>
      </c>
      <c r="D196" s="254">
        <v>4586</v>
      </c>
    </row>
    <row r="197" spans="1:4" ht="30">
      <c r="A197" s="251" t="s">
        <v>445</v>
      </c>
      <c r="B197" s="253">
        <v>4129</v>
      </c>
      <c r="C197" s="237" t="s">
        <v>534</v>
      </c>
      <c r="D197" s="254">
        <v>4915</v>
      </c>
    </row>
    <row r="198" spans="1:4" ht="15">
      <c r="A198" s="251" t="s">
        <v>445</v>
      </c>
      <c r="B198" s="253">
        <v>4140</v>
      </c>
      <c r="C198" s="237" t="s">
        <v>562</v>
      </c>
      <c r="D198" s="254">
        <v>155000</v>
      </c>
    </row>
    <row r="199" spans="1:4" ht="15">
      <c r="A199" s="251" t="s">
        <v>445</v>
      </c>
      <c r="B199" s="253">
        <v>4170</v>
      </c>
      <c r="C199" s="237" t="s">
        <v>535</v>
      </c>
      <c r="D199" s="254">
        <v>50000</v>
      </c>
    </row>
    <row r="200" spans="1:4" ht="15">
      <c r="A200" s="255" t="s">
        <v>445</v>
      </c>
      <c r="B200" s="256">
        <v>4210</v>
      </c>
      <c r="C200" s="239" t="s">
        <v>537</v>
      </c>
      <c r="D200" s="257">
        <v>4011671</v>
      </c>
    </row>
    <row r="201" spans="1:4" ht="15">
      <c r="A201" s="258" t="s">
        <v>445</v>
      </c>
      <c r="B201" s="259">
        <v>4220</v>
      </c>
      <c r="C201" s="240" t="s">
        <v>538</v>
      </c>
      <c r="D201" s="260">
        <v>11000</v>
      </c>
    </row>
    <row r="202" spans="1:4" ht="15">
      <c r="A202" s="251" t="s">
        <v>445</v>
      </c>
      <c r="B202" s="253">
        <v>4260</v>
      </c>
      <c r="C202" s="237" t="s">
        <v>539</v>
      </c>
      <c r="D202" s="254">
        <v>383000</v>
      </c>
    </row>
    <row r="203" spans="1:4" ht="15">
      <c r="A203" s="251" t="s">
        <v>445</v>
      </c>
      <c r="B203" s="253">
        <v>4270</v>
      </c>
      <c r="C203" s="237" t="s">
        <v>540</v>
      </c>
      <c r="D203" s="254">
        <v>8247370</v>
      </c>
    </row>
    <row r="204" spans="1:4" ht="15">
      <c r="A204" s="251" t="s">
        <v>445</v>
      </c>
      <c r="B204" s="253">
        <v>4280</v>
      </c>
      <c r="C204" s="237" t="s">
        <v>563</v>
      </c>
      <c r="D204" s="254">
        <v>17300</v>
      </c>
    </row>
    <row r="205" spans="1:4" ht="15">
      <c r="A205" s="251" t="s">
        <v>445</v>
      </c>
      <c r="B205" s="253">
        <v>4300</v>
      </c>
      <c r="C205" s="237" t="s">
        <v>541</v>
      </c>
      <c r="D205" s="254">
        <v>12449946</v>
      </c>
    </row>
    <row r="206" spans="1:4" ht="15">
      <c r="A206" s="251" t="s">
        <v>445</v>
      </c>
      <c r="B206" s="253">
        <v>4307</v>
      </c>
      <c r="C206" s="237" t="s">
        <v>541</v>
      </c>
      <c r="D206" s="254">
        <v>9500</v>
      </c>
    </row>
    <row r="207" spans="1:4" ht="15">
      <c r="A207" s="251" t="s">
        <v>445</v>
      </c>
      <c r="B207" s="253">
        <v>4309</v>
      </c>
      <c r="C207" s="237" t="s">
        <v>541</v>
      </c>
      <c r="D207" s="254">
        <v>19300</v>
      </c>
    </row>
    <row r="208" spans="1:4" ht="15">
      <c r="A208" s="251" t="s">
        <v>445</v>
      </c>
      <c r="B208" s="253">
        <v>4360</v>
      </c>
      <c r="C208" s="237" t="s">
        <v>542</v>
      </c>
      <c r="D208" s="254">
        <v>128500</v>
      </c>
    </row>
    <row r="209" spans="1:4" ht="15">
      <c r="A209" s="251" t="s">
        <v>445</v>
      </c>
      <c r="B209" s="253">
        <v>4390</v>
      </c>
      <c r="C209" s="237" t="s">
        <v>557</v>
      </c>
      <c r="D209" s="254">
        <v>150000</v>
      </c>
    </row>
    <row r="210" spans="1:4" ht="15">
      <c r="A210" s="251" t="s">
        <v>445</v>
      </c>
      <c r="B210" s="253">
        <v>4400</v>
      </c>
      <c r="C210" s="237" t="s">
        <v>544</v>
      </c>
      <c r="D210" s="254">
        <v>6570</v>
      </c>
    </row>
    <row r="211" spans="1:4" ht="15">
      <c r="A211" s="251" t="s">
        <v>445</v>
      </c>
      <c r="B211" s="253">
        <v>4410</v>
      </c>
      <c r="C211" s="237" t="s">
        <v>545</v>
      </c>
      <c r="D211" s="254">
        <v>7000</v>
      </c>
    </row>
    <row r="212" spans="1:4" ht="15">
      <c r="A212" s="251" t="s">
        <v>445</v>
      </c>
      <c r="B212" s="253">
        <v>4430</v>
      </c>
      <c r="C212" s="237" t="s">
        <v>547</v>
      </c>
      <c r="D212" s="254">
        <v>801364</v>
      </c>
    </row>
    <row r="213" spans="1:4" ht="15">
      <c r="A213" s="251" t="s">
        <v>445</v>
      </c>
      <c r="B213" s="253">
        <v>4440</v>
      </c>
      <c r="C213" s="237" t="s">
        <v>564</v>
      </c>
      <c r="D213" s="254">
        <v>222251</v>
      </c>
    </row>
    <row r="214" spans="1:4" ht="15">
      <c r="A214" s="251" t="s">
        <v>445</v>
      </c>
      <c r="B214" s="253">
        <v>4480</v>
      </c>
      <c r="C214" s="237" t="s">
        <v>565</v>
      </c>
      <c r="D214" s="254">
        <v>80000</v>
      </c>
    </row>
    <row r="215" spans="1:4" ht="15">
      <c r="A215" s="251" t="s">
        <v>445</v>
      </c>
      <c r="B215" s="253">
        <v>4500</v>
      </c>
      <c r="C215" s="237" t="s">
        <v>566</v>
      </c>
      <c r="D215" s="254">
        <v>708</v>
      </c>
    </row>
    <row r="216" spans="1:4" ht="15">
      <c r="A216" s="251" t="s">
        <v>445</v>
      </c>
      <c r="B216" s="253">
        <v>4510</v>
      </c>
      <c r="C216" s="237" t="s">
        <v>567</v>
      </c>
      <c r="D216" s="254">
        <v>6000</v>
      </c>
    </row>
    <row r="217" spans="1:4" ht="15">
      <c r="A217" s="251" t="s">
        <v>445</v>
      </c>
      <c r="B217" s="253">
        <v>4520</v>
      </c>
      <c r="C217" s="237" t="s">
        <v>568</v>
      </c>
      <c r="D217" s="254">
        <v>609855</v>
      </c>
    </row>
    <row r="218" spans="1:4" ht="15">
      <c r="A218" s="251" t="s">
        <v>445</v>
      </c>
      <c r="B218" s="253">
        <v>4700</v>
      </c>
      <c r="C218" s="237" t="s">
        <v>548</v>
      </c>
      <c r="D218" s="254">
        <v>15000</v>
      </c>
    </row>
    <row r="219" spans="1:4" ht="15">
      <c r="A219" s="251" t="s">
        <v>445</v>
      </c>
      <c r="B219" s="253">
        <v>6050</v>
      </c>
      <c r="C219" s="237" t="s">
        <v>560</v>
      </c>
      <c r="D219" s="254">
        <v>47803003</v>
      </c>
    </row>
    <row r="220" spans="1:4" ht="15">
      <c r="A220" s="251" t="s">
        <v>445</v>
      </c>
      <c r="B220" s="253">
        <v>6057</v>
      </c>
      <c r="C220" s="237" t="s">
        <v>560</v>
      </c>
      <c r="D220" s="254">
        <v>106786522</v>
      </c>
    </row>
    <row r="221" spans="1:4" ht="15">
      <c r="A221" s="251" t="s">
        <v>445</v>
      </c>
      <c r="B221" s="253">
        <v>6059</v>
      </c>
      <c r="C221" s="237" t="s">
        <v>560</v>
      </c>
      <c r="D221" s="254">
        <v>31282000</v>
      </c>
    </row>
    <row r="222" spans="1:4" ht="15">
      <c r="A222" s="251" t="s">
        <v>445</v>
      </c>
      <c r="B222" s="253">
        <v>6060</v>
      </c>
      <c r="C222" s="237" t="s">
        <v>569</v>
      </c>
      <c r="D222" s="254">
        <v>4700000</v>
      </c>
    </row>
    <row r="223" spans="1:4" ht="31.5" customHeight="1">
      <c r="A223" s="251" t="s">
        <v>445</v>
      </c>
      <c r="B223" s="253">
        <v>6619</v>
      </c>
      <c r="C223" s="237" t="s">
        <v>551</v>
      </c>
      <c r="D223" s="254">
        <v>926265</v>
      </c>
    </row>
    <row r="224" spans="1:4" ht="45">
      <c r="A224" s="251" t="s">
        <v>445</v>
      </c>
      <c r="B224" s="253">
        <v>6629</v>
      </c>
      <c r="C224" s="237" t="s">
        <v>570</v>
      </c>
      <c r="D224" s="254">
        <v>1073543</v>
      </c>
    </row>
    <row r="225" spans="1:4" s="235" customFormat="1" ht="14.25">
      <c r="A225" s="251">
        <v>60014</v>
      </c>
      <c r="B225" s="251" t="s">
        <v>445</v>
      </c>
      <c r="C225" s="236" t="s">
        <v>141</v>
      </c>
      <c r="D225" s="252">
        <f>D226</f>
        <v>6550000</v>
      </c>
    </row>
    <row r="226" spans="1:4" ht="45">
      <c r="A226" s="251" t="s">
        <v>445</v>
      </c>
      <c r="B226" s="253">
        <v>6300</v>
      </c>
      <c r="C226" s="237" t="s">
        <v>571</v>
      </c>
      <c r="D226" s="254">
        <v>6550000</v>
      </c>
    </row>
    <row r="227" spans="1:4" s="235" customFormat="1" ht="14.25">
      <c r="A227" s="251">
        <v>60016</v>
      </c>
      <c r="B227" s="251" t="s">
        <v>445</v>
      </c>
      <c r="C227" s="236" t="s">
        <v>143</v>
      </c>
      <c r="D227" s="252">
        <f>D228</f>
        <v>150000</v>
      </c>
    </row>
    <row r="228" spans="1:4" ht="45">
      <c r="A228" s="251" t="s">
        <v>445</v>
      </c>
      <c r="B228" s="253">
        <v>6300</v>
      </c>
      <c r="C228" s="237" t="s">
        <v>571</v>
      </c>
      <c r="D228" s="254">
        <v>150000</v>
      </c>
    </row>
    <row r="229" spans="1:4" s="235" customFormat="1" ht="14.25">
      <c r="A229" s="251">
        <v>60095</v>
      </c>
      <c r="B229" s="251" t="s">
        <v>445</v>
      </c>
      <c r="C229" s="236" t="s">
        <v>73</v>
      </c>
      <c r="D229" s="252">
        <f>SUM(D230:D259)</f>
        <v>1213479</v>
      </c>
    </row>
    <row r="230" spans="1:4" ht="45">
      <c r="A230" s="251" t="s">
        <v>445</v>
      </c>
      <c r="B230" s="253">
        <v>2330</v>
      </c>
      <c r="C230" s="237" t="s">
        <v>558</v>
      </c>
      <c r="D230" s="254">
        <v>50000</v>
      </c>
    </row>
    <row r="231" spans="1:4" ht="15">
      <c r="A231" s="251" t="s">
        <v>445</v>
      </c>
      <c r="B231" s="253">
        <v>3038</v>
      </c>
      <c r="C231" s="237" t="s">
        <v>556</v>
      </c>
      <c r="D231" s="254">
        <v>8500</v>
      </c>
    </row>
    <row r="232" spans="1:4" ht="15">
      <c r="A232" s="251" t="s">
        <v>445</v>
      </c>
      <c r="B232" s="253">
        <v>3039</v>
      </c>
      <c r="C232" s="237" t="s">
        <v>556</v>
      </c>
      <c r="D232" s="254">
        <v>1500</v>
      </c>
    </row>
    <row r="233" spans="1:4" ht="15">
      <c r="A233" s="251" t="s">
        <v>445</v>
      </c>
      <c r="B233" s="253">
        <v>4010</v>
      </c>
      <c r="C233" s="237" t="s">
        <v>531</v>
      </c>
      <c r="D233" s="254">
        <v>119230</v>
      </c>
    </row>
    <row r="234" spans="1:4" ht="15">
      <c r="A234" s="251" t="s">
        <v>445</v>
      </c>
      <c r="B234" s="253">
        <v>4018</v>
      </c>
      <c r="C234" s="237" t="s">
        <v>531</v>
      </c>
      <c r="D234" s="254">
        <v>138178</v>
      </c>
    </row>
    <row r="235" spans="1:4" ht="15">
      <c r="A235" s="251" t="s">
        <v>445</v>
      </c>
      <c r="B235" s="253">
        <v>4019</v>
      </c>
      <c r="C235" s="237" t="s">
        <v>531</v>
      </c>
      <c r="D235" s="254">
        <v>24384</v>
      </c>
    </row>
    <row r="236" spans="1:4" ht="15">
      <c r="A236" s="251" t="s">
        <v>445</v>
      </c>
      <c r="B236" s="253">
        <v>4040</v>
      </c>
      <c r="C236" s="237" t="s">
        <v>532</v>
      </c>
      <c r="D236" s="254">
        <v>15256</v>
      </c>
    </row>
    <row r="237" spans="1:4" ht="15">
      <c r="A237" s="251" t="s">
        <v>445</v>
      </c>
      <c r="B237" s="253">
        <v>4048</v>
      </c>
      <c r="C237" s="237" t="s">
        <v>532</v>
      </c>
      <c r="D237" s="254">
        <v>6611</v>
      </c>
    </row>
    <row r="238" spans="1:4" ht="15">
      <c r="A238" s="251" t="s">
        <v>445</v>
      </c>
      <c r="B238" s="253">
        <v>4049</v>
      </c>
      <c r="C238" s="237" t="s">
        <v>532</v>
      </c>
      <c r="D238" s="254">
        <v>1167</v>
      </c>
    </row>
    <row r="239" spans="1:4" ht="15">
      <c r="A239" s="251" t="s">
        <v>445</v>
      </c>
      <c r="B239" s="253">
        <v>4110</v>
      </c>
      <c r="C239" s="237" t="s">
        <v>533</v>
      </c>
      <c r="D239" s="254">
        <v>23119</v>
      </c>
    </row>
    <row r="240" spans="1:4" ht="15">
      <c r="A240" s="251" t="s">
        <v>445</v>
      </c>
      <c r="B240" s="253">
        <v>4118</v>
      </c>
      <c r="C240" s="237" t="s">
        <v>533</v>
      </c>
      <c r="D240" s="254">
        <v>24889</v>
      </c>
    </row>
    <row r="241" spans="1:4" ht="15">
      <c r="A241" s="251" t="s">
        <v>445</v>
      </c>
      <c r="B241" s="253">
        <v>4119</v>
      </c>
      <c r="C241" s="237" t="s">
        <v>533</v>
      </c>
      <c r="D241" s="254">
        <v>4393</v>
      </c>
    </row>
    <row r="242" spans="1:4" ht="30">
      <c r="A242" s="251" t="s">
        <v>445</v>
      </c>
      <c r="B242" s="253">
        <v>4120</v>
      </c>
      <c r="C242" s="237" t="s">
        <v>534</v>
      </c>
      <c r="D242" s="254">
        <v>3295</v>
      </c>
    </row>
    <row r="243" spans="1:4" ht="30">
      <c r="A243" s="251" t="s">
        <v>445</v>
      </c>
      <c r="B243" s="253">
        <v>4128</v>
      </c>
      <c r="C243" s="237" t="s">
        <v>534</v>
      </c>
      <c r="D243" s="254">
        <v>3548</v>
      </c>
    </row>
    <row r="244" spans="1:4" ht="30">
      <c r="A244" s="251" t="s">
        <v>445</v>
      </c>
      <c r="B244" s="253">
        <v>4129</v>
      </c>
      <c r="C244" s="237" t="s">
        <v>534</v>
      </c>
      <c r="D244" s="254">
        <v>626</v>
      </c>
    </row>
    <row r="245" spans="1:4" ht="15">
      <c r="A245" s="251" t="s">
        <v>445</v>
      </c>
      <c r="B245" s="253">
        <v>4218</v>
      </c>
      <c r="C245" s="237" t="s">
        <v>537</v>
      </c>
      <c r="D245" s="254">
        <v>6800</v>
      </c>
    </row>
    <row r="246" spans="1:4" ht="15">
      <c r="A246" s="251" t="s">
        <v>445</v>
      </c>
      <c r="B246" s="253">
        <v>4219</v>
      </c>
      <c r="C246" s="237" t="s">
        <v>537</v>
      </c>
      <c r="D246" s="254">
        <v>1200</v>
      </c>
    </row>
    <row r="247" spans="1:4" ht="15">
      <c r="A247" s="251" t="s">
        <v>445</v>
      </c>
      <c r="B247" s="253">
        <v>4300</v>
      </c>
      <c r="C247" s="237" t="s">
        <v>541</v>
      </c>
      <c r="D247" s="254">
        <v>212100</v>
      </c>
    </row>
    <row r="248" spans="1:4" ht="15">
      <c r="A248" s="251" t="s">
        <v>445</v>
      </c>
      <c r="B248" s="253">
        <v>4308</v>
      </c>
      <c r="C248" s="237" t="s">
        <v>541</v>
      </c>
      <c r="D248" s="254">
        <v>401814</v>
      </c>
    </row>
    <row r="249" spans="1:4" ht="15">
      <c r="A249" s="251" t="s">
        <v>445</v>
      </c>
      <c r="B249" s="253">
        <v>4309</v>
      </c>
      <c r="C249" s="237" t="s">
        <v>541</v>
      </c>
      <c r="D249" s="254">
        <v>70906</v>
      </c>
    </row>
    <row r="250" spans="1:4" ht="15">
      <c r="A250" s="251" t="s">
        <v>445</v>
      </c>
      <c r="B250" s="253">
        <v>4388</v>
      </c>
      <c r="C250" s="237" t="s">
        <v>543</v>
      </c>
      <c r="D250" s="254">
        <v>6800</v>
      </c>
    </row>
    <row r="251" spans="1:4" ht="15">
      <c r="A251" s="255" t="s">
        <v>445</v>
      </c>
      <c r="B251" s="256">
        <v>4389</v>
      </c>
      <c r="C251" s="239" t="s">
        <v>543</v>
      </c>
      <c r="D251" s="257">
        <v>1200</v>
      </c>
    </row>
    <row r="252" spans="1:4" ht="15">
      <c r="A252" s="258" t="s">
        <v>445</v>
      </c>
      <c r="B252" s="259">
        <v>4410</v>
      </c>
      <c r="C252" s="240" t="s">
        <v>545</v>
      </c>
      <c r="D252" s="260">
        <v>1000</v>
      </c>
    </row>
    <row r="253" spans="1:4" ht="15">
      <c r="A253" s="251" t="s">
        <v>445</v>
      </c>
      <c r="B253" s="253">
        <v>4418</v>
      </c>
      <c r="C253" s="237" t="s">
        <v>545</v>
      </c>
      <c r="D253" s="254">
        <v>6800</v>
      </c>
    </row>
    <row r="254" spans="1:4" ht="15">
      <c r="A254" s="251" t="s">
        <v>445</v>
      </c>
      <c r="B254" s="253">
        <v>4419</v>
      </c>
      <c r="C254" s="237" t="s">
        <v>545</v>
      </c>
      <c r="D254" s="254">
        <v>1200</v>
      </c>
    </row>
    <row r="255" spans="1:4" ht="15">
      <c r="A255" s="251" t="s">
        <v>445</v>
      </c>
      <c r="B255" s="253">
        <v>4428</v>
      </c>
      <c r="C255" s="237" t="s">
        <v>546</v>
      </c>
      <c r="D255" s="254">
        <v>49354</v>
      </c>
    </row>
    <row r="256" spans="1:4" ht="15">
      <c r="A256" s="251" t="s">
        <v>445</v>
      </c>
      <c r="B256" s="253">
        <v>4429</v>
      </c>
      <c r="C256" s="237" t="s">
        <v>546</v>
      </c>
      <c r="D256" s="254">
        <v>8709</v>
      </c>
    </row>
    <row r="257" spans="1:4" ht="15">
      <c r="A257" s="251" t="s">
        <v>445</v>
      </c>
      <c r="B257" s="253">
        <v>4430</v>
      </c>
      <c r="C257" s="237" t="s">
        <v>547</v>
      </c>
      <c r="D257" s="254">
        <v>20000</v>
      </c>
    </row>
    <row r="258" spans="1:4" ht="15">
      <c r="A258" s="251" t="s">
        <v>445</v>
      </c>
      <c r="B258" s="253">
        <v>4438</v>
      </c>
      <c r="C258" s="237" t="s">
        <v>547</v>
      </c>
      <c r="D258" s="254">
        <v>765</v>
      </c>
    </row>
    <row r="259" spans="1:4" ht="15">
      <c r="A259" s="251" t="s">
        <v>445</v>
      </c>
      <c r="B259" s="253">
        <v>4439</v>
      </c>
      <c r="C259" s="237" t="s">
        <v>547</v>
      </c>
      <c r="D259" s="254">
        <v>135</v>
      </c>
    </row>
    <row r="260" spans="1:4" ht="15">
      <c r="A260" s="261" t="s">
        <v>97</v>
      </c>
      <c r="B260" s="261" t="s">
        <v>445</v>
      </c>
      <c r="C260" s="241" t="s">
        <v>98</v>
      </c>
      <c r="D260" s="262">
        <f>D261+D267</f>
        <v>2036022</v>
      </c>
    </row>
    <row r="261" spans="1:4" s="235" customFormat="1" ht="14.25">
      <c r="A261" s="251">
        <v>63003</v>
      </c>
      <c r="B261" s="251" t="s">
        <v>445</v>
      </c>
      <c r="C261" s="236" t="s">
        <v>105</v>
      </c>
      <c r="D261" s="252">
        <f>SUM(D262:D266)</f>
        <v>652805</v>
      </c>
    </row>
    <row r="262" spans="1:4" ht="47.25" customHeight="1">
      <c r="A262" s="251" t="s">
        <v>445</v>
      </c>
      <c r="B262" s="253">
        <v>2360</v>
      </c>
      <c r="C262" s="237" t="s">
        <v>572</v>
      </c>
      <c r="D262" s="254">
        <v>150000</v>
      </c>
    </row>
    <row r="263" spans="1:4" ht="15">
      <c r="A263" s="251" t="s">
        <v>445</v>
      </c>
      <c r="B263" s="253">
        <v>4170</v>
      </c>
      <c r="C263" s="237" t="s">
        <v>535</v>
      </c>
      <c r="D263" s="254">
        <v>2000</v>
      </c>
    </row>
    <row r="264" spans="1:4" ht="15">
      <c r="A264" s="251" t="s">
        <v>445</v>
      </c>
      <c r="B264" s="253">
        <v>4210</v>
      </c>
      <c r="C264" s="237" t="s">
        <v>537</v>
      </c>
      <c r="D264" s="254">
        <v>2000</v>
      </c>
    </row>
    <row r="265" spans="1:4" ht="15">
      <c r="A265" s="251" t="s">
        <v>445</v>
      </c>
      <c r="B265" s="253">
        <v>4300</v>
      </c>
      <c r="C265" s="237" t="s">
        <v>541</v>
      </c>
      <c r="D265" s="254">
        <v>61250</v>
      </c>
    </row>
    <row r="266" spans="1:4" ht="15">
      <c r="A266" s="251" t="s">
        <v>445</v>
      </c>
      <c r="B266" s="253">
        <v>4430</v>
      </c>
      <c r="C266" s="237" t="s">
        <v>547</v>
      </c>
      <c r="D266" s="254">
        <v>437555</v>
      </c>
    </row>
    <row r="267" spans="1:4" s="235" customFormat="1" ht="14.25">
      <c r="A267" s="251">
        <v>63095</v>
      </c>
      <c r="B267" s="251" t="s">
        <v>445</v>
      </c>
      <c r="C267" s="236" t="s">
        <v>73</v>
      </c>
      <c r="D267" s="252">
        <f>SUM(D268:D295)</f>
        <v>1383217</v>
      </c>
    </row>
    <row r="268" spans="1:4" ht="15">
      <c r="A268" s="251" t="s">
        <v>445</v>
      </c>
      <c r="B268" s="253">
        <v>3038</v>
      </c>
      <c r="C268" s="237" t="s">
        <v>556</v>
      </c>
      <c r="D268" s="254">
        <v>17000</v>
      </c>
    </row>
    <row r="269" spans="1:4" ht="15">
      <c r="A269" s="251" t="s">
        <v>445</v>
      </c>
      <c r="B269" s="253">
        <v>3039</v>
      </c>
      <c r="C269" s="237" t="s">
        <v>556</v>
      </c>
      <c r="D269" s="254">
        <v>3000</v>
      </c>
    </row>
    <row r="270" spans="1:4" ht="15">
      <c r="A270" s="251" t="s">
        <v>445</v>
      </c>
      <c r="B270" s="253">
        <v>4010</v>
      </c>
      <c r="C270" s="237" t="s">
        <v>531</v>
      </c>
      <c r="D270" s="254">
        <v>131330</v>
      </c>
    </row>
    <row r="271" spans="1:4" ht="15">
      <c r="A271" s="251" t="s">
        <v>445</v>
      </c>
      <c r="B271" s="253">
        <v>4018</v>
      </c>
      <c r="C271" s="237" t="s">
        <v>531</v>
      </c>
      <c r="D271" s="254">
        <v>353107</v>
      </c>
    </row>
    <row r="272" spans="1:4" ht="15">
      <c r="A272" s="251" t="s">
        <v>445</v>
      </c>
      <c r="B272" s="253">
        <v>4019</v>
      </c>
      <c r="C272" s="237" t="s">
        <v>531</v>
      </c>
      <c r="D272" s="254">
        <v>62313</v>
      </c>
    </row>
    <row r="273" spans="1:4" ht="15">
      <c r="A273" s="251" t="s">
        <v>445</v>
      </c>
      <c r="B273" s="253">
        <v>4040</v>
      </c>
      <c r="C273" s="237" t="s">
        <v>532</v>
      </c>
      <c r="D273" s="254">
        <v>17450</v>
      </c>
    </row>
    <row r="274" spans="1:4" ht="15">
      <c r="A274" s="251" t="s">
        <v>445</v>
      </c>
      <c r="B274" s="253">
        <v>4048</v>
      </c>
      <c r="C274" s="237" t="s">
        <v>532</v>
      </c>
      <c r="D274" s="254">
        <v>24615</v>
      </c>
    </row>
    <row r="275" spans="1:4" ht="15">
      <c r="A275" s="251" t="s">
        <v>445</v>
      </c>
      <c r="B275" s="253">
        <v>4049</v>
      </c>
      <c r="C275" s="237" t="s">
        <v>532</v>
      </c>
      <c r="D275" s="254">
        <v>4344</v>
      </c>
    </row>
    <row r="276" spans="1:4" ht="15">
      <c r="A276" s="251" t="s">
        <v>445</v>
      </c>
      <c r="B276" s="253">
        <v>4110</v>
      </c>
      <c r="C276" s="237" t="s">
        <v>533</v>
      </c>
      <c r="D276" s="254">
        <v>25575</v>
      </c>
    </row>
    <row r="277" spans="1:4" ht="15">
      <c r="A277" s="251" t="s">
        <v>445</v>
      </c>
      <c r="B277" s="253">
        <v>4118</v>
      </c>
      <c r="C277" s="237" t="s">
        <v>533</v>
      </c>
      <c r="D277" s="254">
        <v>64931</v>
      </c>
    </row>
    <row r="278" spans="1:4" ht="15">
      <c r="A278" s="251" t="s">
        <v>445</v>
      </c>
      <c r="B278" s="253">
        <v>4119</v>
      </c>
      <c r="C278" s="237" t="s">
        <v>533</v>
      </c>
      <c r="D278" s="254">
        <v>11458</v>
      </c>
    </row>
    <row r="279" spans="1:4" ht="31.5" customHeight="1">
      <c r="A279" s="251" t="s">
        <v>445</v>
      </c>
      <c r="B279" s="253">
        <v>4120</v>
      </c>
      <c r="C279" s="237" t="s">
        <v>534</v>
      </c>
      <c r="D279" s="254">
        <v>3645</v>
      </c>
    </row>
    <row r="280" spans="1:4" ht="31.5" customHeight="1">
      <c r="A280" s="251" t="s">
        <v>445</v>
      </c>
      <c r="B280" s="253">
        <v>4128</v>
      </c>
      <c r="C280" s="237" t="s">
        <v>534</v>
      </c>
      <c r="D280" s="254">
        <v>9254</v>
      </c>
    </row>
    <row r="281" spans="1:4" ht="31.5" customHeight="1">
      <c r="A281" s="251" t="s">
        <v>445</v>
      </c>
      <c r="B281" s="253">
        <v>4129</v>
      </c>
      <c r="C281" s="237" t="s">
        <v>534</v>
      </c>
      <c r="D281" s="254">
        <v>1633</v>
      </c>
    </row>
    <row r="282" spans="1:4" ht="15">
      <c r="A282" s="251" t="s">
        <v>445</v>
      </c>
      <c r="B282" s="253">
        <v>4218</v>
      </c>
      <c r="C282" s="237" t="s">
        <v>537</v>
      </c>
      <c r="D282" s="254">
        <v>11900</v>
      </c>
    </row>
    <row r="283" spans="1:4" ht="15">
      <c r="A283" s="251" t="s">
        <v>445</v>
      </c>
      <c r="B283" s="253">
        <v>4219</v>
      </c>
      <c r="C283" s="237" t="s">
        <v>537</v>
      </c>
      <c r="D283" s="254">
        <v>2100</v>
      </c>
    </row>
    <row r="284" spans="1:4" ht="15">
      <c r="A284" s="251" t="s">
        <v>445</v>
      </c>
      <c r="B284" s="253">
        <v>4228</v>
      </c>
      <c r="C284" s="237" t="s">
        <v>538</v>
      </c>
      <c r="D284" s="254">
        <v>4250</v>
      </c>
    </row>
    <row r="285" spans="1:4" ht="15">
      <c r="A285" s="251" t="s">
        <v>445</v>
      </c>
      <c r="B285" s="253">
        <v>4229</v>
      </c>
      <c r="C285" s="237" t="s">
        <v>538</v>
      </c>
      <c r="D285" s="254">
        <v>750</v>
      </c>
    </row>
    <row r="286" spans="1:4" ht="15">
      <c r="A286" s="251" t="s">
        <v>445</v>
      </c>
      <c r="B286" s="253">
        <v>4308</v>
      </c>
      <c r="C286" s="237" t="s">
        <v>541</v>
      </c>
      <c r="D286" s="254">
        <v>443292</v>
      </c>
    </row>
    <row r="287" spans="1:4" ht="15">
      <c r="A287" s="251" t="s">
        <v>445</v>
      </c>
      <c r="B287" s="253">
        <v>4309</v>
      </c>
      <c r="C287" s="237" t="s">
        <v>541</v>
      </c>
      <c r="D287" s="254">
        <v>78223</v>
      </c>
    </row>
    <row r="288" spans="1:4" ht="15">
      <c r="A288" s="251" t="s">
        <v>445</v>
      </c>
      <c r="B288" s="253">
        <v>4388</v>
      </c>
      <c r="C288" s="237" t="s">
        <v>543</v>
      </c>
      <c r="D288" s="254">
        <v>12750</v>
      </c>
    </row>
    <row r="289" spans="1:4" ht="15">
      <c r="A289" s="251" t="s">
        <v>445</v>
      </c>
      <c r="B289" s="253">
        <v>4389</v>
      </c>
      <c r="C289" s="237" t="s">
        <v>543</v>
      </c>
      <c r="D289" s="254">
        <v>2250</v>
      </c>
    </row>
    <row r="290" spans="1:4" ht="15">
      <c r="A290" s="251" t="s">
        <v>445</v>
      </c>
      <c r="B290" s="253">
        <v>4418</v>
      </c>
      <c r="C290" s="237" t="s">
        <v>545</v>
      </c>
      <c r="D290" s="254">
        <v>2550</v>
      </c>
    </row>
    <row r="291" spans="1:4" ht="15">
      <c r="A291" s="251" t="s">
        <v>445</v>
      </c>
      <c r="B291" s="253">
        <v>4419</v>
      </c>
      <c r="C291" s="237" t="s">
        <v>545</v>
      </c>
      <c r="D291" s="254">
        <v>450</v>
      </c>
    </row>
    <row r="292" spans="1:4" ht="15">
      <c r="A292" s="251" t="s">
        <v>445</v>
      </c>
      <c r="B292" s="253">
        <v>4428</v>
      </c>
      <c r="C292" s="237" t="s">
        <v>546</v>
      </c>
      <c r="D292" s="254">
        <v>79431</v>
      </c>
    </row>
    <row r="293" spans="1:4" ht="15">
      <c r="A293" s="251" t="s">
        <v>445</v>
      </c>
      <c r="B293" s="253">
        <v>4429</v>
      </c>
      <c r="C293" s="237" t="s">
        <v>546</v>
      </c>
      <c r="D293" s="254">
        <v>14016</v>
      </c>
    </row>
    <row r="294" spans="1:4" ht="15">
      <c r="A294" s="251" t="s">
        <v>445</v>
      </c>
      <c r="B294" s="253">
        <v>4438</v>
      </c>
      <c r="C294" s="237" t="s">
        <v>547</v>
      </c>
      <c r="D294" s="254">
        <v>1360</v>
      </c>
    </row>
    <row r="295" spans="1:4" ht="15">
      <c r="A295" s="251" t="s">
        <v>445</v>
      </c>
      <c r="B295" s="253">
        <v>4439</v>
      </c>
      <c r="C295" s="237" t="s">
        <v>547</v>
      </c>
      <c r="D295" s="254">
        <v>240</v>
      </c>
    </row>
    <row r="296" spans="1:4" ht="15">
      <c r="A296" s="261" t="s">
        <v>29</v>
      </c>
      <c r="B296" s="261" t="s">
        <v>445</v>
      </c>
      <c r="C296" s="238" t="s">
        <v>30</v>
      </c>
      <c r="D296" s="262">
        <f>D297</f>
        <v>2245140</v>
      </c>
    </row>
    <row r="297" spans="1:4" s="235" customFormat="1" ht="14.25">
      <c r="A297" s="251">
        <v>70005</v>
      </c>
      <c r="B297" s="251" t="s">
        <v>445</v>
      </c>
      <c r="C297" s="236" t="s">
        <v>80</v>
      </c>
      <c r="D297" s="252">
        <f>SUM(D298:D308)</f>
        <v>2245140</v>
      </c>
    </row>
    <row r="298" spans="1:4" ht="15.75" customHeight="1">
      <c r="A298" s="251" t="s">
        <v>445</v>
      </c>
      <c r="B298" s="253">
        <v>4210</v>
      </c>
      <c r="C298" s="237" t="s">
        <v>537</v>
      </c>
      <c r="D298" s="254">
        <v>3000</v>
      </c>
    </row>
    <row r="299" spans="1:4" ht="15.75" customHeight="1">
      <c r="A299" s="251" t="s">
        <v>445</v>
      </c>
      <c r="B299" s="253">
        <v>4260</v>
      </c>
      <c r="C299" s="237" t="s">
        <v>539</v>
      </c>
      <c r="D299" s="254">
        <v>125700</v>
      </c>
    </row>
    <row r="300" spans="1:4" ht="15.75" customHeight="1">
      <c r="A300" s="251" t="s">
        <v>445</v>
      </c>
      <c r="B300" s="253">
        <v>4270</v>
      </c>
      <c r="C300" s="237" t="s">
        <v>540</v>
      </c>
      <c r="D300" s="254">
        <v>722500</v>
      </c>
    </row>
    <row r="301" spans="1:4" ht="15.75" customHeight="1">
      <c r="A301" s="251" t="s">
        <v>445</v>
      </c>
      <c r="B301" s="253">
        <v>4300</v>
      </c>
      <c r="C301" s="237" t="s">
        <v>541</v>
      </c>
      <c r="D301" s="254">
        <v>240000</v>
      </c>
    </row>
    <row r="302" spans="1:4" ht="15.75" customHeight="1">
      <c r="A302" s="251" t="s">
        <v>445</v>
      </c>
      <c r="B302" s="253">
        <v>4430</v>
      </c>
      <c r="C302" s="237" t="s">
        <v>547</v>
      </c>
      <c r="D302" s="254">
        <v>25000</v>
      </c>
    </row>
    <row r="303" spans="1:4" ht="15.75" customHeight="1">
      <c r="A303" s="251" t="s">
        <v>445</v>
      </c>
      <c r="B303" s="253">
        <v>4480</v>
      </c>
      <c r="C303" s="237" t="s">
        <v>565</v>
      </c>
      <c r="D303" s="254">
        <v>80000</v>
      </c>
    </row>
    <row r="304" spans="1:4" ht="15.75" customHeight="1">
      <c r="A304" s="251" t="s">
        <v>445</v>
      </c>
      <c r="B304" s="253">
        <v>4500</v>
      </c>
      <c r="C304" s="237" t="s">
        <v>566</v>
      </c>
      <c r="D304" s="254">
        <v>1000</v>
      </c>
    </row>
    <row r="305" spans="1:4" ht="15.75" customHeight="1">
      <c r="A305" s="251" t="s">
        <v>445</v>
      </c>
      <c r="B305" s="253">
        <v>4510</v>
      </c>
      <c r="C305" s="237" t="s">
        <v>567</v>
      </c>
      <c r="D305" s="254">
        <v>15000</v>
      </c>
    </row>
    <row r="306" spans="1:4" ht="15.75" customHeight="1">
      <c r="A306" s="251" t="s">
        <v>445</v>
      </c>
      <c r="B306" s="253">
        <v>4520</v>
      </c>
      <c r="C306" s="237" t="s">
        <v>568</v>
      </c>
      <c r="D306" s="254">
        <v>55000</v>
      </c>
    </row>
    <row r="307" spans="1:4" ht="15.75" customHeight="1">
      <c r="A307" s="251" t="s">
        <v>445</v>
      </c>
      <c r="B307" s="253">
        <v>4530</v>
      </c>
      <c r="C307" s="237" t="s">
        <v>553</v>
      </c>
      <c r="D307" s="254">
        <v>5300</v>
      </c>
    </row>
    <row r="308" spans="1:4" ht="15.75" customHeight="1">
      <c r="A308" s="255" t="s">
        <v>445</v>
      </c>
      <c r="B308" s="256">
        <v>6050</v>
      </c>
      <c r="C308" s="239" t="s">
        <v>560</v>
      </c>
      <c r="D308" s="257">
        <v>972640</v>
      </c>
    </row>
    <row r="309" spans="1:4" ht="15">
      <c r="A309" s="261" t="s">
        <v>31</v>
      </c>
      <c r="B309" s="261" t="s">
        <v>445</v>
      </c>
      <c r="C309" s="238" t="s">
        <v>32</v>
      </c>
      <c r="D309" s="262">
        <f>D310+D330+D335+D342</f>
        <v>4730270</v>
      </c>
    </row>
    <row r="310" spans="1:4" s="235" customFormat="1" ht="14.25">
      <c r="A310" s="251">
        <v>71003</v>
      </c>
      <c r="B310" s="251" t="s">
        <v>445</v>
      </c>
      <c r="C310" s="236" t="s">
        <v>81</v>
      </c>
      <c r="D310" s="252">
        <f>SUM(D311:D329)</f>
        <v>4278770</v>
      </c>
    </row>
    <row r="311" spans="1:4" ht="15">
      <c r="A311" s="251" t="s">
        <v>445</v>
      </c>
      <c r="B311" s="253">
        <v>3020</v>
      </c>
      <c r="C311" s="237" t="s">
        <v>561</v>
      </c>
      <c r="D311" s="254">
        <v>4300</v>
      </c>
    </row>
    <row r="312" spans="1:4" ht="15">
      <c r="A312" s="251" t="s">
        <v>445</v>
      </c>
      <c r="B312" s="253">
        <v>4010</v>
      </c>
      <c r="C312" s="237" t="s">
        <v>531</v>
      </c>
      <c r="D312" s="254">
        <v>2934539</v>
      </c>
    </row>
    <row r="313" spans="1:4" ht="15">
      <c r="A313" s="251" t="s">
        <v>445</v>
      </c>
      <c r="B313" s="253">
        <v>4040</v>
      </c>
      <c r="C313" s="237" t="s">
        <v>532</v>
      </c>
      <c r="D313" s="254">
        <v>238391</v>
      </c>
    </row>
    <row r="314" spans="1:4" ht="15">
      <c r="A314" s="251" t="s">
        <v>445</v>
      </c>
      <c r="B314" s="253">
        <v>4110</v>
      </c>
      <c r="C314" s="237" t="s">
        <v>533</v>
      </c>
      <c r="D314" s="254">
        <v>530067</v>
      </c>
    </row>
    <row r="315" spans="1:4" ht="30">
      <c r="A315" s="251" t="s">
        <v>445</v>
      </c>
      <c r="B315" s="253">
        <v>4120</v>
      </c>
      <c r="C315" s="237" t="s">
        <v>534</v>
      </c>
      <c r="D315" s="254">
        <v>57063</v>
      </c>
    </row>
    <row r="316" spans="1:4" ht="15">
      <c r="A316" s="251" t="s">
        <v>445</v>
      </c>
      <c r="B316" s="253">
        <v>4140</v>
      </c>
      <c r="C316" s="237" t="s">
        <v>562</v>
      </c>
      <c r="D316" s="254">
        <v>78000</v>
      </c>
    </row>
    <row r="317" spans="1:4" ht="15">
      <c r="A317" s="251" t="s">
        <v>445</v>
      </c>
      <c r="B317" s="253">
        <v>4170</v>
      </c>
      <c r="C317" s="237" t="s">
        <v>535</v>
      </c>
      <c r="D317" s="254">
        <v>6000</v>
      </c>
    </row>
    <row r="318" spans="1:4" ht="15">
      <c r="A318" s="251" t="s">
        <v>445</v>
      </c>
      <c r="B318" s="253">
        <v>4210</v>
      </c>
      <c r="C318" s="237" t="s">
        <v>537</v>
      </c>
      <c r="D318" s="254">
        <v>111500</v>
      </c>
    </row>
    <row r="319" spans="1:4" ht="15">
      <c r="A319" s="251" t="s">
        <v>445</v>
      </c>
      <c r="B319" s="253">
        <v>4220</v>
      </c>
      <c r="C319" s="237" t="s">
        <v>538</v>
      </c>
      <c r="D319" s="254">
        <v>1000</v>
      </c>
    </row>
    <row r="320" spans="1:4" ht="15">
      <c r="A320" s="251" t="s">
        <v>445</v>
      </c>
      <c r="B320" s="253">
        <v>4260</v>
      </c>
      <c r="C320" s="237" t="s">
        <v>539</v>
      </c>
      <c r="D320" s="254">
        <v>93000</v>
      </c>
    </row>
    <row r="321" spans="1:4" ht="15">
      <c r="A321" s="251" t="s">
        <v>445</v>
      </c>
      <c r="B321" s="253">
        <v>4270</v>
      </c>
      <c r="C321" s="237" t="s">
        <v>540</v>
      </c>
      <c r="D321" s="254">
        <v>15000</v>
      </c>
    </row>
    <row r="322" spans="1:4" ht="15">
      <c r="A322" s="251" t="s">
        <v>445</v>
      </c>
      <c r="B322" s="253">
        <v>4280</v>
      </c>
      <c r="C322" s="237" t="s">
        <v>563</v>
      </c>
      <c r="D322" s="254">
        <v>3000</v>
      </c>
    </row>
    <row r="323" spans="1:4" ht="15">
      <c r="A323" s="251" t="s">
        <v>445</v>
      </c>
      <c r="B323" s="253">
        <v>4300</v>
      </c>
      <c r="C323" s="237" t="s">
        <v>541</v>
      </c>
      <c r="D323" s="254">
        <v>69000</v>
      </c>
    </row>
    <row r="324" spans="1:4" ht="15">
      <c r="A324" s="251" t="s">
        <v>445</v>
      </c>
      <c r="B324" s="253">
        <v>4360</v>
      </c>
      <c r="C324" s="237" t="s">
        <v>542</v>
      </c>
      <c r="D324" s="254">
        <v>14400</v>
      </c>
    </row>
    <row r="325" spans="1:4" ht="15">
      <c r="A325" s="251" t="s">
        <v>445</v>
      </c>
      <c r="B325" s="253">
        <v>4410</v>
      </c>
      <c r="C325" s="237" t="s">
        <v>545</v>
      </c>
      <c r="D325" s="254">
        <v>9000</v>
      </c>
    </row>
    <row r="326" spans="1:4" ht="15">
      <c r="A326" s="251" t="s">
        <v>445</v>
      </c>
      <c r="B326" s="253">
        <v>4430</v>
      </c>
      <c r="C326" s="237" t="s">
        <v>547</v>
      </c>
      <c r="D326" s="254">
        <v>8000</v>
      </c>
    </row>
    <row r="327" spans="1:4" ht="15">
      <c r="A327" s="251" t="s">
        <v>445</v>
      </c>
      <c r="B327" s="253">
        <v>4440</v>
      </c>
      <c r="C327" s="237" t="s">
        <v>564</v>
      </c>
      <c r="D327" s="254">
        <v>68010</v>
      </c>
    </row>
    <row r="328" spans="1:4" ht="15">
      <c r="A328" s="251" t="s">
        <v>445</v>
      </c>
      <c r="B328" s="253">
        <v>4520</v>
      </c>
      <c r="C328" s="237" t="s">
        <v>568</v>
      </c>
      <c r="D328" s="254">
        <v>15000</v>
      </c>
    </row>
    <row r="329" spans="1:4" ht="15">
      <c r="A329" s="251" t="s">
        <v>445</v>
      </c>
      <c r="B329" s="253">
        <v>4700</v>
      </c>
      <c r="C329" s="237" t="s">
        <v>548</v>
      </c>
      <c r="D329" s="254">
        <v>23500</v>
      </c>
    </row>
    <row r="330" spans="1:4" s="235" customFormat="1" ht="14.25">
      <c r="A330" s="251">
        <v>71004</v>
      </c>
      <c r="B330" s="251" t="s">
        <v>445</v>
      </c>
      <c r="C330" s="236" t="s">
        <v>150</v>
      </c>
      <c r="D330" s="252">
        <f>SUM(D331:D334)</f>
        <v>25500</v>
      </c>
    </row>
    <row r="331" spans="1:4" ht="15">
      <c r="A331" s="251" t="s">
        <v>445</v>
      </c>
      <c r="B331" s="253">
        <v>4110</v>
      </c>
      <c r="C331" s="237" t="s">
        <v>533</v>
      </c>
      <c r="D331" s="254">
        <v>200</v>
      </c>
    </row>
    <row r="332" spans="1:4" ht="15">
      <c r="A332" s="251" t="s">
        <v>445</v>
      </c>
      <c r="B332" s="253">
        <v>4170</v>
      </c>
      <c r="C332" s="237" t="s">
        <v>535</v>
      </c>
      <c r="D332" s="254">
        <v>3400</v>
      </c>
    </row>
    <row r="333" spans="1:4" ht="15">
      <c r="A333" s="251" t="s">
        <v>445</v>
      </c>
      <c r="B333" s="253">
        <v>4210</v>
      </c>
      <c r="C333" s="237" t="s">
        <v>537</v>
      </c>
      <c r="D333" s="254">
        <v>3000</v>
      </c>
    </row>
    <row r="334" spans="1:4" ht="15">
      <c r="A334" s="251" t="s">
        <v>445</v>
      </c>
      <c r="B334" s="253">
        <v>4300</v>
      </c>
      <c r="C334" s="237" t="s">
        <v>541</v>
      </c>
      <c r="D334" s="254">
        <v>18900</v>
      </c>
    </row>
    <row r="335" spans="1:4" s="235" customFormat="1" ht="14.25">
      <c r="A335" s="251">
        <v>71005</v>
      </c>
      <c r="B335" s="251" t="s">
        <v>445</v>
      </c>
      <c r="C335" s="236" t="s">
        <v>82</v>
      </c>
      <c r="D335" s="252">
        <f>SUM(D336:D341)</f>
        <v>256000</v>
      </c>
    </row>
    <row r="336" spans="1:4" ht="15">
      <c r="A336" s="251" t="s">
        <v>445</v>
      </c>
      <c r="B336" s="253">
        <v>4010</v>
      </c>
      <c r="C336" s="237" t="s">
        <v>531</v>
      </c>
      <c r="D336" s="254">
        <v>174800</v>
      </c>
    </row>
    <row r="337" spans="1:4" ht="15">
      <c r="A337" s="251" t="s">
        <v>445</v>
      </c>
      <c r="B337" s="253">
        <v>4040</v>
      </c>
      <c r="C337" s="237" t="s">
        <v>532</v>
      </c>
      <c r="D337" s="254">
        <v>14100</v>
      </c>
    </row>
    <row r="338" spans="1:4" ht="15">
      <c r="A338" s="251" t="s">
        <v>445</v>
      </c>
      <c r="B338" s="253">
        <v>4110</v>
      </c>
      <c r="C338" s="237" t="s">
        <v>533</v>
      </c>
      <c r="D338" s="254">
        <v>32472</v>
      </c>
    </row>
    <row r="339" spans="1:4" ht="30">
      <c r="A339" s="251" t="s">
        <v>445</v>
      </c>
      <c r="B339" s="253">
        <v>4120</v>
      </c>
      <c r="C339" s="237" t="s">
        <v>534</v>
      </c>
      <c r="D339" s="254">
        <v>4628</v>
      </c>
    </row>
    <row r="340" spans="1:4" ht="15">
      <c r="A340" s="251" t="s">
        <v>445</v>
      </c>
      <c r="B340" s="253">
        <v>4210</v>
      </c>
      <c r="C340" s="237" t="s">
        <v>537</v>
      </c>
      <c r="D340" s="254">
        <v>1000</v>
      </c>
    </row>
    <row r="341" spans="1:4" ht="15">
      <c r="A341" s="251" t="s">
        <v>445</v>
      </c>
      <c r="B341" s="253">
        <v>4300</v>
      </c>
      <c r="C341" s="237" t="s">
        <v>541</v>
      </c>
      <c r="D341" s="254">
        <v>29000</v>
      </c>
    </row>
    <row r="342" spans="1:4" s="235" customFormat="1" ht="14.25">
      <c r="A342" s="251">
        <v>71012</v>
      </c>
      <c r="B342" s="251" t="s">
        <v>445</v>
      </c>
      <c r="C342" s="236" t="s">
        <v>88</v>
      </c>
      <c r="D342" s="252">
        <f>SUM(D343:D348)</f>
        <v>170000</v>
      </c>
    </row>
    <row r="343" spans="1:4" ht="15">
      <c r="A343" s="251" t="s">
        <v>445</v>
      </c>
      <c r="B343" s="253">
        <v>4210</v>
      </c>
      <c r="C343" s="237" t="s">
        <v>537</v>
      </c>
      <c r="D343" s="254">
        <v>13500</v>
      </c>
    </row>
    <row r="344" spans="1:4" ht="15">
      <c r="A344" s="251" t="s">
        <v>445</v>
      </c>
      <c r="B344" s="253">
        <v>4270</v>
      </c>
      <c r="C344" s="237" t="s">
        <v>540</v>
      </c>
      <c r="D344" s="254">
        <v>2000</v>
      </c>
    </row>
    <row r="345" spans="1:4" ht="15">
      <c r="A345" s="251" t="s">
        <v>445</v>
      </c>
      <c r="B345" s="253">
        <v>4300</v>
      </c>
      <c r="C345" s="237" t="s">
        <v>541</v>
      </c>
      <c r="D345" s="254">
        <v>129000</v>
      </c>
    </row>
    <row r="346" spans="1:4" ht="15">
      <c r="A346" s="251" t="s">
        <v>445</v>
      </c>
      <c r="B346" s="253">
        <v>4410</v>
      </c>
      <c r="C346" s="237" t="s">
        <v>545</v>
      </c>
      <c r="D346" s="254">
        <v>500</v>
      </c>
    </row>
    <row r="347" spans="1:4" ht="15">
      <c r="A347" s="251" t="s">
        <v>445</v>
      </c>
      <c r="B347" s="253">
        <v>4700</v>
      </c>
      <c r="C347" s="237" t="s">
        <v>548</v>
      </c>
      <c r="D347" s="254">
        <v>7000</v>
      </c>
    </row>
    <row r="348" spans="1:4" ht="15">
      <c r="A348" s="251" t="s">
        <v>445</v>
      </c>
      <c r="B348" s="253">
        <v>6060</v>
      </c>
      <c r="C348" s="237" t="s">
        <v>569</v>
      </c>
      <c r="D348" s="254">
        <v>18000</v>
      </c>
    </row>
    <row r="349" spans="1:4" s="235" customFormat="1" ht="14.25">
      <c r="A349" s="261" t="s">
        <v>33</v>
      </c>
      <c r="B349" s="261" t="s">
        <v>445</v>
      </c>
      <c r="C349" s="238" t="s">
        <v>34</v>
      </c>
      <c r="D349" s="262">
        <f>D350</f>
        <v>93611196</v>
      </c>
    </row>
    <row r="350" spans="1:4" s="235" customFormat="1" ht="14.25">
      <c r="A350" s="251">
        <v>72095</v>
      </c>
      <c r="B350" s="251" t="s">
        <v>445</v>
      </c>
      <c r="C350" s="236" t="s">
        <v>73</v>
      </c>
      <c r="D350" s="252">
        <f>SUM(D351:D394)</f>
        <v>93611196</v>
      </c>
    </row>
    <row r="351" spans="1:4" ht="15">
      <c r="A351" s="251" t="s">
        <v>445</v>
      </c>
      <c r="B351" s="253">
        <v>4017</v>
      </c>
      <c r="C351" s="237" t="s">
        <v>531</v>
      </c>
      <c r="D351" s="254">
        <v>1268858</v>
      </c>
    </row>
    <row r="352" spans="1:4" ht="15">
      <c r="A352" s="251" t="s">
        <v>445</v>
      </c>
      <c r="B352" s="253">
        <v>4019</v>
      </c>
      <c r="C352" s="237" t="s">
        <v>531</v>
      </c>
      <c r="D352" s="254">
        <v>223917</v>
      </c>
    </row>
    <row r="353" spans="1:4" ht="15">
      <c r="A353" s="251" t="s">
        <v>445</v>
      </c>
      <c r="B353" s="253">
        <v>4047</v>
      </c>
      <c r="C353" s="237" t="s">
        <v>532</v>
      </c>
      <c r="D353" s="254">
        <v>103370</v>
      </c>
    </row>
    <row r="354" spans="1:4" ht="15">
      <c r="A354" s="251" t="s">
        <v>445</v>
      </c>
      <c r="B354" s="253">
        <v>4049</v>
      </c>
      <c r="C354" s="237" t="s">
        <v>532</v>
      </c>
      <c r="D354" s="254">
        <v>18243</v>
      </c>
    </row>
    <row r="355" spans="1:4" ht="15">
      <c r="A355" s="251" t="s">
        <v>445</v>
      </c>
      <c r="B355" s="253">
        <v>4117</v>
      </c>
      <c r="C355" s="237" t="s">
        <v>533</v>
      </c>
      <c r="D355" s="254">
        <v>293260</v>
      </c>
    </row>
    <row r="356" spans="1:4" ht="15">
      <c r="A356" s="251" t="s">
        <v>445</v>
      </c>
      <c r="B356" s="253">
        <v>4119</v>
      </c>
      <c r="C356" s="237" t="s">
        <v>533</v>
      </c>
      <c r="D356" s="254">
        <v>51752</v>
      </c>
    </row>
    <row r="357" spans="1:4" ht="30">
      <c r="A357" s="251" t="s">
        <v>445</v>
      </c>
      <c r="B357" s="253">
        <v>4127</v>
      </c>
      <c r="C357" s="237" t="s">
        <v>534</v>
      </c>
      <c r="D357" s="254">
        <v>41796</v>
      </c>
    </row>
    <row r="358" spans="1:4" ht="30">
      <c r="A358" s="251" t="s">
        <v>445</v>
      </c>
      <c r="B358" s="253">
        <v>4129</v>
      </c>
      <c r="C358" s="237" t="s">
        <v>534</v>
      </c>
      <c r="D358" s="254">
        <v>7375</v>
      </c>
    </row>
    <row r="359" spans="1:4" ht="15">
      <c r="A359" s="251" t="s">
        <v>445</v>
      </c>
      <c r="B359" s="253">
        <v>4177</v>
      </c>
      <c r="C359" s="237" t="s">
        <v>535</v>
      </c>
      <c r="D359" s="254">
        <v>332282</v>
      </c>
    </row>
    <row r="360" spans="1:4" ht="15">
      <c r="A360" s="251" t="s">
        <v>445</v>
      </c>
      <c r="B360" s="253">
        <v>4179</v>
      </c>
      <c r="C360" s="237" t="s">
        <v>535</v>
      </c>
      <c r="D360" s="254">
        <v>58638</v>
      </c>
    </row>
    <row r="361" spans="1:4" ht="15">
      <c r="A361" s="251" t="s">
        <v>445</v>
      </c>
      <c r="B361" s="253">
        <v>4217</v>
      </c>
      <c r="C361" s="237" t="s">
        <v>537</v>
      </c>
      <c r="D361" s="254">
        <v>175950</v>
      </c>
    </row>
    <row r="362" spans="1:4" ht="15">
      <c r="A362" s="251" t="s">
        <v>445</v>
      </c>
      <c r="B362" s="253">
        <v>4219</v>
      </c>
      <c r="C362" s="237" t="s">
        <v>537</v>
      </c>
      <c r="D362" s="254">
        <v>31050</v>
      </c>
    </row>
    <row r="363" spans="1:4" ht="15">
      <c r="A363" s="251" t="s">
        <v>445</v>
      </c>
      <c r="B363" s="253">
        <v>4227</v>
      </c>
      <c r="C363" s="237" t="s">
        <v>538</v>
      </c>
      <c r="D363" s="254">
        <v>13892</v>
      </c>
    </row>
    <row r="364" spans="1:4" ht="15">
      <c r="A364" s="251" t="s">
        <v>445</v>
      </c>
      <c r="B364" s="253">
        <v>4229</v>
      </c>
      <c r="C364" s="237" t="s">
        <v>538</v>
      </c>
      <c r="D364" s="254">
        <v>2452</v>
      </c>
    </row>
    <row r="365" spans="1:4" ht="15">
      <c r="A365" s="251" t="s">
        <v>445</v>
      </c>
      <c r="B365" s="253">
        <v>4260</v>
      </c>
      <c r="C365" s="237" t="s">
        <v>539</v>
      </c>
      <c r="D365" s="254">
        <v>13350</v>
      </c>
    </row>
    <row r="366" spans="1:4" ht="15">
      <c r="A366" s="251" t="s">
        <v>445</v>
      </c>
      <c r="B366" s="253">
        <v>4267</v>
      </c>
      <c r="C366" s="237" t="s">
        <v>539</v>
      </c>
      <c r="D366" s="254">
        <v>26295</v>
      </c>
    </row>
    <row r="367" spans="1:4" ht="15">
      <c r="A367" s="255" t="s">
        <v>445</v>
      </c>
      <c r="B367" s="256">
        <v>4269</v>
      </c>
      <c r="C367" s="239" t="s">
        <v>539</v>
      </c>
      <c r="D367" s="257">
        <v>4640</v>
      </c>
    </row>
    <row r="368" spans="1:4" ht="15">
      <c r="A368" s="258" t="s">
        <v>445</v>
      </c>
      <c r="B368" s="259">
        <v>4300</v>
      </c>
      <c r="C368" s="240" t="s">
        <v>541</v>
      </c>
      <c r="D368" s="260">
        <v>854750</v>
      </c>
    </row>
    <row r="369" spans="1:4" ht="15">
      <c r="A369" s="251" t="s">
        <v>445</v>
      </c>
      <c r="B369" s="253">
        <v>4307</v>
      </c>
      <c r="C369" s="237" t="s">
        <v>541</v>
      </c>
      <c r="D369" s="254">
        <v>1356430</v>
      </c>
    </row>
    <row r="370" spans="1:4" ht="15">
      <c r="A370" s="251" t="s">
        <v>445</v>
      </c>
      <c r="B370" s="253">
        <v>4309</v>
      </c>
      <c r="C370" s="237" t="s">
        <v>541</v>
      </c>
      <c r="D370" s="254">
        <v>239370</v>
      </c>
    </row>
    <row r="371" spans="1:4" ht="15">
      <c r="A371" s="251" t="s">
        <v>445</v>
      </c>
      <c r="B371" s="253">
        <v>4360</v>
      </c>
      <c r="C371" s="237" t="s">
        <v>542</v>
      </c>
      <c r="D371" s="254">
        <v>1337970</v>
      </c>
    </row>
    <row r="372" spans="1:4" ht="15">
      <c r="A372" s="251" t="s">
        <v>445</v>
      </c>
      <c r="B372" s="253">
        <v>4367</v>
      </c>
      <c r="C372" s="237" t="s">
        <v>542</v>
      </c>
      <c r="D372" s="254">
        <v>15300</v>
      </c>
    </row>
    <row r="373" spans="1:4" ht="15">
      <c r="A373" s="251" t="s">
        <v>445</v>
      </c>
      <c r="B373" s="253">
        <v>4369</v>
      </c>
      <c r="C373" s="237" t="s">
        <v>542</v>
      </c>
      <c r="D373" s="254">
        <v>2700</v>
      </c>
    </row>
    <row r="374" spans="1:4" ht="15">
      <c r="A374" s="251" t="s">
        <v>445</v>
      </c>
      <c r="B374" s="253">
        <v>4397</v>
      </c>
      <c r="C374" s="237" t="s">
        <v>557</v>
      </c>
      <c r="D374" s="254">
        <v>646683</v>
      </c>
    </row>
    <row r="375" spans="1:4" ht="15">
      <c r="A375" s="251" t="s">
        <v>445</v>
      </c>
      <c r="B375" s="253">
        <v>4399</v>
      </c>
      <c r="C375" s="237" t="s">
        <v>557</v>
      </c>
      <c r="D375" s="254">
        <v>114121</v>
      </c>
    </row>
    <row r="376" spans="1:4" ht="15">
      <c r="A376" s="251" t="s">
        <v>445</v>
      </c>
      <c r="B376" s="253">
        <v>4400</v>
      </c>
      <c r="C376" s="237" t="s">
        <v>544</v>
      </c>
      <c r="D376" s="254">
        <v>33890</v>
      </c>
    </row>
    <row r="377" spans="1:4" ht="15">
      <c r="A377" s="251" t="s">
        <v>445</v>
      </c>
      <c r="B377" s="253">
        <v>4407</v>
      </c>
      <c r="C377" s="237" t="s">
        <v>544</v>
      </c>
      <c r="D377" s="254">
        <v>148750</v>
      </c>
    </row>
    <row r="378" spans="1:4" ht="15">
      <c r="A378" s="251" t="s">
        <v>445</v>
      </c>
      <c r="B378" s="253">
        <v>4409</v>
      </c>
      <c r="C378" s="237" t="s">
        <v>544</v>
      </c>
      <c r="D378" s="254">
        <v>26250</v>
      </c>
    </row>
    <row r="379" spans="1:4" ht="15">
      <c r="A379" s="251" t="s">
        <v>445</v>
      </c>
      <c r="B379" s="253">
        <v>4417</v>
      </c>
      <c r="C379" s="237" t="s">
        <v>545</v>
      </c>
      <c r="D379" s="254">
        <v>17000</v>
      </c>
    </row>
    <row r="380" spans="1:4" ht="15">
      <c r="A380" s="251" t="s">
        <v>445</v>
      </c>
      <c r="B380" s="253">
        <v>4419</v>
      </c>
      <c r="C380" s="237" t="s">
        <v>545</v>
      </c>
      <c r="D380" s="254">
        <v>3000</v>
      </c>
    </row>
    <row r="381" spans="1:4" ht="15">
      <c r="A381" s="251" t="s">
        <v>445</v>
      </c>
      <c r="B381" s="253">
        <v>4427</v>
      </c>
      <c r="C381" s="237" t="s">
        <v>546</v>
      </c>
      <c r="D381" s="254">
        <v>17850</v>
      </c>
    </row>
    <row r="382" spans="1:4" ht="15">
      <c r="A382" s="251" t="s">
        <v>445</v>
      </c>
      <c r="B382" s="253">
        <v>4429</v>
      </c>
      <c r="C382" s="237" t="s">
        <v>546</v>
      </c>
      <c r="D382" s="254">
        <v>3150</v>
      </c>
    </row>
    <row r="383" spans="1:4" ht="15">
      <c r="A383" s="251" t="s">
        <v>445</v>
      </c>
      <c r="B383" s="253">
        <v>4430</v>
      </c>
      <c r="C383" s="237" t="s">
        <v>547</v>
      </c>
      <c r="D383" s="254">
        <v>256823</v>
      </c>
    </row>
    <row r="384" spans="1:4" ht="15">
      <c r="A384" s="251" t="s">
        <v>445</v>
      </c>
      <c r="B384" s="253">
        <v>4510</v>
      </c>
      <c r="C384" s="237" t="s">
        <v>567</v>
      </c>
      <c r="D384" s="254">
        <v>123760</v>
      </c>
    </row>
    <row r="385" spans="1:4" ht="15">
      <c r="A385" s="251" t="s">
        <v>445</v>
      </c>
      <c r="B385" s="253">
        <v>4707</v>
      </c>
      <c r="C385" s="237" t="s">
        <v>548</v>
      </c>
      <c r="D385" s="254">
        <v>19592</v>
      </c>
    </row>
    <row r="386" spans="1:4" ht="15">
      <c r="A386" s="251" t="s">
        <v>445</v>
      </c>
      <c r="B386" s="253">
        <v>4709</v>
      </c>
      <c r="C386" s="237" t="s">
        <v>548</v>
      </c>
      <c r="D386" s="254">
        <v>3458</v>
      </c>
    </row>
    <row r="387" spans="1:4" ht="15">
      <c r="A387" s="251" t="s">
        <v>445</v>
      </c>
      <c r="B387" s="253">
        <v>6010</v>
      </c>
      <c r="C387" s="237" t="s">
        <v>573</v>
      </c>
      <c r="D387" s="254">
        <v>2129401</v>
      </c>
    </row>
    <row r="388" spans="1:4" ht="15">
      <c r="A388" s="251" t="s">
        <v>445</v>
      </c>
      <c r="B388" s="253">
        <v>6057</v>
      </c>
      <c r="C388" s="237" t="s">
        <v>560</v>
      </c>
      <c r="D388" s="254">
        <v>5028775</v>
      </c>
    </row>
    <row r="389" spans="1:4" ht="15">
      <c r="A389" s="251" t="s">
        <v>445</v>
      </c>
      <c r="B389" s="253">
        <v>6059</v>
      </c>
      <c r="C389" s="237" t="s">
        <v>560</v>
      </c>
      <c r="D389" s="254">
        <v>887078</v>
      </c>
    </row>
    <row r="390" spans="1:4" ht="15">
      <c r="A390" s="251" t="s">
        <v>445</v>
      </c>
      <c r="B390" s="253">
        <v>6067</v>
      </c>
      <c r="C390" s="237" t="s">
        <v>569</v>
      </c>
      <c r="D390" s="254">
        <v>4503175</v>
      </c>
    </row>
    <row r="391" spans="1:4" ht="15">
      <c r="A391" s="251"/>
      <c r="B391" s="253" t="s">
        <v>574</v>
      </c>
      <c r="C391" s="237" t="s">
        <v>569</v>
      </c>
      <c r="D391" s="254">
        <v>794678</v>
      </c>
    </row>
    <row r="392" spans="1:4" ht="60">
      <c r="A392" s="251" t="s">
        <v>445</v>
      </c>
      <c r="B392" s="253">
        <v>6207</v>
      </c>
      <c r="C392" s="237" t="s">
        <v>575</v>
      </c>
      <c r="D392" s="254">
        <v>28946542</v>
      </c>
    </row>
    <row r="393" spans="1:4" ht="33" customHeight="1">
      <c r="A393" s="251" t="s">
        <v>445</v>
      </c>
      <c r="B393" s="253">
        <v>6229</v>
      </c>
      <c r="C393" s="237" t="s">
        <v>576</v>
      </c>
      <c r="D393" s="254">
        <v>781572</v>
      </c>
    </row>
    <row r="394" spans="1:4" ht="60">
      <c r="A394" s="251" t="s">
        <v>445</v>
      </c>
      <c r="B394" s="253">
        <v>6257</v>
      </c>
      <c r="C394" s="237" t="s">
        <v>448</v>
      </c>
      <c r="D394" s="254">
        <v>42652008</v>
      </c>
    </row>
    <row r="395" spans="1:4" s="235" customFormat="1" ht="14.25">
      <c r="A395" s="261" t="s">
        <v>326</v>
      </c>
      <c r="B395" s="261" t="s">
        <v>445</v>
      </c>
      <c r="C395" s="238" t="s">
        <v>327</v>
      </c>
      <c r="D395" s="262">
        <f>D396+D398</f>
        <v>3741050</v>
      </c>
    </row>
    <row r="396" spans="1:4" s="235" customFormat="1" ht="14.25">
      <c r="A396" s="251">
        <v>73014</v>
      </c>
      <c r="B396" s="251" t="s">
        <v>445</v>
      </c>
      <c r="C396" s="236" t="s">
        <v>334</v>
      </c>
      <c r="D396" s="252">
        <f>D397</f>
        <v>200000</v>
      </c>
    </row>
    <row r="397" spans="1:4" ht="30">
      <c r="A397" s="251" t="s">
        <v>445</v>
      </c>
      <c r="B397" s="253">
        <v>2800</v>
      </c>
      <c r="C397" s="237" t="s">
        <v>555</v>
      </c>
      <c r="D397" s="254">
        <v>200000</v>
      </c>
    </row>
    <row r="398" spans="1:4" s="235" customFormat="1" ht="14.25">
      <c r="A398" s="251">
        <v>73095</v>
      </c>
      <c r="B398" s="251" t="s">
        <v>445</v>
      </c>
      <c r="C398" s="236" t="s">
        <v>73</v>
      </c>
      <c r="D398" s="252">
        <f>D399</f>
        <v>3541050</v>
      </c>
    </row>
    <row r="399" spans="1:4" ht="30" customHeight="1">
      <c r="A399" s="251" t="s">
        <v>445</v>
      </c>
      <c r="B399" s="253">
        <v>6220</v>
      </c>
      <c r="C399" s="237" t="s">
        <v>576</v>
      </c>
      <c r="D399" s="254">
        <v>3541050</v>
      </c>
    </row>
    <row r="400" spans="1:4" s="235" customFormat="1" ht="14.25">
      <c r="A400" s="261" t="s">
        <v>35</v>
      </c>
      <c r="B400" s="261" t="s">
        <v>445</v>
      </c>
      <c r="C400" s="238" t="s">
        <v>36</v>
      </c>
      <c r="D400" s="262">
        <f>D401+D414+D491+D504+D547+D556</f>
        <v>116626679</v>
      </c>
    </row>
    <row r="401" spans="1:4" s="235" customFormat="1" ht="14.25">
      <c r="A401" s="251">
        <v>75017</v>
      </c>
      <c r="B401" s="251" t="s">
        <v>445</v>
      </c>
      <c r="C401" s="236" t="s">
        <v>155</v>
      </c>
      <c r="D401" s="252">
        <f>SUM(D402:D413)</f>
        <v>1444000</v>
      </c>
    </row>
    <row r="402" spans="1:4" ht="15">
      <c r="A402" s="251" t="s">
        <v>445</v>
      </c>
      <c r="B402" s="253">
        <v>3030</v>
      </c>
      <c r="C402" s="237" t="s">
        <v>556</v>
      </c>
      <c r="D402" s="254">
        <v>1100000</v>
      </c>
    </row>
    <row r="403" spans="1:4" ht="15">
      <c r="A403" s="251" t="s">
        <v>445</v>
      </c>
      <c r="B403" s="253">
        <v>4170</v>
      </c>
      <c r="C403" s="237" t="s">
        <v>535</v>
      </c>
      <c r="D403" s="254">
        <v>50000</v>
      </c>
    </row>
    <row r="404" spans="1:4" ht="15">
      <c r="A404" s="251" t="s">
        <v>445</v>
      </c>
      <c r="B404" s="253">
        <v>4190</v>
      </c>
      <c r="C404" s="237" t="s">
        <v>536</v>
      </c>
      <c r="D404" s="254">
        <v>15000</v>
      </c>
    </row>
    <row r="405" spans="1:4" ht="15">
      <c r="A405" s="251" t="s">
        <v>445</v>
      </c>
      <c r="B405" s="253">
        <v>4210</v>
      </c>
      <c r="C405" s="237" t="s">
        <v>537</v>
      </c>
      <c r="D405" s="254">
        <v>40000</v>
      </c>
    </row>
    <row r="406" spans="1:4" ht="15">
      <c r="A406" s="251" t="s">
        <v>445</v>
      </c>
      <c r="B406" s="253">
        <v>4220</v>
      </c>
      <c r="C406" s="237" t="s">
        <v>538</v>
      </c>
      <c r="D406" s="254">
        <v>30000</v>
      </c>
    </row>
    <row r="407" spans="1:4" ht="15">
      <c r="A407" s="251" t="s">
        <v>445</v>
      </c>
      <c r="B407" s="253">
        <v>4270</v>
      </c>
      <c r="C407" s="237" t="s">
        <v>540</v>
      </c>
      <c r="D407" s="254">
        <v>4000</v>
      </c>
    </row>
    <row r="408" spans="1:4" ht="15">
      <c r="A408" s="251" t="s">
        <v>445</v>
      </c>
      <c r="B408" s="253">
        <v>4300</v>
      </c>
      <c r="C408" s="237" t="s">
        <v>541</v>
      </c>
      <c r="D408" s="254">
        <v>170000</v>
      </c>
    </row>
    <row r="409" spans="1:4" ht="15">
      <c r="A409" s="251" t="s">
        <v>445</v>
      </c>
      <c r="B409" s="253">
        <v>4360</v>
      </c>
      <c r="C409" s="237" t="s">
        <v>542</v>
      </c>
      <c r="D409" s="254">
        <v>10000</v>
      </c>
    </row>
    <row r="410" spans="1:4" ht="15">
      <c r="A410" s="251" t="s">
        <v>445</v>
      </c>
      <c r="B410" s="253">
        <v>4380</v>
      </c>
      <c r="C410" s="237" t="s">
        <v>543</v>
      </c>
      <c r="D410" s="254">
        <v>10000</v>
      </c>
    </row>
    <row r="411" spans="1:4" ht="15">
      <c r="A411" s="251" t="s">
        <v>445</v>
      </c>
      <c r="B411" s="253">
        <v>4410</v>
      </c>
      <c r="C411" s="237" t="s">
        <v>545</v>
      </c>
      <c r="D411" s="254">
        <v>3000</v>
      </c>
    </row>
    <row r="412" spans="1:4" ht="15">
      <c r="A412" s="251" t="s">
        <v>445</v>
      </c>
      <c r="B412" s="253">
        <v>4420</v>
      </c>
      <c r="C412" s="237" t="s">
        <v>546</v>
      </c>
      <c r="D412" s="254">
        <v>10000</v>
      </c>
    </row>
    <row r="413" spans="1:4" ht="15">
      <c r="A413" s="251" t="s">
        <v>445</v>
      </c>
      <c r="B413" s="253">
        <v>4430</v>
      </c>
      <c r="C413" s="237" t="s">
        <v>547</v>
      </c>
      <c r="D413" s="254">
        <v>2000</v>
      </c>
    </row>
    <row r="414" spans="1:4" s="235" customFormat="1" ht="14.25">
      <c r="A414" s="251">
        <v>75018</v>
      </c>
      <c r="B414" s="251" t="s">
        <v>445</v>
      </c>
      <c r="C414" s="236" t="s">
        <v>53</v>
      </c>
      <c r="D414" s="252">
        <f>SUM(D415:D490)</f>
        <v>83036937</v>
      </c>
    </row>
    <row r="415" spans="1:4" ht="15">
      <c r="A415" s="251" t="s">
        <v>445</v>
      </c>
      <c r="B415" s="253">
        <v>3020</v>
      </c>
      <c r="C415" s="237" t="s">
        <v>561</v>
      </c>
      <c r="D415" s="254">
        <v>40000</v>
      </c>
    </row>
    <row r="416" spans="1:4" ht="15">
      <c r="A416" s="251" t="s">
        <v>445</v>
      </c>
      <c r="B416" s="253">
        <v>3028</v>
      </c>
      <c r="C416" s="237" t="s">
        <v>561</v>
      </c>
      <c r="D416" s="254">
        <v>8500</v>
      </c>
    </row>
    <row r="417" spans="1:4" ht="15">
      <c r="A417" s="251" t="s">
        <v>445</v>
      </c>
      <c r="B417" s="253">
        <v>3029</v>
      </c>
      <c r="C417" s="237" t="s">
        <v>561</v>
      </c>
      <c r="D417" s="254">
        <v>1500</v>
      </c>
    </row>
    <row r="418" spans="1:4" ht="15">
      <c r="A418" s="251" t="s">
        <v>445</v>
      </c>
      <c r="B418" s="253">
        <v>3038</v>
      </c>
      <c r="C418" s="237" t="s">
        <v>556</v>
      </c>
      <c r="D418" s="254">
        <v>17000</v>
      </c>
    </row>
    <row r="419" spans="1:4" ht="15">
      <c r="A419" s="251" t="s">
        <v>445</v>
      </c>
      <c r="B419" s="253">
        <v>3039</v>
      </c>
      <c r="C419" s="237" t="s">
        <v>556</v>
      </c>
      <c r="D419" s="254">
        <v>3000</v>
      </c>
    </row>
    <row r="420" spans="1:4" ht="15">
      <c r="A420" s="251" t="s">
        <v>445</v>
      </c>
      <c r="B420" s="253">
        <v>4010</v>
      </c>
      <c r="C420" s="237" t="s">
        <v>531</v>
      </c>
      <c r="D420" s="254">
        <v>26062500</v>
      </c>
    </row>
    <row r="421" spans="1:4" ht="15">
      <c r="A421" s="255" t="s">
        <v>445</v>
      </c>
      <c r="B421" s="256">
        <v>4018</v>
      </c>
      <c r="C421" s="239" t="s">
        <v>531</v>
      </c>
      <c r="D421" s="257">
        <v>20406290</v>
      </c>
    </row>
    <row r="422" spans="1:4" ht="15">
      <c r="A422" s="258" t="s">
        <v>445</v>
      </c>
      <c r="B422" s="259">
        <v>4019</v>
      </c>
      <c r="C422" s="240" t="s">
        <v>531</v>
      </c>
      <c r="D422" s="260">
        <v>3601110</v>
      </c>
    </row>
    <row r="423" spans="1:4" ht="15">
      <c r="A423" s="251" t="s">
        <v>445</v>
      </c>
      <c r="B423" s="253">
        <v>4040</v>
      </c>
      <c r="C423" s="237" t="s">
        <v>532</v>
      </c>
      <c r="D423" s="254">
        <v>2216500</v>
      </c>
    </row>
    <row r="424" spans="1:4" ht="15">
      <c r="A424" s="251" t="s">
        <v>445</v>
      </c>
      <c r="B424" s="253">
        <v>4048</v>
      </c>
      <c r="C424" s="237" t="s">
        <v>532</v>
      </c>
      <c r="D424" s="254">
        <v>1696175</v>
      </c>
    </row>
    <row r="425" spans="1:4" ht="15">
      <c r="A425" s="251" t="s">
        <v>445</v>
      </c>
      <c r="B425" s="253">
        <v>4049</v>
      </c>
      <c r="C425" s="237" t="s">
        <v>532</v>
      </c>
      <c r="D425" s="254">
        <v>299325</v>
      </c>
    </row>
    <row r="426" spans="1:4" ht="15">
      <c r="A426" s="251" t="s">
        <v>445</v>
      </c>
      <c r="B426" s="253">
        <v>4110</v>
      </c>
      <c r="C426" s="237" t="s">
        <v>533</v>
      </c>
      <c r="D426" s="254">
        <v>4757019</v>
      </c>
    </row>
    <row r="427" spans="1:4" ht="15">
      <c r="A427" s="251" t="s">
        <v>445</v>
      </c>
      <c r="B427" s="253">
        <v>4118</v>
      </c>
      <c r="C427" s="237" t="s">
        <v>533</v>
      </c>
      <c r="D427" s="254">
        <v>3581475</v>
      </c>
    </row>
    <row r="428" spans="1:4" ht="15">
      <c r="A428" s="251" t="s">
        <v>445</v>
      </c>
      <c r="B428" s="253">
        <v>4119</v>
      </c>
      <c r="C428" s="237" t="s">
        <v>533</v>
      </c>
      <c r="D428" s="254">
        <v>632025</v>
      </c>
    </row>
    <row r="429" spans="1:4" ht="30">
      <c r="A429" s="251" t="s">
        <v>445</v>
      </c>
      <c r="B429" s="253">
        <v>4120</v>
      </c>
      <c r="C429" s="237" t="s">
        <v>534</v>
      </c>
      <c r="D429" s="254">
        <v>501000</v>
      </c>
    </row>
    <row r="430" spans="1:4" ht="30">
      <c r="A430" s="251" t="s">
        <v>445</v>
      </c>
      <c r="B430" s="253">
        <v>4128</v>
      </c>
      <c r="C430" s="237" t="s">
        <v>534</v>
      </c>
      <c r="D430" s="254">
        <v>418625</v>
      </c>
    </row>
    <row r="431" spans="1:4" ht="30">
      <c r="A431" s="251" t="s">
        <v>445</v>
      </c>
      <c r="B431" s="253">
        <v>4129</v>
      </c>
      <c r="C431" s="237" t="s">
        <v>534</v>
      </c>
      <c r="D431" s="254">
        <v>73875</v>
      </c>
    </row>
    <row r="432" spans="1:4" ht="15">
      <c r="A432" s="251" t="s">
        <v>445</v>
      </c>
      <c r="B432" s="253">
        <v>4140</v>
      </c>
      <c r="C432" s="237" t="s">
        <v>562</v>
      </c>
      <c r="D432" s="254">
        <v>300000</v>
      </c>
    </row>
    <row r="433" spans="1:4" ht="15">
      <c r="A433" s="251" t="s">
        <v>445</v>
      </c>
      <c r="B433" s="253">
        <v>4170</v>
      </c>
      <c r="C433" s="237" t="s">
        <v>535</v>
      </c>
      <c r="D433" s="254">
        <v>270000</v>
      </c>
    </row>
    <row r="434" spans="1:4" ht="15">
      <c r="A434" s="251" t="s">
        <v>445</v>
      </c>
      <c r="B434" s="253">
        <v>4178</v>
      </c>
      <c r="C434" s="237" t="s">
        <v>535</v>
      </c>
      <c r="D434" s="254">
        <v>881365</v>
      </c>
    </row>
    <row r="435" spans="1:4" ht="15">
      <c r="A435" s="251" t="s">
        <v>445</v>
      </c>
      <c r="B435" s="253">
        <v>4179</v>
      </c>
      <c r="C435" s="237" t="s">
        <v>535</v>
      </c>
      <c r="D435" s="254">
        <v>155535</v>
      </c>
    </row>
    <row r="436" spans="1:4" ht="15">
      <c r="A436" s="251" t="s">
        <v>445</v>
      </c>
      <c r="B436" s="253">
        <v>4198</v>
      </c>
      <c r="C436" s="237" t="s">
        <v>536</v>
      </c>
      <c r="D436" s="254">
        <v>65790</v>
      </c>
    </row>
    <row r="437" spans="1:4" ht="15">
      <c r="A437" s="251" t="s">
        <v>445</v>
      </c>
      <c r="B437" s="253">
        <v>4199</v>
      </c>
      <c r="C437" s="237" t="s">
        <v>536</v>
      </c>
      <c r="D437" s="254">
        <v>11610</v>
      </c>
    </row>
    <row r="438" spans="1:4" ht="15">
      <c r="A438" s="251" t="s">
        <v>445</v>
      </c>
      <c r="B438" s="253">
        <v>4210</v>
      </c>
      <c r="C438" s="237" t="s">
        <v>537</v>
      </c>
      <c r="D438" s="254">
        <v>1551000</v>
      </c>
    </row>
    <row r="439" spans="1:4" ht="15">
      <c r="A439" s="251" t="s">
        <v>445</v>
      </c>
      <c r="B439" s="253">
        <v>4218</v>
      </c>
      <c r="C439" s="237" t="s">
        <v>537</v>
      </c>
      <c r="D439" s="254">
        <v>578000</v>
      </c>
    </row>
    <row r="440" spans="1:4" ht="15">
      <c r="A440" s="251" t="s">
        <v>445</v>
      </c>
      <c r="B440" s="253">
        <v>4219</v>
      </c>
      <c r="C440" s="237" t="s">
        <v>537</v>
      </c>
      <c r="D440" s="254">
        <v>102000</v>
      </c>
    </row>
    <row r="441" spans="1:4" ht="15">
      <c r="A441" s="251" t="s">
        <v>445</v>
      </c>
      <c r="B441" s="253">
        <v>4220</v>
      </c>
      <c r="C441" s="237" t="s">
        <v>538</v>
      </c>
      <c r="D441" s="254">
        <v>60000</v>
      </c>
    </row>
    <row r="442" spans="1:4" ht="15">
      <c r="A442" s="251" t="s">
        <v>445</v>
      </c>
      <c r="B442" s="253">
        <v>4228</v>
      </c>
      <c r="C442" s="237" t="s">
        <v>538</v>
      </c>
      <c r="D442" s="254">
        <v>22950</v>
      </c>
    </row>
    <row r="443" spans="1:4" ht="15">
      <c r="A443" s="251" t="s">
        <v>445</v>
      </c>
      <c r="B443" s="253">
        <v>4229</v>
      </c>
      <c r="C443" s="237" t="s">
        <v>538</v>
      </c>
      <c r="D443" s="254">
        <v>4050</v>
      </c>
    </row>
    <row r="444" spans="1:4" ht="15">
      <c r="A444" s="251" t="s">
        <v>445</v>
      </c>
      <c r="B444" s="253">
        <v>4260</v>
      </c>
      <c r="C444" s="237" t="s">
        <v>539</v>
      </c>
      <c r="D444" s="254">
        <v>820000</v>
      </c>
    </row>
    <row r="445" spans="1:4" ht="15">
      <c r="A445" s="251" t="s">
        <v>445</v>
      </c>
      <c r="B445" s="253">
        <v>4268</v>
      </c>
      <c r="C445" s="237" t="s">
        <v>539</v>
      </c>
      <c r="D445" s="254">
        <v>658750</v>
      </c>
    </row>
    <row r="446" spans="1:4" ht="15">
      <c r="A446" s="251" t="s">
        <v>445</v>
      </c>
      <c r="B446" s="253">
        <v>4269</v>
      </c>
      <c r="C446" s="237" t="s">
        <v>539</v>
      </c>
      <c r="D446" s="254">
        <v>116250</v>
      </c>
    </row>
    <row r="447" spans="1:4" ht="15">
      <c r="A447" s="251" t="s">
        <v>445</v>
      </c>
      <c r="B447" s="253">
        <v>4270</v>
      </c>
      <c r="C447" s="237" t="s">
        <v>540</v>
      </c>
      <c r="D447" s="254">
        <v>250000</v>
      </c>
    </row>
    <row r="448" spans="1:4" ht="15">
      <c r="A448" s="251" t="s">
        <v>445</v>
      </c>
      <c r="B448" s="253">
        <v>4278</v>
      </c>
      <c r="C448" s="237" t="s">
        <v>540</v>
      </c>
      <c r="D448" s="254">
        <v>8500</v>
      </c>
    </row>
    <row r="449" spans="1:4" ht="15">
      <c r="A449" s="251" t="s">
        <v>445</v>
      </c>
      <c r="B449" s="253">
        <v>4279</v>
      </c>
      <c r="C449" s="237" t="s">
        <v>540</v>
      </c>
      <c r="D449" s="254">
        <v>1500</v>
      </c>
    </row>
    <row r="450" spans="1:4" ht="15">
      <c r="A450" s="251" t="s">
        <v>445</v>
      </c>
      <c r="B450" s="253">
        <v>4280</v>
      </c>
      <c r="C450" s="237" t="s">
        <v>563</v>
      </c>
      <c r="D450" s="254">
        <v>22000</v>
      </c>
    </row>
    <row r="451" spans="1:4" ht="15">
      <c r="A451" s="251" t="s">
        <v>445</v>
      </c>
      <c r="B451" s="253">
        <v>4288</v>
      </c>
      <c r="C451" s="237" t="s">
        <v>563</v>
      </c>
      <c r="D451" s="254">
        <v>8500</v>
      </c>
    </row>
    <row r="452" spans="1:4" ht="15">
      <c r="A452" s="251" t="s">
        <v>445</v>
      </c>
      <c r="B452" s="253">
        <v>4289</v>
      </c>
      <c r="C452" s="237" t="s">
        <v>563</v>
      </c>
      <c r="D452" s="254">
        <v>1500</v>
      </c>
    </row>
    <row r="453" spans="1:4" ht="15">
      <c r="A453" s="251" t="s">
        <v>445</v>
      </c>
      <c r="B453" s="253">
        <v>4300</v>
      </c>
      <c r="C453" s="237" t="s">
        <v>541</v>
      </c>
      <c r="D453" s="254">
        <v>2277750</v>
      </c>
    </row>
    <row r="454" spans="1:4" ht="15">
      <c r="A454" s="251" t="s">
        <v>445</v>
      </c>
      <c r="B454" s="253">
        <v>4308</v>
      </c>
      <c r="C454" s="237" t="s">
        <v>541</v>
      </c>
      <c r="D454" s="254">
        <v>3274761</v>
      </c>
    </row>
    <row r="455" spans="1:4" ht="15">
      <c r="A455" s="251" t="s">
        <v>445</v>
      </c>
      <c r="B455" s="253">
        <v>4309</v>
      </c>
      <c r="C455" s="237" t="s">
        <v>541</v>
      </c>
      <c r="D455" s="254">
        <v>577899</v>
      </c>
    </row>
    <row r="456" spans="1:4" ht="15">
      <c r="A456" s="251" t="s">
        <v>445</v>
      </c>
      <c r="B456" s="253">
        <v>4360</v>
      </c>
      <c r="C456" s="237" t="s">
        <v>542</v>
      </c>
      <c r="D456" s="254">
        <v>266000</v>
      </c>
    </row>
    <row r="457" spans="1:4" ht="15">
      <c r="A457" s="251" t="s">
        <v>445</v>
      </c>
      <c r="B457" s="253">
        <v>4368</v>
      </c>
      <c r="C457" s="237" t="s">
        <v>542</v>
      </c>
      <c r="D457" s="254">
        <v>170000</v>
      </c>
    </row>
    <row r="458" spans="1:4" ht="15">
      <c r="A458" s="251" t="s">
        <v>445</v>
      </c>
      <c r="B458" s="253">
        <v>4369</v>
      </c>
      <c r="C458" s="237" t="s">
        <v>542</v>
      </c>
      <c r="D458" s="254">
        <v>30000</v>
      </c>
    </row>
    <row r="459" spans="1:4" ht="15">
      <c r="A459" s="251" t="s">
        <v>445</v>
      </c>
      <c r="B459" s="253">
        <v>4380</v>
      </c>
      <c r="C459" s="237" t="s">
        <v>543</v>
      </c>
      <c r="D459" s="254">
        <v>5000</v>
      </c>
    </row>
    <row r="460" spans="1:4" ht="15">
      <c r="A460" s="251" t="s">
        <v>445</v>
      </c>
      <c r="B460" s="253">
        <v>4388</v>
      </c>
      <c r="C460" s="237" t="s">
        <v>543</v>
      </c>
      <c r="D460" s="254">
        <v>6375</v>
      </c>
    </row>
    <row r="461" spans="1:4" ht="15">
      <c r="A461" s="251" t="s">
        <v>445</v>
      </c>
      <c r="B461" s="253">
        <v>4389</v>
      </c>
      <c r="C461" s="237" t="s">
        <v>543</v>
      </c>
      <c r="D461" s="254">
        <v>1125</v>
      </c>
    </row>
    <row r="462" spans="1:4" ht="15">
      <c r="A462" s="251" t="s">
        <v>445</v>
      </c>
      <c r="B462" s="253">
        <v>4390</v>
      </c>
      <c r="C462" s="237" t="s">
        <v>557</v>
      </c>
      <c r="D462" s="254">
        <v>26000</v>
      </c>
    </row>
    <row r="463" spans="1:4" ht="15">
      <c r="A463" s="251" t="s">
        <v>445</v>
      </c>
      <c r="B463" s="253">
        <v>4398</v>
      </c>
      <c r="C463" s="237" t="s">
        <v>557</v>
      </c>
      <c r="D463" s="254">
        <v>1324472</v>
      </c>
    </row>
    <row r="464" spans="1:4" ht="15">
      <c r="A464" s="251" t="s">
        <v>445</v>
      </c>
      <c r="B464" s="253">
        <v>4399</v>
      </c>
      <c r="C464" s="237" t="s">
        <v>557</v>
      </c>
      <c r="D464" s="254">
        <v>233730</v>
      </c>
    </row>
    <row r="465" spans="1:4" ht="15">
      <c r="A465" s="251" t="s">
        <v>445</v>
      </c>
      <c r="B465" s="253">
        <v>4400</v>
      </c>
      <c r="C465" s="237" t="s">
        <v>544</v>
      </c>
      <c r="D465" s="254">
        <v>600000</v>
      </c>
    </row>
    <row r="466" spans="1:4" ht="15">
      <c r="A466" s="251" t="s">
        <v>445</v>
      </c>
      <c r="B466" s="253">
        <v>4408</v>
      </c>
      <c r="C466" s="237" t="s">
        <v>544</v>
      </c>
      <c r="D466" s="254">
        <v>671500</v>
      </c>
    </row>
    <row r="467" spans="1:4" ht="15">
      <c r="A467" s="251" t="s">
        <v>445</v>
      </c>
      <c r="B467" s="253">
        <v>4409</v>
      </c>
      <c r="C467" s="237" t="s">
        <v>544</v>
      </c>
      <c r="D467" s="254">
        <v>118500</v>
      </c>
    </row>
    <row r="468" spans="1:4" ht="15">
      <c r="A468" s="251" t="s">
        <v>445</v>
      </c>
      <c r="B468" s="253">
        <v>4410</v>
      </c>
      <c r="C468" s="237" t="s">
        <v>545</v>
      </c>
      <c r="D468" s="254">
        <v>140000</v>
      </c>
    </row>
    <row r="469" spans="1:4" ht="15">
      <c r="A469" s="251" t="s">
        <v>445</v>
      </c>
      <c r="B469" s="253">
        <v>4418</v>
      </c>
      <c r="C469" s="237" t="s">
        <v>545</v>
      </c>
      <c r="D469" s="254">
        <v>45050</v>
      </c>
    </row>
    <row r="470" spans="1:4" ht="15">
      <c r="A470" s="251" t="s">
        <v>445</v>
      </c>
      <c r="B470" s="253">
        <v>4419</v>
      </c>
      <c r="C470" s="237" t="s">
        <v>545</v>
      </c>
      <c r="D470" s="254">
        <v>7950</v>
      </c>
    </row>
    <row r="471" spans="1:4" ht="15">
      <c r="A471" s="251" t="s">
        <v>445</v>
      </c>
      <c r="B471" s="253">
        <v>4420</v>
      </c>
      <c r="C471" s="237" t="s">
        <v>546</v>
      </c>
      <c r="D471" s="254">
        <v>210000</v>
      </c>
    </row>
    <row r="472" spans="1:4" ht="15">
      <c r="A472" s="251" t="s">
        <v>445</v>
      </c>
      <c r="B472" s="253">
        <v>4428</v>
      </c>
      <c r="C472" s="237" t="s">
        <v>546</v>
      </c>
      <c r="D472" s="254">
        <v>165750</v>
      </c>
    </row>
    <row r="473" spans="1:4" ht="15">
      <c r="A473" s="251" t="s">
        <v>445</v>
      </c>
      <c r="B473" s="253">
        <v>4429</v>
      </c>
      <c r="C473" s="237" t="s">
        <v>546</v>
      </c>
      <c r="D473" s="254">
        <v>29250</v>
      </c>
    </row>
    <row r="474" spans="1:4" ht="15">
      <c r="A474" s="251" t="s">
        <v>445</v>
      </c>
      <c r="B474" s="253">
        <v>4430</v>
      </c>
      <c r="C474" s="237" t="s">
        <v>547</v>
      </c>
      <c r="D474" s="254">
        <v>90000</v>
      </c>
    </row>
    <row r="475" spans="1:4" ht="15">
      <c r="A475" s="251" t="s">
        <v>445</v>
      </c>
      <c r="B475" s="253">
        <v>4438</v>
      </c>
      <c r="C475" s="237" t="s">
        <v>547</v>
      </c>
      <c r="D475" s="254">
        <v>31450</v>
      </c>
    </row>
    <row r="476" spans="1:4" ht="15">
      <c r="A476" s="251" t="s">
        <v>445</v>
      </c>
      <c r="B476" s="253">
        <v>4439</v>
      </c>
      <c r="C476" s="237" t="s">
        <v>547</v>
      </c>
      <c r="D476" s="254">
        <v>5550</v>
      </c>
    </row>
    <row r="477" spans="1:4" ht="15">
      <c r="A477" s="251" t="s">
        <v>445</v>
      </c>
      <c r="B477" s="253">
        <v>4440</v>
      </c>
      <c r="C477" s="237" t="s">
        <v>564</v>
      </c>
      <c r="D477" s="254">
        <v>1433716</v>
      </c>
    </row>
    <row r="478" spans="1:4" ht="15">
      <c r="A478" s="251" t="s">
        <v>445</v>
      </c>
      <c r="B478" s="253">
        <v>4480</v>
      </c>
      <c r="C478" s="237" t="s">
        <v>565</v>
      </c>
      <c r="D478" s="254">
        <v>14000</v>
      </c>
    </row>
    <row r="479" spans="1:4" ht="15">
      <c r="A479" s="251" t="s">
        <v>445</v>
      </c>
      <c r="B479" s="253">
        <v>4510</v>
      </c>
      <c r="C479" s="237" t="s">
        <v>567</v>
      </c>
      <c r="D479" s="254">
        <v>1000</v>
      </c>
    </row>
    <row r="480" spans="1:4" ht="15">
      <c r="A480" s="251" t="s">
        <v>445</v>
      </c>
      <c r="B480" s="253">
        <v>4520</v>
      </c>
      <c r="C480" s="237" t="s">
        <v>568</v>
      </c>
      <c r="D480" s="254">
        <v>34000</v>
      </c>
    </row>
    <row r="481" spans="1:4" ht="15">
      <c r="A481" s="255" t="s">
        <v>445</v>
      </c>
      <c r="B481" s="256">
        <v>4530</v>
      </c>
      <c r="C481" s="239" t="s">
        <v>553</v>
      </c>
      <c r="D481" s="257">
        <v>250</v>
      </c>
    </row>
    <row r="482" spans="1:4" ht="15">
      <c r="A482" s="258" t="s">
        <v>445</v>
      </c>
      <c r="B482" s="259">
        <v>4610</v>
      </c>
      <c r="C482" s="240" t="s">
        <v>550</v>
      </c>
      <c r="D482" s="260">
        <v>30000</v>
      </c>
    </row>
    <row r="483" spans="1:4" ht="15">
      <c r="A483" s="251" t="s">
        <v>445</v>
      </c>
      <c r="B483" s="253">
        <v>4618</v>
      </c>
      <c r="C483" s="237" t="s">
        <v>550</v>
      </c>
      <c r="D483" s="254">
        <v>164050</v>
      </c>
    </row>
    <row r="484" spans="1:4" ht="15">
      <c r="A484" s="251" t="s">
        <v>445</v>
      </c>
      <c r="B484" s="253">
        <v>4619</v>
      </c>
      <c r="C484" s="237" t="s">
        <v>550</v>
      </c>
      <c r="D484" s="254">
        <v>28950</v>
      </c>
    </row>
    <row r="485" spans="1:4" ht="15">
      <c r="A485" s="251" t="s">
        <v>445</v>
      </c>
      <c r="B485" s="253">
        <v>4700</v>
      </c>
      <c r="C485" s="237" t="s">
        <v>548</v>
      </c>
      <c r="D485" s="254">
        <v>65000</v>
      </c>
    </row>
    <row r="486" spans="1:4" ht="15">
      <c r="A486" s="251" t="s">
        <v>445</v>
      </c>
      <c r="B486" s="253">
        <v>4708</v>
      </c>
      <c r="C486" s="237" t="s">
        <v>548</v>
      </c>
      <c r="D486" s="254">
        <v>121244</v>
      </c>
    </row>
    <row r="487" spans="1:4" ht="15">
      <c r="A487" s="251" t="s">
        <v>445</v>
      </c>
      <c r="B487" s="253">
        <v>4709</v>
      </c>
      <c r="C487" s="237" t="s">
        <v>548</v>
      </c>
      <c r="D487" s="254">
        <v>21396</v>
      </c>
    </row>
    <row r="488" spans="1:4" ht="15">
      <c r="A488" s="251" t="s">
        <v>445</v>
      </c>
      <c r="B488" s="253">
        <v>6050</v>
      </c>
      <c r="C488" s="237" t="s">
        <v>560</v>
      </c>
      <c r="D488" s="254">
        <v>570000</v>
      </c>
    </row>
    <row r="489" spans="1:4" ht="15">
      <c r="A489" s="251" t="s">
        <v>445</v>
      </c>
      <c r="B489" s="253">
        <v>6068</v>
      </c>
      <c r="C489" s="237" t="s">
        <v>569</v>
      </c>
      <c r="D489" s="254">
        <v>34000</v>
      </c>
    </row>
    <row r="490" spans="1:4" ht="15">
      <c r="A490" s="251" t="s">
        <v>445</v>
      </c>
      <c r="B490" s="253">
        <v>6069</v>
      </c>
      <c r="C490" s="237" t="s">
        <v>569</v>
      </c>
      <c r="D490" s="254">
        <v>6000</v>
      </c>
    </row>
    <row r="491" spans="1:4" s="235" customFormat="1" ht="14.25">
      <c r="A491" s="251">
        <v>75058</v>
      </c>
      <c r="B491" s="251" t="s">
        <v>445</v>
      </c>
      <c r="C491" s="236" t="s">
        <v>158</v>
      </c>
      <c r="D491" s="252">
        <f>SUM(D492:D503)</f>
        <v>450000</v>
      </c>
    </row>
    <row r="492" spans="1:4" ht="15">
      <c r="A492" s="251" t="s">
        <v>445</v>
      </c>
      <c r="B492" s="253">
        <v>4170</v>
      </c>
      <c r="C492" s="237" t="s">
        <v>535</v>
      </c>
      <c r="D492" s="254">
        <v>3000</v>
      </c>
    </row>
    <row r="493" spans="1:4" ht="15">
      <c r="A493" s="251" t="s">
        <v>445</v>
      </c>
      <c r="B493" s="253">
        <v>4210</v>
      </c>
      <c r="C493" s="237" t="s">
        <v>537</v>
      </c>
      <c r="D493" s="254">
        <v>12000</v>
      </c>
    </row>
    <row r="494" spans="1:4" ht="15">
      <c r="A494" s="251" t="s">
        <v>445</v>
      </c>
      <c r="B494" s="253">
        <v>4220</v>
      </c>
      <c r="C494" s="237" t="s">
        <v>538</v>
      </c>
      <c r="D494" s="254">
        <v>3300</v>
      </c>
    </row>
    <row r="495" spans="1:4" ht="15">
      <c r="A495" s="251" t="s">
        <v>445</v>
      </c>
      <c r="B495" s="253">
        <v>4260</v>
      </c>
      <c r="C495" s="237" t="s">
        <v>539</v>
      </c>
      <c r="D495" s="254">
        <v>14100</v>
      </c>
    </row>
    <row r="496" spans="1:4" ht="15">
      <c r="A496" s="251" t="s">
        <v>445</v>
      </c>
      <c r="B496" s="253">
        <v>4300</v>
      </c>
      <c r="C496" s="237" t="s">
        <v>541</v>
      </c>
      <c r="D496" s="254">
        <v>24000</v>
      </c>
    </row>
    <row r="497" spans="1:4" ht="15">
      <c r="A497" s="251" t="s">
        <v>445</v>
      </c>
      <c r="B497" s="253">
        <v>4360</v>
      </c>
      <c r="C497" s="237" t="s">
        <v>542</v>
      </c>
      <c r="D497" s="254">
        <v>17500</v>
      </c>
    </row>
    <row r="498" spans="1:4" ht="15">
      <c r="A498" s="251" t="s">
        <v>445</v>
      </c>
      <c r="B498" s="253">
        <v>4380</v>
      </c>
      <c r="C498" s="237" t="s">
        <v>543</v>
      </c>
      <c r="D498" s="254">
        <v>800</v>
      </c>
    </row>
    <row r="499" spans="1:4" ht="15">
      <c r="A499" s="251" t="s">
        <v>445</v>
      </c>
      <c r="B499" s="253">
        <v>4400</v>
      </c>
      <c r="C499" s="237" t="s">
        <v>544</v>
      </c>
      <c r="D499" s="254">
        <v>153300</v>
      </c>
    </row>
    <row r="500" spans="1:4" ht="15">
      <c r="A500" s="251" t="s">
        <v>445</v>
      </c>
      <c r="B500" s="253">
        <v>4420</v>
      </c>
      <c r="C500" s="237" t="s">
        <v>546</v>
      </c>
      <c r="D500" s="254">
        <v>5000</v>
      </c>
    </row>
    <row r="501" spans="1:4" ht="15">
      <c r="A501" s="251" t="s">
        <v>445</v>
      </c>
      <c r="B501" s="253">
        <v>4430</v>
      </c>
      <c r="C501" s="237" t="s">
        <v>547</v>
      </c>
      <c r="D501" s="254">
        <v>214000</v>
      </c>
    </row>
    <row r="502" spans="1:4" ht="15">
      <c r="A502" s="251" t="s">
        <v>445</v>
      </c>
      <c r="B502" s="253">
        <v>4480</v>
      </c>
      <c r="C502" s="237" t="s">
        <v>565</v>
      </c>
      <c r="D502" s="254">
        <v>2500</v>
      </c>
    </row>
    <row r="503" spans="1:4" ht="15">
      <c r="A503" s="251" t="s">
        <v>445</v>
      </c>
      <c r="B503" s="253">
        <v>4530</v>
      </c>
      <c r="C503" s="237" t="s">
        <v>553</v>
      </c>
      <c r="D503" s="254">
        <v>500</v>
      </c>
    </row>
    <row r="504" spans="1:4" s="235" customFormat="1" ht="14.25">
      <c r="A504" s="251">
        <v>75075</v>
      </c>
      <c r="B504" s="251" t="s">
        <v>445</v>
      </c>
      <c r="C504" s="236" t="s">
        <v>94</v>
      </c>
      <c r="D504" s="252">
        <f>SUM(D505:D546)</f>
        <v>27593922</v>
      </c>
    </row>
    <row r="505" spans="1:4" ht="60">
      <c r="A505" s="251" t="s">
        <v>445</v>
      </c>
      <c r="B505" s="253">
        <v>2007</v>
      </c>
      <c r="C505" s="237" t="s">
        <v>529</v>
      </c>
      <c r="D505" s="254">
        <v>4728306</v>
      </c>
    </row>
    <row r="506" spans="1:4" ht="60">
      <c r="A506" s="251" t="s">
        <v>445</v>
      </c>
      <c r="B506" s="253">
        <v>2057</v>
      </c>
      <c r="C506" s="237" t="s">
        <v>511</v>
      </c>
      <c r="D506" s="254">
        <v>86500</v>
      </c>
    </row>
    <row r="507" spans="1:4" ht="15">
      <c r="A507" s="251" t="s">
        <v>445</v>
      </c>
      <c r="B507" s="253">
        <v>4017</v>
      </c>
      <c r="C507" s="237" t="s">
        <v>531</v>
      </c>
      <c r="D507" s="254">
        <v>571873</v>
      </c>
    </row>
    <row r="508" spans="1:4" ht="15">
      <c r="A508" s="251" t="s">
        <v>445</v>
      </c>
      <c r="B508" s="253">
        <v>4019</v>
      </c>
      <c r="C508" s="237" t="s">
        <v>531</v>
      </c>
      <c r="D508" s="254">
        <v>100939</v>
      </c>
    </row>
    <row r="509" spans="1:4" ht="15">
      <c r="A509" s="251" t="s">
        <v>445</v>
      </c>
      <c r="B509" s="253">
        <v>4047</v>
      </c>
      <c r="C509" s="237" t="s">
        <v>532</v>
      </c>
      <c r="D509" s="254">
        <v>49260</v>
      </c>
    </row>
    <row r="510" spans="1:4" ht="15">
      <c r="A510" s="251" t="s">
        <v>445</v>
      </c>
      <c r="B510" s="253">
        <v>4049</v>
      </c>
      <c r="C510" s="237" t="s">
        <v>532</v>
      </c>
      <c r="D510" s="254">
        <v>8695</v>
      </c>
    </row>
    <row r="511" spans="1:4" ht="15">
      <c r="A511" s="251" t="s">
        <v>445</v>
      </c>
      <c r="B511" s="253">
        <v>4117</v>
      </c>
      <c r="C511" s="237" t="s">
        <v>533</v>
      </c>
      <c r="D511" s="254">
        <v>98713</v>
      </c>
    </row>
    <row r="512" spans="1:4" ht="15">
      <c r="A512" s="251" t="s">
        <v>445</v>
      </c>
      <c r="B512" s="253">
        <v>4119</v>
      </c>
      <c r="C512" s="237" t="s">
        <v>533</v>
      </c>
      <c r="D512" s="254">
        <v>17362</v>
      </c>
    </row>
    <row r="513" spans="1:4" ht="30">
      <c r="A513" s="251" t="s">
        <v>445</v>
      </c>
      <c r="B513" s="253">
        <v>4127</v>
      </c>
      <c r="C513" s="237" t="s">
        <v>534</v>
      </c>
      <c r="D513" s="254">
        <v>14102</v>
      </c>
    </row>
    <row r="514" spans="1:4" ht="30">
      <c r="A514" s="251" t="s">
        <v>445</v>
      </c>
      <c r="B514" s="253">
        <v>4129</v>
      </c>
      <c r="C514" s="237" t="s">
        <v>534</v>
      </c>
      <c r="D514" s="254">
        <v>2489</v>
      </c>
    </row>
    <row r="515" spans="1:4" ht="15">
      <c r="A515" s="251" t="s">
        <v>445</v>
      </c>
      <c r="B515" s="253">
        <v>4170</v>
      </c>
      <c r="C515" s="237" t="s">
        <v>535</v>
      </c>
      <c r="D515" s="254">
        <v>100000</v>
      </c>
    </row>
    <row r="516" spans="1:4" ht="15">
      <c r="A516" s="251" t="s">
        <v>445</v>
      </c>
      <c r="B516" s="253">
        <v>4177</v>
      </c>
      <c r="C516" s="237" t="s">
        <v>535</v>
      </c>
      <c r="D516" s="254">
        <v>8075</v>
      </c>
    </row>
    <row r="517" spans="1:4" ht="15">
      <c r="A517" s="251" t="s">
        <v>445</v>
      </c>
      <c r="B517" s="253">
        <v>4179</v>
      </c>
      <c r="C517" s="237" t="s">
        <v>535</v>
      </c>
      <c r="D517" s="254">
        <v>1425</v>
      </c>
    </row>
    <row r="518" spans="1:4" ht="15">
      <c r="A518" s="251" t="s">
        <v>445</v>
      </c>
      <c r="B518" s="253">
        <v>4190</v>
      </c>
      <c r="C518" s="237" t="s">
        <v>536</v>
      </c>
      <c r="D518" s="254">
        <v>50000</v>
      </c>
    </row>
    <row r="519" spans="1:4" ht="15">
      <c r="A519" s="251" t="s">
        <v>445</v>
      </c>
      <c r="B519" s="253">
        <v>4210</v>
      </c>
      <c r="C519" s="237" t="s">
        <v>537</v>
      </c>
      <c r="D519" s="254">
        <v>300000</v>
      </c>
    </row>
    <row r="520" spans="1:4" ht="15">
      <c r="A520" s="251" t="s">
        <v>445</v>
      </c>
      <c r="B520" s="253">
        <v>4217</v>
      </c>
      <c r="C520" s="237" t="s">
        <v>537</v>
      </c>
      <c r="D520" s="254">
        <v>23145</v>
      </c>
    </row>
    <row r="521" spans="1:4" ht="15">
      <c r="A521" s="251" t="s">
        <v>445</v>
      </c>
      <c r="B521" s="253">
        <v>4219</v>
      </c>
      <c r="C521" s="237" t="s">
        <v>537</v>
      </c>
      <c r="D521" s="254">
        <v>2735</v>
      </c>
    </row>
    <row r="522" spans="1:4" ht="15">
      <c r="A522" s="251" t="s">
        <v>445</v>
      </c>
      <c r="B522" s="253">
        <v>4220</v>
      </c>
      <c r="C522" s="237" t="s">
        <v>538</v>
      </c>
      <c r="D522" s="254">
        <v>40000</v>
      </c>
    </row>
    <row r="523" spans="1:4" ht="15">
      <c r="A523" s="251" t="s">
        <v>445</v>
      </c>
      <c r="B523" s="253">
        <v>4227</v>
      </c>
      <c r="C523" s="237" t="s">
        <v>538</v>
      </c>
      <c r="D523" s="254">
        <v>4675</v>
      </c>
    </row>
    <row r="524" spans="1:4" ht="15">
      <c r="A524" s="251" t="s">
        <v>445</v>
      </c>
      <c r="B524" s="253">
        <v>4229</v>
      </c>
      <c r="C524" s="237" t="s">
        <v>538</v>
      </c>
      <c r="D524" s="254">
        <v>722</v>
      </c>
    </row>
    <row r="525" spans="1:4" ht="15">
      <c r="A525" s="251" t="s">
        <v>445</v>
      </c>
      <c r="B525" s="253">
        <v>4267</v>
      </c>
      <c r="C525" s="237" t="s">
        <v>539</v>
      </c>
      <c r="D525" s="254">
        <v>1921</v>
      </c>
    </row>
    <row r="526" spans="1:4" ht="15">
      <c r="A526" s="251" t="s">
        <v>445</v>
      </c>
      <c r="B526" s="253">
        <v>4269</v>
      </c>
      <c r="C526" s="237" t="s">
        <v>539</v>
      </c>
      <c r="D526" s="254">
        <v>339</v>
      </c>
    </row>
    <row r="527" spans="1:4" ht="15">
      <c r="A527" s="251" t="s">
        <v>445</v>
      </c>
      <c r="B527" s="253">
        <v>4300</v>
      </c>
      <c r="C527" s="237" t="s">
        <v>541</v>
      </c>
      <c r="D527" s="254">
        <v>9768000</v>
      </c>
    </row>
    <row r="528" spans="1:4" ht="15">
      <c r="A528" s="251" t="s">
        <v>445</v>
      </c>
      <c r="B528" s="253">
        <v>4307</v>
      </c>
      <c r="C528" s="237" t="s">
        <v>541</v>
      </c>
      <c r="D528" s="254">
        <v>9149710</v>
      </c>
    </row>
    <row r="529" spans="1:4" ht="15">
      <c r="A529" s="251" t="s">
        <v>445</v>
      </c>
      <c r="B529" s="253">
        <v>4309</v>
      </c>
      <c r="C529" s="237" t="s">
        <v>541</v>
      </c>
      <c r="D529" s="254">
        <v>2188429</v>
      </c>
    </row>
    <row r="530" spans="1:4" ht="15">
      <c r="A530" s="251" t="s">
        <v>445</v>
      </c>
      <c r="B530" s="253">
        <v>4367</v>
      </c>
      <c r="C530" s="237" t="s">
        <v>542</v>
      </c>
      <c r="D530" s="254">
        <v>1921</v>
      </c>
    </row>
    <row r="531" spans="1:4" ht="15">
      <c r="A531" s="251" t="s">
        <v>445</v>
      </c>
      <c r="B531" s="253">
        <v>4369</v>
      </c>
      <c r="C531" s="237" t="s">
        <v>542</v>
      </c>
      <c r="D531" s="254">
        <v>339</v>
      </c>
    </row>
    <row r="532" spans="1:4" ht="15">
      <c r="A532" s="251" t="s">
        <v>445</v>
      </c>
      <c r="B532" s="253">
        <v>4380</v>
      </c>
      <c r="C532" s="237" t="s">
        <v>543</v>
      </c>
      <c r="D532" s="254">
        <v>2000</v>
      </c>
    </row>
    <row r="533" spans="1:4" ht="15">
      <c r="A533" s="251" t="s">
        <v>445</v>
      </c>
      <c r="B533" s="253">
        <v>4387</v>
      </c>
      <c r="C533" s="237" t="s">
        <v>543</v>
      </c>
      <c r="D533" s="254">
        <v>1700</v>
      </c>
    </row>
    <row r="534" spans="1:4" ht="15">
      <c r="A534" s="251" t="s">
        <v>445</v>
      </c>
      <c r="B534" s="253">
        <v>4389</v>
      </c>
      <c r="C534" s="237" t="s">
        <v>543</v>
      </c>
      <c r="D534" s="254">
        <v>300</v>
      </c>
    </row>
    <row r="535" spans="1:4" ht="15">
      <c r="A535" s="251" t="s">
        <v>445</v>
      </c>
      <c r="B535" s="253">
        <v>4417</v>
      </c>
      <c r="C535" s="237" t="s">
        <v>545</v>
      </c>
      <c r="D535" s="254">
        <v>3400</v>
      </c>
    </row>
    <row r="536" spans="1:4" ht="15">
      <c r="A536" s="255" t="s">
        <v>445</v>
      </c>
      <c r="B536" s="256">
        <v>4419</v>
      </c>
      <c r="C536" s="239" t="s">
        <v>545</v>
      </c>
      <c r="D536" s="257">
        <v>600</v>
      </c>
    </row>
    <row r="537" spans="1:4" ht="15">
      <c r="A537" s="258" t="s">
        <v>445</v>
      </c>
      <c r="B537" s="259">
        <v>4427</v>
      </c>
      <c r="C537" s="240" t="s">
        <v>546</v>
      </c>
      <c r="D537" s="260">
        <v>91724</v>
      </c>
    </row>
    <row r="538" spans="1:4" ht="15">
      <c r="A538" s="251" t="s">
        <v>445</v>
      </c>
      <c r="B538" s="253">
        <v>4429</v>
      </c>
      <c r="C538" s="237" t="s">
        <v>546</v>
      </c>
      <c r="D538" s="254">
        <v>45834</v>
      </c>
    </row>
    <row r="539" spans="1:4" ht="15">
      <c r="A539" s="251" t="s">
        <v>445</v>
      </c>
      <c r="B539" s="253">
        <v>4437</v>
      </c>
      <c r="C539" s="237" t="s">
        <v>547</v>
      </c>
      <c r="D539" s="254">
        <v>1333</v>
      </c>
    </row>
    <row r="540" spans="1:4" ht="15">
      <c r="A540" s="251" t="s">
        <v>445</v>
      </c>
      <c r="B540" s="253">
        <v>4439</v>
      </c>
      <c r="C540" s="237" t="s">
        <v>547</v>
      </c>
      <c r="D540" s="254">
        <v>235</v>
      </c>
    </row>
    <row r="541" spans="1:4" ht="15">
      <c r="A541" s="251" t="s">
        <v>445</v>
      </c>
      <c r="B541" s="253">
        <v>4530</v>
      </c>
      <c r="C541" s="237" t="s">
        <v>553</v>
      </c>
      <c r="D541" s="254">
        <v>20000</v>
      </c>
    </row>
    <row r="542" spans="1:4" ht="15">
      <c r="A542" s="251" t="s">
        <v>445</v>
      </c>
      <c r="B542" s="253">
        <v>4537</v>
      </c>
      <c r="C542" s="237" t="s">
        <v>553</v>
      </c>
      <c r="D542" s="254">
        <v>67678</v>
      </c>
    </row>
    <row r="543" spans="1:4" ht="15">
      <c r="A543" s="251" t="s">
        <v>445</v>
      </c>
      <c r="B543" s="253">
        <v>4539</v>
      </c>
      <c r="C543" s="237" t="s">
        <v>553</v>
      </c>
      <c r="D543" s="254">
        <v>11943</v>
      </c>
    </row>
    <row r="544" spans="1:4" ht="15">
      <c r="A544" s="251" t="s">
        <v>445</v>
      </c>
      <c r="B544" s="253">
        <v>4700</v>
      </c>
      <c r="C544" s="237" t="s">
        <v>548</v>
      </c>
      <c r="D544" s="254">
        <v>20000</v>
      </c>
    </row>
    <row r="545" spans="1:4" ht="15">
      <c r="A545" s="251" t="s">
        <v>445</v>
      </c>
      <c r="B545" s="253">
        <v>4707</v>
      </c>
      <c r="C545" s="237" t="s">
        <v>548</v>
      </c>
      <c r="D545" s="254">
        <v>6375</v>
      </c>
    </row>
    <row r="546" spans="1:4" ht="15">
      <c r="A546" s="251" t="s">
        <v>445</v>
      </c>
      <c r="B546" s="253">
        <v>4709</v>
      </c>
      <c r="C546" s="237" t="s">
        <v>548</v>
      </c>
      <c r="D546" s="254">
        <v>1125</v>
      </c>
    </row>
    <row r="547" spans="1:4" s="235" customFormat="1" ht="14.25">
      <c r="A547" s="251">
        <v>75084</v>
      </c>
      <c r="B547" s="251" t="s">
        <v>445</v>
      </c>
      <c r="C547" s="236" t="s">
        <v>95</v>
      </c>
      <c r="D547" s="252">
        <f>SUM(D548:D555)</f>
        <v>202000</v>
      </c>
    </row>
    <row r="548" spans="1:4" ht="15">
      <c r="A548" s="251" t="s">
        <v>445</v>
      </c>
      <c r="B548" s="253">
        <v>3030</v>
      </c>
      <c r="C548" s="237" t="s">
        <v>556</v>
      </c>
      <c r="D548" s="254">
        <v>30000</v>
      </c>
    </row>
    <row r="549" spans="1:4" ht="15">
      <c r="A549" s="251" t="s">
        <v>445</v>
      </c>
      <c r="B549" s="253">
        <v>4010</v>
      </c>
      <c r="C549" s="237" t="s">
        <v>531</v>
      </c>
      <c r="D549" s="254">
        <v>58509</v>
      </c>
    </row>
    <row r="550" spans="1:4" ht="15">
      <c r="A550" s="251" t="s">
        <v>445</v>
      </c>
      <c r="B550" s="253">
        <v>4110</v>
      </c>
      <c r="C550" s="237" t="s">
        <v>533</v>
      </c>
      <c r="D550" s="254">
        <v>10058</v>
      </c>
    </row>
    <row r="551" spans="1:4" ht="30">
      <c r="A551" s="251" t="s">
        <v>445</v>
      </c>
      <c r="B551" s="253">
        <v>4120</v>
      </c>
      <c r="C551" s="237" t="s">
        <v>534</v>
      </c>
      <c r="D551" s="254">
        <v>1433</v>
      </c>
    </row>
    <row r="552" spans="1:4" ht="15">
      <c r="A552" s="251" t="s">
        <v>445</v>
      </c>
      <c r="B552" s="253">
        <v>4210</v>
      </c>
      <c r="C552" s="237" t="s">
        <v>537</v>
      </c>
      <c r="D552" s="254">
        <v>8000</v>
      </c>
    </row>
    <row r="553" spans="1:4" ht="15">
      <c r="A553" s="251" t="s">
        <v>445</v>
      </c>
      <c r="B553" s="253">
        <v>4220</v>
      </c>
      <c r="C553" s="237" t="s">
        <v>538</v>
      </c>
      <c r="D553" s="254">
        <v>7000</v>
      </c>
    </row>
    <row r="554" spans="1:4" ht="15">
      <c r="A554" s="251" t="s">
        <v>445</v>
      </c>
      <c r="B554" s="253">
        <v>4300</v>
      </c>
      <c r="C554" s="237" t="s">
        <v>541</v>
      </c>
      <c r="D554" s="254">
        <v>86500</v>
      </c>
    </row>
    <row r="555" spans="1:4" ht="15">
      <c r="A555" s="251" t="s">
        <v>445</v>
      </c>
      <c r="B555" s="253">
        <v>4410</v>
      </c>
      <c r="C555" s="237" t="s">
        <v>545</v>
      </c>
      <c r="D555" s="254">
        <v>500</v>
      </c>
    </row>
    <row r="556" spans="1:4" s="235" customFormat="1" ht="14.25">
      <c r="A556" s="251">
        <v>75095</v>
      </c>
      <c r="B556" s="251" t="s">
        <v>445</v>
      </c>
      <c r="C556" s="236" t="s">
        <v>73</v>
      </c>
      <c r="D556" s="252">
        <f>SUM(D557:D603)</f>
        <v>3899820</v>
      </c>
    </row>
    <row r="557" spans="1:4" ht="45">
      <c r="A557" s="251" t="s">
        <v>445</v>
      </c>
      <c r="B557" s="253">
        <v>2360</v>
      </c>
      <c r="C557" s="237" t="s">
        <v>572</v>
      </c>
      <c r="D557" s="254">
        <v>135000</v>
      </c>
    </row>
    <row r="558" spans="1:4" ht="15">
      <c r="A558" s="251" t="s">
        <v>445</v>
      </c>
      <c r="B558" s="253">
        <v>3028</v>
      </c>
      <c r="C558" s="237" t="s">
        <v>561</v>
      </c>
      <c r="D558" s="254">
        <v>1020</v>
      </c>
    </row>
    <row r="559" spans="1:4" ht="15">
      <c r="A559" s="251" t="s">
        <v>445</v>
      </c>
      <c r="B559" s="253">
        <v>3029</v>
      </c>
      <c r="C559" s="237" t="s">
        <v>561</v>
      </c>
      <c r="D559" s="254">
        <v>180</v>
      </c>
    </row>
    <row r="560" spans="1:4" ht="15">
      <c r="A560" s="251" t="s">
        <v>445</v>
      </c>
      <c r="B560" s="253">
        <v>3030</v>
      </c>
      <c r="C560" s="237" t="s">
        <v>556</v>
      </c>
      <c r="D560" s="254">
        <v>7000</v>
      </c>
    </row>
    <row r="561" spans="1:4" ht="15">
      <c r="A561" s="251" t="s">
        <v>445</v>
      </c>
      <c r="B561" s="253">
        <v>3040</v>
      </c>
      <c r="C561" s="237" t="s">
        <v>577</v>
      </c>
      <c r="D561" s="254">
        <v>150000</v>
      </c>
    </row>
    <row r="562" spans="1:4" ht="15">
      <c r="A562" s="251" t="s">
        <v>445</v>
      </c>
      <c r="B562" s="253">
        <v>4017</v>
      </c>
      <c r="C562" s="237" t="s">
        <v>531</v>
      </c>
      <c r="D562" s="254">
        <v>83119</v>
      </c>
    </row>
    <row r="563" spans="1:4" ht="15">
      <c r="A563" s="251" t="s">
        <v>445</v>
      </c>
      <c r="B563" s="253">
        <v>4018</v>
      </c>
      <c r="C563" s="237" t="s">
        <v>531</v>
      </c>
      <c r="D563" s="254">
        <v>830569</v>
      </c>
    </row>
    <row r="564" spans="1:4" ht="15">
      <c r="A564" s="251" t="s">
        <v>445</v>
      </c>
      <c r="B564" s="253">
        <v>4019</v>
      </c>
      <c r="C564" s="237" t="s">
        <v>531</v>
      </c>
      <c r="D564" s="254">
        <v>157126</v>
      </c>
    </row>
    <row r="565" spans="1:4" ht="15">
      <c r="A565" s="251" t="s">
        <v>445</v>
      </c>
      <c r="B565" s="253">
        <v>4048</v>
      </c>
      <c r="C565" s="237" t="s">
        <v>532</v>
      </c>
      <c r="D565" s="254">
        <v>82450</v>
      </c>
    </row>
    <row r="566" spans="1:4" ht="15">
      <c r="A566" s="251" t="s">
        <v>445</v>
      </c>
      <c r="B566" s="253">
        <v>4049</v>
      </c>
      <c r="C566" s="237" t="s">
        <v>532</v>
      </c>
      <c r="D566" s="254">
        <v>14550</v>
      </c>
    </row>
    <row r="567" spans="1:4" ht="15">
      <c r="A567" s="251" t="s">
        <v>445</v>
      </c>
      <c r="B567" s="253">
        <v>4117</v>
      </c>
      <c r="C567" s="237" t="s">
        <v>533</v>
      </c>
      <c r="D567" s="254">
        <v>42199</v>
      </c>
    </row>
    <row r="568" spans="1:4" ht="15">
      <c r="A568" s="251" t="s">
        <v>445</v>
      </c>
      <c r="B568" s="253">
        <v>4118</v>
      </c>
      <c r="C568" s="237" t="s">
        <v>533</v>
      </c>
      <c r="D568" s="254">
        <v>154134</v>
      </c>
    </row>
    <row r="569" spans="1:4" ht="15">
      <c r="A569" s="251" t="s">
        <v>445</v>
      </c>
      <c r="B569" s="253">
        <v>4119</v>
      </c>
      <c r="C569" s="237" t="s">
        <v>533</v>
      </c>
      <c r="D569" s="254">
        <v>30910</v>
      </c>
    </row>
    <row r="570" spans="1:4" ht="30">
      <c r="A570" s="251" t="s">
        <v>445</v>
      </c>
      <c r="B570" s="253">
        <v>4127</v>
      </c>
      <c r="C570" s="237" t="s">
        <v>534</v>
      </c>
      <c r="D570" s="254">
        <v>2557</v>
      </c>
    </row>
    <row r="571" spans="1:4" ht="30">
      <c r="A571" s="251" t="s">
        <v>445</v>
      </c>
      <c r="B571" s="253">
        <v>4128</v>
      </c>
      <c r="C571" s="237" t="s">
        <v>534</v>
      </c>
      <c r="D571" s="254">
        <v>21969</v>
      </c>
    </row>
    <row r="572" spans="1:4" ht="30">
      <c r="A572" s="251" t="s">
        <v>445</v>
      </c>
      <c r="B572" s="253">
        <v>4129</v>
      </c>
      <c r="C572" s="237" t="s">
        <v>534</v>
      </c>
      <c r="D572" s="254">
        <v>4171</v>
      </c>
    </row>
    <row r="573" spans="1:4" ht="15">
      <c r="A573" s="251" t="s">
        <v>445</v>
      </c>
      <c r="B573" s="253">
        <v>4178</v>
      </c>
      <c r="C573" s="237" t="s">
        <v>535</v>
      </c>
      <c r="D573" s="254">
        <v>55080</v>
      </c>
    </row>
    <row r="574" spans="1:4" ht="15">
      <c r="A574" s="251" t="s">
        <v>445</v>
      </c>
      <c r="B574" s="253">
        <v>4179</v>
      </c>
      <c r="C574" s="237" t="s">
        <v>535</v>
      </c>
      <c r="D574" s="254">
        <v>16920</v>
      </c>
    </row>
    <row r="575" spans="1:4" ht="15">
      <c r="A575" s="251" t="s">
        <v>445</v>
      </c>
      <c r="B575" s="253">
        <v>4190</v>
      </c>
      <c r="C575" s="237" t="s">
        <v>536</v>
      </c>
      <c r="D575" s="254">
        <v>68000</v>
      </c>
    </row>
    <row r="576" spans="1:4" ht="15">
      <c r="A576" s="251" t="s">
        <v>445</v>
      </c>
      <c r="B576" s="253">
        <v>4210</v>
      </c>
      <c r="C576" s="237" t="s">
        <v>537</v>
      </c>
      <c r="D576" s="254">
        <v>184000</v>
      </c>
    </row>
    <row r="577" spans="1:4" ht="15">
      <c r="A577" s="251" t="s">
        <v>445</v>
      </c>
      <c r="B577" s="253">
        <v>4217</v>
      </c>
      <c r="C577" s="237" t="s">
        <v>537</v>
      </c>
      <c r="D577" s="254">
        <v>2341</v>
      </c>
    </row>
    <row r="578" spans="1:4" ht="15">
      <c r="A578" s="251" t="s">
        <v>445</v>
      </c>
      <c r="B578" s="253">
        <v>4218</v>
      </c>
      <c r="C578" s="237" t="s">
        <v>537</v>
      </c>
      <c r="D578" s="254">
        <v>6205</v>
      </c>
    </row>
    <row r="579" spans="1:4" ht="15">
      <c r="A579" s="251" t="s">
        <v>445</v>
      </c>
      <c r="B579" s="253">
        <v>4219</v>
      </c>
      <c r="C579" s="237" t="s">
        <v>537</v>
      </c>
      <c r="D579" s="254">
        <v>1254</v>
      </c>
    </row>
    <row r="580" spans="1:4" ht="15">
      <c r="A580" s="251" t="s">
        <v>445</v>
      </c>
      <c r="B580" s="253">
        <v>4220</v>
      </c>
      <c r="C580" s="237" t="s">
        <v>538</v>
      </c>
      <c r="D580" s="254">
        <v>74000</v>
      </c>
    </row>
    <row r="581" spans="1:4" ht="15">
      <c r="A581" s="251" t="s">
        <v>445</v>
      </c>
      <c r="B581" s="253">
        <v>4228</v>
      </c>
      <c r="C581" s="237" t="s">
        <v>538</v>
      </c>
      <c r="D581" s="254">
        <v>3145</v>
      </c>
    </row>
    <row r="582" spans="1:4" ht="15">
      <c r="A582" s="251" t="s">
        <v>445</v>
      </c>
      <c r="B582" s="253">
        <v>4229</v>
      </c>
      <c r="C582" s="237" t="s">
        <v>538</v>
      </c>
      <c r="D582" s="254">
        <v>555</v>
      </c>
    </row>
    <row r="583" spans="1:4" ht="15">
      <c r="A583" s="251" t="s">
        <v>445</v>
      </c>
      <c r="B583" s="253">
        <v>4268</v>
      </c>
      <c r="C583" s="237" t="s">
        <v>539</v>
      </c>
      <c r="D583" s="254">
        <v>25500</v>
      </c>
    </row>
    <row r="584" spans="1:4" ht="15">
      <c r="A584" s="251" t="s">
        <v>445</v>
      </c>
      <c r="B584" s="253">
        <v>4269</v>
      </c>
      <c r="C584" s="237" t="s">
        <v>539</v>
      </c>
      <c r="D584" s="254">
        <v>4500</v>
      </c>
    </row>
    <row r="585" spans="1:4" ht="15">
      <c r="A585" s="251" t="s">
        <v>445</v>
      </c>
      <c r="B585" s="253">
        <v>4288</v>
      </c>
      <c r="C585" s="237" t="s">
        <v>563</v>
      </c>
      <c r="D585" s="254">
        <v>425</v>
      </c>
    </row>
    <row r="586" spans="1:4" ht="15">
      <c r="A586" s="251" t="s">
        <v>445</v>
      </c>
      <c r="B586" s="253">
        <v>4289</v>
      </c>
      <c r="C586" s="237" t="s">
        <v>563</v>
      </c>
      <c r="D586" s="254">
        <v>75</v>
      </c>
    </row>
    <row r="587" spans="1:4" ht="15">
      <c r="A587" s="251" t="s">
        <v>445</v>
      </c>
      <c r="B587" s="253">
        <v>4300</v>
      </c>
      <c r="C587" s="237" t="s">
        <v>541</v>
      </c>
      <c r="D587" s="254">
        <v>1243406</v>
      </c>
    </row>
    <row r="588" spans="1:4" ht="15">
      <c r="A588" s="251" t="s">
        <v>445</v>
      </c>
      <c r="B588" s="253">
        <v>4307</v>
      </c>
      <c r="C588" s="237" t="s">
        <v>541</v>
      </c>
      <c r="D588" s="254">
        <v>14047</v>
      </c>
    </row>
    <row r="589" spans="1:4" ht="15">
      <c r="A589" s="251" t="s">
        <v>445</v>
      </c>
      <c r="B589" s="253">
        <v>4308</v>
      </c>
      <c r="C589" s="237" t="s">
        <v>541</v>
      </c>
      <c r="D589" s="254">
        <v>213435</v>
      </c>
    </row>
    <row r="590" spans="1:4" ht="15">
      <c r="A590" s="251" t="s">
        <v>445</v>
      </c>
      <c r="B590" s="253">
        <v>4309</v>
      </c>
      <c r="C590" s="237" t="s">
        <v>541</v>
      </c>
      <c r="D590" s="254">
        <v>60418</v>
      </c>
    </row>
    <row r="591" spans="1:4" ht="15">
      <c r="A591" s="251" t="s">
        <v>445</v>
      </c>
      <c r="B591" s="253">
        <v>4368</v>
      </c>
      <c r="C591" s="237" t="s">
        <v>542</v>
      </c>
      <c r="D591" s="254">
        <v>7650</v>
      </c>
    </row>
    <row r="592" spans="1:4" ht="15">
      <c r="A592" s="251" t="s">
        <v>445</v>
      </c>
      <c r="B592" s="253">
        <v>4369</v>
      </c>
      <c r="C592" s="237" t="s">
        <v>542</v>
      </c>
      <c r="D592" s="254">
        <v>1350</v>
      </c>
    </row>
    <row r="593" spans="1:4" ht="15">
      <c r="A593" s="255" t="s">
        <v>445</v>
      </c>
      <c r="B593" s="256">
        <v>4380</v>
      </c>
      <c r="C593" s="239" t="s">
        <v>543</v>
      </c>
      <c r="D593" s="257">
        <v>10400</v>
      </c>
    </row>
    <row r="594" spans="1:4" ht="15">
      <c r="A594" s="258" t="s">
        <v>445</v>
      </c>
      <c r="B594" s="259">
        <v>4388</v>
      </c>
      <c r="C594" s="240" t="s">
        <v>543</v>
      </c>
      <c r="D594" s="260">
        <v>850</v>
      </c>
    </row>
    <row r="595" spans="1:4" ht="15">
      <c r="A595" s="251" t="s">
        <v>445</v>
      </c>
      <c r="B595" s="253">
        <v>4389</v>
      </c>
      <c r="C595" s="237" t="s">
        <v>543</v>
      </c>
      <c r="D595" s="254">
        <v>150</v>
      </c>
    </row>
    <row r="596" spans="1:4" ht="15">
      <c r="A596" s="251" t="s">
        <v>445</v>
      </c>
      <c r="B596" s="253">
        <v>4408</v>
      </c>
      <c r="C596" s="237" t="s">
        <v>544</v>
      </c>
      <c r="D596" s="254">
        <v>42500</v>
      </c>
    </row>
    <row r="597" spans="1:4" ht="15">
      <c r="A597" s="251" t="s">
        <v>445</v>
      </c>
      <c r="B597" s="253">
        <v>4409</v>
      </c>
      <c r="C597" s="237" t="s">
        <v>544</v>
      </c>
      <c r="D597" s="254">
        <v>7500</v>
      </c>
    </row>
    <row r="598" spans="1:4" ht="15">
      <c r="A598" s="251" t="s">
        <v>445</v>
      </c>
      <c r="B598" s="253">
        <v>4417</v>
      </c>
      <c r="C598" s="237" t="s">
        <v>545</v>
      </c>
      <c r="D598" s="254">
        <v>18879</v>
      </c>
    </row>
    <row r="599" spans="1:4" ht="15">
      <c r="A599" s="251" t="s">
        <v>445</v>
      </c>
      <c r="B599" s="253">
        <v>4418</v>
      </c>
      <c r="C599" s="237" t="s">
        <v>545</v>
      </c>
      <c r="D599" s="254">
        <v>14450</v>
      </c>
    </row>
    <row r="600" spans="1:4" ht="15">
      <c r="A600" s="251" t="s">
        <v>445</v>
      </c>
      <c r="B600" s="253">
        <v>4419</v>
      </c>
      <c r="C600" s="237" t="s">
        <v>545</v>
      </c>
      <c r="D600" s="254">
        <v>4831</v>
      </c>
    </row>
    <row r="601" spans="1:4" ht="15">
      <c r="A601" s="251" t="s">
        <v>445</v>
      </c>
      <c r="B601" s="253">
        <v>4430</v>
      </c>
      <c r="C601" s="237" t="s">
        <v>547</v>
      </c>
      <c r="D601" s="254">
        <v>95000</v>
      </c>
    </row>
    <row r="602" spans="1:4" ht="15">
      <c r="A602" s="251" t="s">
        <v>445</v>
      </c>
      <c r="B602" s="253">
        <v>4708</v>
      </c>
      <c r="C602" s="237" t="s">
        <v>548</v>
      </c>
      <c r="D602" s="254">
        <v>5100</v>
      </c>
    </row>
    <row r="603" spans="1:4" ht="15">
      <c r="A603" s="251" t="s">
        <v>445</v>
      </c>
      <c r="B603" s="253">
        <v>4709</v>
      </c>
      <c r="C603" s="237" t="s">
        <v>548</v>
      </c>
      <c r="D603" s="254">
        <v>900</v>
      </c>
    </row>
    <row r="604" spans="1:4" s="235" customFormat="1" ht="14.25">
      <c r="A604" s="261" t="s">
        <v>37</v>
      </c>
      <c r="B604" s="261" t="s">
        <v>445</v>
      </c>
      <c r="C604" s="238" t="s">
        <v>38</v>
      </c>
      <c r="D604" s="262">
        <f>D605</f>
        <v>5000</v>
      </c>
    </row>
    <row r="605" spans="1:4" s="235" customFormat="1" ht="14.25">
      <c r="A605" s="251">
        <v>75212</v>
      </c>
      <c r="B605" s="251" t="s">
        <v>445</v>
      </c>
      <c r="C605" s="236" t="s">
        <v>490</v>
      </c>
      <c r="D605" s="252">
        <f>SUM(D606:D607)</f>
        <v>5000</v>
      </c>
    </row>
    <row r="606" spans="1:4" ht="15">
      <c r="A606" s="251" t="s">
        <v>445</v>
      </c>
      <c r="B606" s="253">
        <v>4210</v>
      </c>
      <c r="C606" s="237" t="s">
        <v>537</v>
      </c>
      <c r="D606" s="254">
        <v>1000</v>
      </c>
    </row>
    <row r="607" spans="1:4" ht="15">
      <c r="A607" s="251" t="s">
        <v>445</v>
      </c>
      <c r="B607" s="253">
        <v>4300</v>
      </c>
      <c r="C607" s="237" t="s">
        <v>541</v>
      </c>
      <c r="D607" s="254">
        <v>4000</v>
      </c>
    </row>
    <row r="608" spans="1:4" s="235" customFormat="1" ht="18.75" customHeight="1">
      <c r="A608" s="261" t="s">
        <v>164</v>
      </c>
      <c r="B608" s="261" t="s">
        <v>445</v>
      </c>
      <c r="C608" s="238" t="s">
        <v>165</v>
      </c>
      <c r="D608" s="262">
        <f>D609</f>
        <v>1185000</v>
      </c>
    </row>
    <row r="609" spans="1:4" s="235" customFormat="1" ht="14.25">
      <c r="A609" s="251">
        <v>75495</v>
      </c>
      <c r="B609" s="251" t="s">
        <v>445</v>
      </c>
      <c r="C609" s="236" t="s">
        <v>73</v>
      </c>
      <c r="D609" s="252">
        <f>SUM(D610:D614)</f>
        <v>1185000</v>
      </c>
    </row>
    <row r="610" spans="1:4" ht="15">
      <c r="A610" s="251" t="s">
        <v>445</v>
      </c>
      <c r="B610" s="253">
        <v>4190</v>
      </c>
      <c r="C610" s="237" t="s">
        <v>536</v>
      </c>
      <c r="D610" s="254">
        <v>4000</v>
      </c>
    </row>
    <row r="611" spans="1:4" ht="15">
      <c r="A611" s="251" t="s">
        <v>445</v>
      </c>
      <c r="B611" s="253">
        <v>4210</v>
      </c>
      <c r="C611" s="237" t="s">
        <v>537</v>
      </c>
      <c r="D611" s="254">
        <v>6000</v>
      </c>
    </row>
    <row r="612" spans="1:4" ht="15">
      <c r="A612" s="251" t="s">
        <v>445</v>
      </c>
      <c r="B612" s="253">
        <v>4300</v>
      </c>
      <c r="C612" s="237" t="s">
        <v>541</v>
      </c>
      <c r="D612" s="254">
        <v>135000</v>
      </c>
    </row>
    <row r="613" spans="1:4" ht="15">
      <c r="A613" s="251" t="s">
        <v>445</v>
      </c>
      <c r="B613" s="253">
        <v>4430</v>
      </c>
      <c r="C613" s="237" t="s">
        <v>547</v>
      </c>
      <c r="D613" s="254">
        <v>40000</v>
      </c>
    </row>
    <row r="614" spans="1:4" ht="30">
      <c r="A614" s="251" t="s">
        <v>445</v>
      </c>
      <c r="B614" s="253">
        <v>6170</v>
      </c>
      <c r="C614" s="237" t="s">
        <v>578</v>
      </c>
      <c r="D614" s="254">
        <v>1000000</v>
      </c>
    </row>
    <row r="615" spans="1:4" ht="15">
      <c r="A615" s="261" t="s">
        <v>167</v>
      </c>
      <c r="B615" s="261" t="s">
        <v>445</v>
      </c>
      <c r="C615" s="238" t="s">
        <v>168</v>
      </c>
      <c r="D615" s="262">
        <f>D616+D618</f>
        <v>42192158</v>
      </c>
    </row>
    <row r="616" spans="1:4" s="235" customFormat="1" ht="42.75">
      <c r="A616" s="251">
        <v>75702</v>
      </c>
      <c r="B616" s="251" t="s">
        <v>445</v>
      </c>
      <c r="C616" s="236" t="s">
        <v>414</v>
      </c>
      <c r="D616" s="252">
        <f>D617</f>
        <v>8682633</v>
      </c>
    </row>
    <row r="617" spans="1:4" ht="30">
      <c r="A617" s="251" t="s">
        <v>445</v>
      </c>
      <c r="B617" s="253">
        <v>8110</v>
      </c>
      <c r="C617" s="237" t="s">
        <v>579</v>
      </c>
      <c r="D617" s="254">
        <v>8682633</v>
      </c>
    </row>
    <row r="618" spans="1:4" s="235" customFormat="1" ht="28.5">
      <c r="A618" s="251">
        <v>75704</v>
      </c>
      <c r="B618" s="251" t="s">
        <v>445</v>
      </c>
      <c r="C618" s="236" t="s">
        <v>171</v>
      </c>
      <c r="D618" s="252">
        <f>D619+D620</f>
        <v>33509525</v>
      </c>
    </row>
    <row r="619" spans="1:4" ht="15">
      <c r="A619" s="251" t="s">
        <v>445</v>
      </c>
      <c r="B619" s="253">
        <v>8020</v>
      </c>
      <c r="C619" s="237" t="s">
        <v>580</v>
      </c>
      <c r="D619" s="254">
        <v>33389525</v>
      </c>
    </row>
    <row r="620" spans="1:4" ht="15">
      <c r="A620" s="251" t="s">
        <v>445</v>
      </c>
      <c r="B620" s="253">
        <v>8030</v>
      </c>
      <c r="C620" s="237" t="s">
        <v>581</v>
      </c>
      <c r="D620" s="254">
        <v>120000</v>
      </c>
    </row>
    <row r="621" spans="1:4" s="235" customFormat="1" ht="14.25">
      <c r="A621" s="261" t="s">
        <v>39</v>
      </c>
      <c r="B621" s="261" t="s">
        <v>445</v>
      </c>
      <c r="C621" s="238" t="s">
        <v>40</v>
      </c>
      <c r="D621" s="262">
        <f>D622</f>
        <v>23900000</v>
      </c>
    </row>
    <row r="622" spans="1:4" s="235" customFormat="1" ht="14.25">
      <c r="A622" s="251">
        <v>75818</v>
      </c>
      <c r="B622" s="251" t="s">
        <v>445</v>
      </c>
      <c r="C622" s="236" t="s">
        <v>173</v>
      </c>
      <c r="D622" s="252">
        <f>D623+D624</f>
        <v>23900000</v>
      </c>
    </row>
    <row r="623" spans="1:4" ht="15">
      <c r="A623" s="251" t="s">
        <v>445</v>
      </c>
      <c r="B623" s="253">
        <v>4810</v>
      </c>
      <c r="C623" s="237" t="s">
        <v>582</v>
      </c>
      <c r="D623" s="254">
        <v>15100000</v>
      </c>
    </row>
    <row r="624" spans="1:4" ht="15">
      <c r="A624" s="251" t="s">
        <v>445</v>
      </c>
      <c r="B624" s="253">
        <v>6800</v>
      </c>
      <c r="C624" s="237" t="s">
        <v>583</v>
      </c>
      <c r="D624" s="254">
        <v>8800000</v>
      </c>
    </row>
    <row r="625" spans="1:4" ht="15">
      <c r="A625" s="261" t="s">
        <v>41</v>
      </c>
      <c r="B625" s="263" t="s">
        <v>445</v>
      </c>
      <c r="C625" s="238" t="s">
        <v>42</v>
      </c>
      <c r="D625" s="262">
        <f>D626+D644+D674+D676+D707+D724+D741+D771+D792+D810+D824+D829</f>
        <v>86045525</v>
      </c>
    </row>
    <row r="626" spans="1:4" s="235" customFormat="1" ht="14.25">
      <c r="A626" s="251">
        <v>80102</v>
      </c>
      <c r="B626" s="251" t="s">
        <v>445</v>
      </c>
      <c r="C626" s="236" t="s">
        <v>54</v>
      </c>
      <c r="D626" s="252">
        <f>SUM(D627:D643)</f>
        <v>21412405</v>
      </c>
    </row>
    <row r="627" spans="1:4" ht="15">
      <c r="A627" s="251" t="s">
        <v>445</v>
      </c>
      <c r="B627" s="253">
        <v>3020</v>
      </c>
      <c r="C627" s="237" t="s">
        <v>561</v>
      </c>
      <c r="D627" s="254">
        <v>19896</v>
      </c>
    </row>
    <row r="628" spans="1:4" ht="15">
      <c r="A628" s="251" t="s">
        <v>445</v>
      </c>
      <c r="B628" s="253">
        <v>4010</v>
      </c>
      <c r="C628" s="237" t="s">
        <v>531</v>
      </c>
      <c r="D628" s="254">
        <v>15677474</v>
      </c>
    </row>
    <row r="629" spans="1:4" ht="15">
      <c r="A629" s="251" t="s">
        <v>445</v>
      </c>
      <c r="B629" s="253">
        <v>4040</v>
      </c>
      <c r="C629" s="237" t="s">
        <v>532</v>
      </c>
      <c r="D629" s="254">
        <v>1111466</v>
      </c>
    </row>
    <row r="630" spans="1:4" ht="15">
      <c r="A630" s="251" t="s">
        <v>445</v>
      </c>
      <c r="B630" s="253">
        <v>4110</v>
      </c>
      <c r="C630" s="237" t="s">
        <v>533</v>
      </c>
      <c r="D630" s="254">
        <v>2805531</v>
      </c>
    </row>
    <row r="631" spans="1:4" ht="30">
      <c r="A631" s="251" t="s">
        <v>445</v>
      </c>
      <c r="B631" s="253">
        <v>4120</v>
      </c>
      <c r="C631" s="237" t="s">
        <v>534</v>
      </c>
      <c r="D631" s="254">
        <v>352944</v>
      </c>
    </row>
    <row r="632" spans="1:4" ht="15">
      <c r="A632" s="251" t="s">
        <v>445</v>
      </c>
      <c r="B632" s="253">
        <v>4170</v>
      </c>
      <c r="C632" s="237" t="s">
        <v>535</v>
      </c>
      <c r="D632" s="254">
        <v>21800</v>
      </c>
    </row>
    <row r="633" spans="1:4" ht="15">
      <c r="A633" s="251" t="s">
        <v>445</v>
      </c>
      <c r="B633" s="253">
        <v>4210</v>
      </c>
      <c r="C633" s="237" t="s">
        <v>537</v>
      </c>
      <c r="D633" s="254">
        <v>103780</v>
      </c>
    </row>
    <row r="634" spans="1:4" ht="15">
      <c r="A634" s="251" t="s">
        <v>445</v>
      </c>
      <c r="B634" s="253">
        <v>4240</v>
      </c>
      <c r="C634" s="237" t="s">
        <v>584</v>
      </c>
      <c r="D634" s="254">
        <v>37301</v>
      </c>
    </row>
    <row r="635" spans="1:4" ht="15">
      <c r="A635" s="251" t="s">
        <v>445</v>
      </c>
      <c r="B635" s="253">
        <v>4260</v>
      </c>
      <c r="C635" s="237" t="s">
        <v>539</v>
      </c>
      <c r="D635" s="254">
        <v>429000</v>
      </c>
    </row>
    <row r="636" spans="1:4" ht="15">
      <c r="A636" s="251" t="s">
        <v>445</v>
      </c>
      <c r="B636" s="253">
        <v>4270</v>
      </c>
      <c r="C636" s="237" t="s">
        <v>540</v>
      </c>
      <c r="D636" s="254">
        <v>22720</v>
      </c>
    </row>
    <row r="637" spans="1:4" ht="15">
      <c r="A637" s="251" t="s">
        <v>445</v>
      </c>
      <c r="B637" s="253">
        <v>4280</v>
      </c>
      <c r="C637" s="237" t="s">
        <v>563</v>
      </c>
      <c r="D637" s="254">
        <v>9630</v>
      </c>
    </row>
    <row r="638" spans="1:4" ht="15">
      <c r="A638" s="251" t="s">
        <v>445</v>
      </c>
      <c r="B638" s="253">
        <v>4300</v>
      </c>
      <c r="C638" s="237" t="s">
        <v>541</v>
      </c>
      <c r="D638" s="254">
        <v>169017</v>
      </c>
    </row>
    <row r="639" spans="1:4" ht="15">
      <c r="A639" s="251" t="s">
        <v>445</v>
      </c>
      <c r="B639" s="253">
        <v>4360</v>
      </c>
      <c r="C639" s="237" t="s">
        <v>542</v>
      </c>
      <c r="D639" s="254">
        <v>21352</v>
      </c>
    </row>
    <row r="640" spans="1:4" ht="15">
      <c r="A640" s="251" t="s">
        <v>445</v>
      </c>
      <c r="B640" s="253">
        <v>4410</v>
      </c>
      <c r="C640" s="237" t="s">
        <v>545</v>
      </c>
      <c r="D640" s="254">
        <v>19860</v>
      </c>
    </row>
    <row r="641" spans="1:4" ht="15">
      <c r="A641" s="251" t="s">
        <v>445</v>
      </c>
      <c r="B641" s="253">
        <v>4430</v>
      </c>
      <c r="C641" s="237" t="s">
        <v>547</v>
      </c>
      <c r="D641" s="254">
        <v>11350</v>
      </c>
    </row>
    <row r="642" spans="1:4" ht="15">
      <c r="A642" s="251" t="s">
        <v>445</v>
      </c>
      <c r="B642" s="253">
        <v>4440</v>
      </c>
      <c r="C642" s="237" t="s">
        <v>564</v>
      </c>
      <c r="D642" s="254">
        <v>589984</v>
      </c>
    </row>
    <row r="643" spans="1:4" ht="15">
      <c r="A643" s="251" t="s">
        <v>445</v>
      </c>
      <c r="B643" s="253">
        <v>4700</v>
      </c>
      <c r="C643" s="237" t="s">
        <v>548</v>
      </c>
      <c r="D643" s="254">
        <v>9300</v>
      </c>
    </row>
    <row r="644" spans="1:4" s="235" customFormat="1" ht="14.25">
      <c r="A644" s="251">
        <v>80105</v>
      </c>
      <c r="B644" s="251" t="s">
        <v>445</v>
      </c>
      <c r="C644" s="236" t="s">
        <v>176</v>
      </c>
      <c r="D644" s="252">
        <f>SUM(D645:D673)</f>
        <v>1114580</v>
      </c>
    </row>
    <row r="645" spans="1:4" ht="15">
      <c r="A645" s="251" t="s">
        <v>445</v>
      </c>
      <c r="B645" s="253">
        <v>3020</v>
      </c>
      <c r="C645" s="237" t="s">
        <v>561</v>
      </c>
      <c r="D645" s="254">
        <v>958</v>
      </c>
    </row>
    <row r="646" spans="1:4" ht="15">
      <c r="A646" s="251" t="s">
        <v>445</v>
      </c>
      <c r="B646" s="253">
        <v>4010</v>
      </c>
      <c r="C646" s="237" t="s">
        <v>531</v>
      </c>
      <c r="D646" s="254">
        <v>245523</v>
      </c>
    </row>
    <row r="647" spans="1:4" ht="15">
      <c r="A647" s="251" t="s">
        <v>445</v>
      </c>
      <c r="B647" s="253">
        <v>4017</v>
      </c>
      <c r="C647" s="237" t="s">
        <v>531</v>
      </c>
      <c r="D647" s="254">
        <v>477075</v>
      </c>
    </row>
    <row r="648" spans="1:4" ht="15">
      <c r="A648" s="251" t="s">
        <v>445</v>
      </c>
      <c r="B648" s="253">
        <v>4019</v>
      </c>
      <c r="C648" s="237" t="s">
        <v>531</v>
      </c>
      <c r="D648" s="254">
        <v>84190</v>
      </c>
    </row>
    <row r="649" spans="1:4" ht="15">
      <c r="A649" s="251" t="s">
        <v>445</v>
      </c>
      <c r="B649" s="253">
        <v>4040</v>
      </c>
      <c r="C649" s="237" t="s">
        <v>532</v>
      </c>
      <c r="D649" s="254">
        <v>18198</v>
      </c>
    </row>
    <row r="650" spans="1:4" ht="15">
      <c r="A650" s="255" t="s">
        <v>445</v>
      </c>
      <c r="B650" s="256">
        <v>4110</v>
      </c>
      <c r="C650" s="239" t="s">
        <v>533</v>
      </c>
      <c r="D650" s="257">
        <v>43779</v>
      </c>
    </row>
    <row r="651" spans="1:4" ht="15">
      <c r="A651" s="258" t="s">
        <v>445</v>
      </c>
      <c r="B651" s="259">
        <v>4117</v>
      </c>
      <c r="C651" s="240" t="s">
        <v>533</v>
      </c>
      <c r="D651" s="260">
        <v>78547</v>
      </c>
    </row>
    <row r="652" spans="1:4" ht="15">
      <c r="A652" s="251" t="s">
        <v>445</v>
      </c>
      <c r="B652" s="253">
        <v>4119</v>
      </c>
      <c r="C652" s="237" t="s">
        <v>533</v>
      </c>
      <c r="D652" s="254">
        <v>13861</v>
      </c>
    </row>
    <row r="653" spans="1:4" ht="30">
      <c r="A653" s="251" t="s">
        <v>445</v>
      </c>
      <c r="B653" s="253">
        <v>4120</v>
      </c>
      <c r="C653" s="237" t="s">
        <v>534</v>
      </c>
      <c r="D653" s="254">
        <v>4421</v>
      </c>
    </row>
    <row r="654" spans="1:4" ht="30">
      <c r="A654" s="251" t="s">
        <v>445</v>
      </c>
      <c r="B654" s="253">
        <v>4127</v>
      </c>
      <c r="C654" s="237" t="s">
        <v>534</v>
      </c>
      <c r="D654" s="254">
        <v>11182</v>
      </c>
    </row>
    <row r="655" spans="1:4" ht="30">
      <c r="A655" s="251" t="s">
        <v>445</v>
      </c>
      <c r="B655" s="253">
        <v>4129</v>
      </c>
      <c r="C655" s="237" t="s">
        <v>534</v>
      </c>
      <c r="D655" s="254">
        <v>1973</v>
      </c>
    </row>
    <row r="656" spans="1:4" ht="15">
      <c r="A656" s="251" t="s">
        <v>445</v>
      </c>
      <c r="B656" s="253">
        <v>4210</v>
      </c>
      <c r="C656" s="237" t="s">
        <v>537</v>
      </c>
      <c r="D656" s="254">
        <v>2046</v>
      </c>
    </row>
    <row r="657" spans="1:4" ht="15">
      <c r="A657" s="251" t="s">
        <v>445</v>
      </c>
      <c r="B657" s="253">
        <v>4217</v>
      </c>
      <c r="C657" s="237" t="s">
        <v>537</v>
      </c>
      <c r="D657" s="254">
        <v>31372</v>
      </c>
    </row>
    <row r="658" spans="1:4" ht="15">
      <c r="A658" s="251" t="s">
        <v>445</v>
      </c>
      <c r="B658" s="253">
        <v>4219</v>
      </c>
      <c r="C658" s="237" t="s">
        <v>537</v>
      </c>
      <c r="D658" s="254">
        <v>5536</v>
      </c>
    </row>
    <row r="659" spans="1:4" ht="15">
      <c r="A659" s="251" t="s">
        <v>445</v>
      </c>
      <c r="B659" s="253">
        <v>4240</v>
      </c>
      <c r="C659" s="237" t="s">
        <v>584</v>
      </c>
      <c r="D659" s="254">
        <v>700</v>
      </c>
    </row>
    <row r="660" spans="1:4" ht="15">
      <c r="A660" s="251" t="s">
        <v>445</v>
      </c>
      <c r="B660" s="253">
        <v>4247</v>
      </c>
      <c r="C660" s="237" t="s">
        <v>584</v>
      </c>
      <c r="D660" s="254">
        <v>4080</v>
      </c>
    </row>
    <row r="661" spans="1:4" ht="15">
      <c r="A661" s="251" t="s">
        <v>445</v>
      </c>
      <c r="B661" s="253">
        <v>4249</v>
      </c>
      <c r="C661" s="237" t="s">
        <v>584</v>
      </c>
      <c r="D661" s="254">
        <v>720</v>
      </c>
    </row>
    <row r="662" spans="1:4" ht="15">
      <c r="A662" s="251" t="s">
        <v>445</v>
      </c>
      <c r="B662" s="253">
        <v>4267</v>
      </c>
      <c r="C662" s="237" t="s">
        <v>539</v>
      </c>
      <c r="D662" s="254">
        <v>3400</v>
      </c>
    </row>
    <row r="663" spans="1:4" ht="15">
      <c r="A663" s="251" t="s">
        <v>445</v>
      </c>
      <c r="B663" s="253">
        <v>4269</v>
      </c>
      <c r="C663" s="237" t="s">
        <v>539</v>
      </c>
      <c r="D663" s="254">
        <v>600</v>
      </c>
    </row>
    <row r="664" spans="1:4" ht="15">
      <c r="A664" s="251" t="s">
        <v>445</v>
      </c>
      <c r="B664" s="253">
        <v>4270</v>
      </c>
      <c r="C664" s="237" t="s">
        <v>540</v>
      </c>
      <c r="D664" s="254">
        <v>858</v>
      </c>
    </row>
    <row r="665" spans="1:4" ht="15">
      <c r="A665" s="251" t="s">
        <v>445</v>
      </c>
      <c r="B665" s="253">
        <v>4280</v>
      </c>
      <c r="C665" s="237" t="s">
        <v>563</v>
      </c>
      <c r="D665" s="254">
        <v>240</v>
      </c>
    </row>
    <row r="666" spans="1:4" ht="15">
      <c r="A666" s="251" t="s">
        <v>445</v>
      </c>
      <c r="B666" s="253">
        <v>4300</v>
      </c>
      <c r="C666" s="237" t="s">
        <v>541</v>
      </c>
      <c r="D666" s="254">
        <v>449</v>
      </c>
    </row>
    <row r="667" spans="1:4" ht="15">
      <c r="A667" s="251" t="s">
        <v>445</v>
      </c>
      <c r="B667" s="253">
        <v>4307</v>
      </c>
      <c r="C667" s="237" t="s">
        <v>541</v>
      </c>
      <c r="D667" s="254">
        <v>55202</v>
      </c>
    </row>
    <row r="668" spans="1:4" ht="15">
      <c r="A668" s="251" t="s">
        <v>445</v>
      </c>
      <c r="B668" s="253">
        <v>4309</v>
      </c>
      <c r="C668" s="237" t="s">
        <v>541</v>
      </c>
      <c r="D668" s="254">
        <v>9742</v>
      </c>
    </row>
    <row r="669" spans="1:4" ht="15">
      <c r="A669" s="251" t="s">
        <v>445</v>
      </c>
      <c r="B669" s="253">
        <v>4360</v>
      </c>
      <c r="C669" s="237" t="s">
        <v>542</v>
      </c>
      <c r="D669" s="254">
        <v>352</v>
      </c>
    </row>
    <row r="670" spans="1:4" ht="15">
      <c r="A670" s="251" t="s">
        <v>445</v>
      </c>
      <c r="B670" s="253">
        <v>4407</v>
      </c>
      <c r="C670" s="237" t="s">
        <v>544</v>
      </c>
      <c r="D670" s="254">
        <v>8500</v>
      </c>
    </row>
    <row r="671" spans="1:4" ht="15">
      <c r="A671" s="251" t="s">
        <v>445</v>
      </c>
      <c r="B671" s="253">
        <v>4409</v>
      </c>
      <c r="C671" s="237" t="s">
        <v>544</v>
      </c>
      <c r="D671" s="254">
        <v>1500</v>
      </c>
    </row>
    <row r="672" spans="1:4" ht="15">
      <c r="A672" s="251" t="s">
        <v>445</v>
      </c>
      <c r="B672" s="253">
        <v>4410</v>
      </c>
      <c r="C672" s="237" t="s">
        <v>545</v>
      </c>
      <c r="D672" s="254">
        <v>100</v>
      </c>
    </row>
    <row r="673" spans="1:4" ht="15">
      <c r="A673" s="251" t="s">
        <v>445</v>
      </c>
      <c r="B673" s="253">
        <v>4440</v>
      </c>
      <c r="C673" s="237" t="s">
        <v>564</v>
      </c>
      <c r="D673" s="254">
        <v>9476</v>
      </c>
    </row>
    <row r="674" spans="1:4" s="235" customFormat="1" ht="14.25">
      <c r="A674" s="251">
        <v>80113</v>
      </c>
      <c r="B674" s="251" t="s">
        <v>445</v>
      </c>
      <c r="C674" s="236" t="s">
        <v>178</v>
      </c>
      <c r="D674" s="252">
        <f>D675</f>
        <v>16500</v>
      </c>
    </row>
    <row r="675" spans="1:4" ht="15">
      <c r="A675" s="251" t="s">
        <v>445</v>
      </c>
      <c r="B675" s="253">
        <v>4210</v>
      </c>
      <c r="C675" s="237" t="s">
        <v>537</v>
      </c>
      <c r="D675" s="254">
        <v>16500</v>
      </c>
    </row>
    <row r="676" spans="1:4" s="235" customFormat="1" ht="14.25">
      <c r="A676" s="251">
        <v>80116</v>
      </c>
      <c r="B676" s="251" t="s">
        <v>445</v>
      </c>
      <c r="C676" s="236" t="s">
        <v>100</v>
      </c>
      <c r="D676" s="252">
        <f>SUM(D677:D706)</f>
        <v>9941124</v>
      </c>
    </row>
    <row r="677" spans="1:4" ht="15.75" customHeight="1">
      <c r="A677" s="251" t="s">
        <v>445</v>
      </c>
      <c r="B677" s="253">
        <v>3020</v>
      </c>
      <c r="C677" s="237" t="s">
        <v>561</v>
      </c>
      <c r="D677" s="254">
        <v>11200</v>
      </c>
    </row>
    <row r="678" spans="1:4" ht="15.75" customHeight="1">
      <c r="A678" s="251" t="s">
        <v>445</v>
      </c>
      <c r="B678" s="253">
        <v>4010</v>
      </c>
      <c r="C678" s="237" t="s">
        <v>531</v>
      </c>
      <c r="D678" s="254">
        <v>3887182</v>
      </c>
    </row>
    <row r="679" spans="1:4" ht="15.75" customHeight="1">
      <c r="A679" s="251" t="s">
        <v>445</v>
      </c>
      <c r="B679" s="253">
        <v>4017</v>
      </c>
      <c r="C679" s="237" t="s">
        <v>531</v>
      </c>
      <c r="D679" s="254">
        <v>49881</v>
      </c>
    </row>
    <row r="680" spans="1:4" ht="15.75" customHeight="1">
      <c r="A680" s="251" t="s">
        <v>445</v>
      </c>
      <c r="B680" s="253">
        <v>4019</v>
      </c>
      <c r="C680" s="237" t="s">
        <v>531</v>
      </c>
      <c r="D680" s="254">
        <v>8802</v>
      </c>
    </row>
    <row r="681" spans="1:4" ht="15.75" customHeight="1">
      <c r="A681" s="251" t="s">
        <v>445</v>
      </c>
      <c r="B681" s="253">
        <v>4040</v>
      </c>
      <c r="C681" s="237" t="s">
        <v>532</v>
      </c>
      <c r="D681" s="254">
        <v>274641</v>
      </c>
    </row>
    <row r="682" spans="1:4" ht="15.75" customHeight="1">
      <c r="A682" s="251" t="s">
        <v>445</v>
      </c>
      <c r="B682" s="253">
        <v>4047</v>
      </c>
      <c r="C682" s="237" t="s">
        <v>532</v>
      </c>
      <c r="D682" s="254">
        <v>2602</v>
      </c>
    </row>
    <row r="683" spans="1:4" ht="15.75" customHeight="1">
      <c r="A683" s="251" t="s">
        <v>445</v>
      </c>
      <c r="B683" s="253">
        <v>4049</v>
      </c>
      <c r="C683" s="237" t="s">
        <v>532</v>
      </c>
      <c r="D683" s="254">
        <v>460</v>
      </c>
    </row>
    <row r="684" spans="1:4" ht="15.75" customHeight="1">
      <c r="A684" s="251" t="s">
        <v>445</v>
      </c>
      <c r="B684" s="253">
        <v>4110</v>
      </c>
      <c r="C684" s="237" t="s">
        <v>533</v>
      </c>
      <c r="D684" s="254">
        <v>687865</v>
      </c>
    </row>
    <row r="685" spans="1:4" ht="15.75" customHeight="1">
      <c r="A685" s="251" t="s">
        <v>445</v>
      </c>
      <c r="B685" s="253">
        <v>4117</v>
      </c>
      <c r="C685" s="237" t="s">
        <v>533</v>
      </c>
      <c r="D685" s="254">
        <v>9022</v>
      </c>
    </row>
    <row r="686" spans="1:4" ht="15.75" customHeight="1">
      <c r="A686" s="251" t="s">
        <v>445</v>
      </c>
      <c r="B686" s="253">
        <v>4119</v>
      </c>
      <c r="C686" s="237" t="s">
        <v>533</v>
      </c>
      <c r="D686" s="254">
        <v>1592</v>
      </c>
    </row>
    <row r="687" spans="1:4" ht="31.5" customHeight="1">
      <c r="A687" s="251" t="s">
        <v>445</v>
      </c>
      <c r="B687" s="253">
        <v>4120</v>
      </c>
      <c r="C687" s="237" t="s">
        <v>534</v>
      </c>
      <c r="D687" s="254">
        <v>78128</v>
      </c>
    </row>
    <row r="688" spans="1:4" ht="31.5" customHeight="1">
      <c r="A688" s="251" t="s">
        <v>445</v>
      </c>
      <c r="B688" s="253">
        <v>4127</v>
      </c>
      <c r="C688" s="237" t="s">
        <v>534</v>
      </c>
      <c r="D688" s="254">
        <v>1286</v>
      </c>
    </row>
    <row r="689" spans="1:4" ht="31.5" customHeight="1">
      <c r="A689" s="251" t="s">
        <v>445</v>
      </c>
      <c r="B689" s="253">
        <v>4129</v>
      </c>
      <c r="C689" s="237" t="s">
        <v>534</v>
      </c>
      <c r="D689" s="254">
        <v>227</v>
      </c>
    </row>
    <row r="690" spans="1:4" ht="15">
      <c r="A690" s="251" t="s">
        <v>445</v>
      </c>
      <c r="B690" s="253">
        <v>4140</v>
      </c>
      <c r="C690" s="237" t="s">
        <v>562</v>
      </c>
      <c r="D690" s="254">
        <v>8000</v>
      </c>
    </row>
    <row r="691" spans="1:4" ht="15">
      <c r="A691" s="251" t="s">
        <v>445</v>
      </c>
      <c r="B691" s="253">
        <v>4170</v>
      </c>
      <c r="C691" s="237" t="s">
        <v>535</v>
      </c>
      <c r="D691" s="254">
        <v>4000</v>
      </c>
    </row>
    <row r="692" spans="1:4" ht="15">
      <c r="A692" s="251" t="s">
        <v>445</v>
      </c>
      <c r="B692" s="253">
        <v>4210</v>
      </c>
      <c r="C692" s="237" t="s">
        <v>537</v>
      </c>
      <c r="D692" s="254">
        <v>120270</v>
      </c>
    </row>
    <row r="693" spans="1:4" ht="15">
      <c r="A693" s="251" t="s">
        <v>445</v>
      </c>
      <c r="B693" s="253">
        <v>4240</v>
      </c>
      <c r="C693" s="237" t="s">
        <v>584</v>
      </c>
      <c r="D693" s="254">
        <v>91226</v>
      </c>
    </row>
    <row r="694" spans="1:4" ht="15">
      <c r="A694" s="251" t="s">
        <v>445</v>
      </c>
      <c r="B694" s="253">
        <v>4260</v>
      </c>
      <c r="C694" s="237" t="s">
        <v>539</v>
      </c>
      <c r="D694" s="254">
        <v>195060</v>
      </c>
    </row>
    <row r="695" spans="1:4" ht="15">
      <c r="A695" s="251" t="s">
        <v>445</v>
      </c>
      <c r="B695" s="253">
        <v>4270</v>
      </c>
      <c r="C695" s="237" t="s">
        <v>540</v>
      </c>
      <c r="D695" s="254">
        <v>640500</v>
      </c>
    </row>
    <row r="696" spans="1:4" ht="15">
      <c r="A696" s="251" t="s">
        <v>445</v>
      </c>
      <c r="B696" s="253">
        <v>4280</v>
      </c>
      <c r="C696" s="237" t="s">
        <v>563</v>
      </c>
      <c r="D696" s="254">
        <v>3200</v>
      </c>
    </row>
    <row r="697" spans="1:4" ht="15">
      <c r="A697" s="251" t="s">
        <v>445</v>
      </c>
      <c r="B697" s="253">
        <v>4300</v>
      </c>
      <c r="C697" s="237" t="s">
        <v>541</v>
      </c>
      <c r="D697" s="254">
        <v>137524</v>
      </c>
    </row>
    <row r="698" spans="1:4" ht="15">
      <c r="A698" s="251" t="s">
        <v>445</v>
      </c>
      <c r="B698" s="253">
        <v>4360</v>
      </c>
      <c r="C698" s="237" t="s">
        <v>542</v>
      </c>
      <c r="D698" s="254">
        <v>11600</v>
      </c>
    </row>
    <row r="699" spans="1:4" ht="15">
      <c r="A699" s="251" t="s">
        <v>445</v>
      </c>
      <c r="B699" s="253">
        <v>4390</v>
      </c>
      <c r="C699" s="237" t="s">
        <v>557</v>
      </c>
      <c r="D699" s="254">
        <v>540</v>
      </c>
    </row>
    <row r="700" spans="1:4" ht="15">
      <c r="A700" s="251" t="s">
        <v>445</v>
      </c>
      <c r="B700" s="253">
        <v>4410</v>
      </c>
      <c r="C700" s="237" t="s">
        <v>545</v>
      </c>
      <c r="D700" s="254">
        <v>5500</v>
      </c>
    </row>
    <row r="701" spans="1:4" ht="15">
      <c r="A701" s="251" t="s">
        <v>445</v>
      </c>
      <c r="B701" s="253">
        <v>4430</v>
      </c>
      <c r="C701" s="237" t="s">
        <v>547</v>
      </c>
      <c r="D701" s="254">
        <v>6000</v>
      </c>
    </row>
    <row r="702" spans="1:4" ht="15">
      <c r="A702" s="251" t="s">
        <v>445</v>
      </c>
      <c r="B702" s="253">
        <v>4440</v>
      </c>
      <c r="C702" s="237" t="s">
        <v>564</v>
      </c>
      <c r="D702" s="254">
        <v>196056</v>
      </c>
    </row>
    <row r="703" spans="1:4" ht="15">
      <c r="A703" s="251" t="s">
        <v>445</v>
      </c>
      <c r="B703" s="253">
        <v>4700</v>
      </c>
      <c r="C703" s="237" t="s">
        <v>548</v>
      </c>
      <c r="D703" s="254">
        <v>4500</v>
      </c>
    </row>
    <row r="704" spans="1:4" ht="15">
      <c r="A704" s="251" t="s">
        <v>445</v>
      </c>
      <c r="B704" s="253">
        <v>6050</v>
      </c>
      <c r="C704" s="237" t="s">
        <v>560</v>
      </c>
      <c r="D704" s="254">
        <v>1210852</v>
      </c>
    </row>
    <row r="705" spans="1:4" ht="15">
      <c r="A705" s="251" t="s">
        <v>445</v>
      </c>
      <c r="B705" s="253">
        <v>6057</v>
      </c>
      <c r="C705" s="237" t="s">
        <v>560</v>
      </c>
      <c r="D705" s="254">
        <v>1949397</v>
      </c>
    </row>
    <row r="706" spans="1:4" ht="15">
      <c r="A706" s="255" t="s">
        <v>445</v>
      </c>
      <c r="B706" s="256">
        <v>6059</v>
      </c>
      <c r="C706" s="239" t="s">
        <v>560</v>
      </c>
      <c r="D706" s="257">
        <v>344011</v>
      </c>
    </row>
    <row r="707" spans="1:4" s="235" customFormat="1" ht="14.25">
      <c r="A707" s="258">
        <v>80121</v>
      </c>
      <c r="B707" s="258" t="s">
        <v>445</v>
      </c>
      <c r="C707" s="242" t="s">
        <v>55</v>
      </c>
      <c r="D707" s="264">
        <f>SUM(D708:D723)</f>
        <v>3129856</v>
      </c>
    </row>
    <row r="708" spans="1:4" ht="15">
      <c r="A708" s="251" t="s">
        <v>445</v>
      </c>
      <c r="B708" s="253">
        <v>3020</v>
      </c>
      <c r="C708" s="237" t="s">
        <v>561</v>
      </c>
      <c r="D708" s="254">
        <v>5920</v>
      </c>
    </row>
    <row r="709" spans="1:4" ht="15">
      <c r="A709" s="251" t="s">
        <v>445</v>
      </c>
      <c r="B709" s="253">
        <v>4010</v>
      </c>
      <c r="C709" s="237" t="s">
        <v>531</v>
      </c>
      <c r="D709" s="254">
        <v>2300189</v>
      </c>
    </row>
    <row r="710" spans="1:4" ht="15">
      <c r="A710" s="251" t="s">
        <v>445</v>
      </c>
      <c r="B710" s="253">
        <v>4040</v>
      </c>
      <c r="C710" s="237" t="s">
        <v>532</v>
      </c>
      <c r="D710" s="254">
        <v>150944</v>
      </c>
    </row>
    <row r="711" spans="1:4" ht="15">
      <c r="A711" s="251" t="s">
        <v>445</v>
      </c>
      <c r="B711" s="253">
        <v>4110</v>
      </c>
      <c r="C711" s="237" t="s">
        <v>533</v>
      </c>
      <c r="D711" s="254">
        <v>419602</v>
      </c>
    </row>
    <row r="712" spans="1:4" ht="30">
      <c r="A712" s="251" t="s">
        <v>445</v>
      </c>
      <c r="B712" s="253">
        <v>4120</v>
      </c>
      <c r="C712" s="237" t="s">
        <v>534</v>
      </c>
      <c r="D712" s="254">
        <v>55790</v>
      </c>
    </row>
    <row r="713" spans="1:4" ht="15">
      <c r="A713" s="251" t="s">
        <v>445</v>
      </c>
      <c r="B713" s="253">
        <v>4210</v>
      </c>
      <c r="C713" s="237" t="s">
        <v>537</v>
      </c>
      <c r="D713" s="254">
        <v>17732</v>
      </c>
    </row>
    <row r="714" spans="1:4" ht="15">
      <c r="A714" s="251" t="s">
        <v>445</v>
      </c>
      <c r="B714" s="253">
        <v>4240</v>
      </c>
      <c r="C714" s="237" t="s">
        <v>584</v>
      </c>
      <c r="D714" s="254">
        <v>10500</v>
      </c>
    </row>
    <row r="715" spans="1:4" ht="15">
      <c r="A715" s="251" t="s">
        <v>445</v>
      </c>
      <c r="B715" s="253">
        <v>4260</v>
      </c>
      <c r="C715" s="237" t="s">
        <v>539</v>
      </c>
      <c r="D715" s="254">
        <v>43000</v>
      </c>
    </row>
    <row r="716" spans="1:4" ht="15">
      <c r="A716" s="251" t="s">
        <v>445</v>
      </c>
      <c r="B716" s="253">
        <v>4270</v>
      </c>
      <c r="C716" s="237" t="s">
        <v>540</v>
      </c>
      <c r="D716" s="254">
        <v>4393</v>
      </c>
    </row>
    <row r="717" spans="1:4" ht="15">
      <c r="A717" s="251" t="s">
        <v>445</v>
      </c>
      <c r="B717" s="253">
        <v>4280</v>
      </c>
      <c r="C717" s="237" t="s">
        <v>563</v>
      </c>
      <c r="D717" s="254">
        <v>2722</v>
      </c>
    </row>
    <row r="718" spans="1:4" ht="15">
      <c r="A718" s="251" t="s">
        <v>445</v>
      </c>
      <c r="B718" s="253">
        <v>4300</v>
      </c>
      <c r="C718" s="237" t="s">
        <v>541</v>
      </c>
      <c r="D718" s="254">
        <v>25910</v>
      </c>
    </row>
    <row r="719" spans="1:4" ht="15">
      <c r="A719" s="251" t="s">
        <v>445</v>
      </c>
      <c r="B719" s="253">
        <v>4360</v>
      </c>
      <c r="C719" s="237" t="s">
        <v>542</v>
      </c>
      <c r="D719" s="254">
        <v>7528</v>
      </c>
    </row>
    <row r="720" spans="1:4" ht="15">
      <c r="A720" s="251" t="s">
        <v>445</v>
      </c>
      <c r="B720" s="253">
        <v>4410</v>
      </c>
      <c r="C720" s="237" t="s">
        <v>545</v>
      </c>
      <c r="D720" s="254">
        <v>1303</v>
      </c>
    </row>
    <row r="721" spans="1:4" ht="15">
      <c r="A721" s="251" t="s">
        <v>445</v>
      </c>
      <c r="B721" s="253">
        <v>4430</v>
      </c>
      <c r="C721" s="237" t="s">
        <v>547</v>
      </c>
      <c r="D721" s="254">
        <v>1800</v>
      </c>
    </row>
    <row r="722" spans="1:4" ht="15">
      <c r="A722" s="251" t="s">
        <v>445</v>
      </c>
      <c r="B722" s="253">
        <v>4440</v>
      </c>
      <c r="C722" s="237" t="s">
        <v>564</v>
      </c>
      <c r="D722" s="254">
        <v>80923</v>
      </c>
    </row>
    <row r="723" spans="1:4" ht="15">
      <c r="A723" s="251" t="s">
        <v>445</v>
      </c>
      <c r="B723" s="253">
        <v>4700</v>
      </c>
      <c r="C723" s="237" t="s">
        <v>548</v>
      </c>
      <c r="D723" s="254">
        <v>1600</v>
      </c>
    </row>
    <row r="724" spans="1:4" s="235" customFormat="1" ht="14.25">
      <c r="A724" s="251">
        <v>80134</v>
      </c>
      <c r="B724" s="251" t="s">
        <v>445</v>
      </c>
      <c r="C724" s="236" t="s">
        <v>56</v>
      </c>
      <c r="D724" s="252">
        <f>SUM(D725:D740)</f>
        <v>14164063</v>
      </c>
    </row>
    <row r="725" spans="1:4" ht="15">
      <c r="A725" s="251" t="s">
        <v>445</v>
      </c>
      <c r="B725" s="253">
        <v>3020</v>
      </c>
      <c r="C725" s="237" t="s">
        <v>561</v>
      </c>
      <c r="D725" s="254">
        <v>8900</v>
      </c>
    </row>
    <row r="726" spans="1:4" ht="15">
      <c r="A726" s="251" t="s">
        <v>445</v>
      </c>
      <c r="B726" s="253">
        <v>4010</v>
      </c>
      <c r="C726" s="237" t="s">
        <v>531</v>
      </c>
      <c r="D726" s="254">
        <v>10084589</v>
      </c>
    </row>
    <row r="727" spans="1:4" ht="15">
      <c r="A727" s="251" t="s">
        <v>445</v>
      </c>
      <c r="B727" s="253">
        <v>4040</v>
      </c>
      <c r="C727" s="237" t="s">
        <v>532</v>
      </c>
      <c r="D727" s="254">
        <v>755557</v>
      </c>
    </row>
    <row r="728" spans="1:4" ht="15">
      <c r="A728" s="251" t="s">
        <v>445</v>
      </c>
      <c r="B728" s="253">
        <v>4110</v>
      </c>
      <c r="C728" s="237" t="s">
        <v>533</v>
      </c>
      <c r="D728" s="254">
        <v>1861458</v>
      </c>
    </row>
    <row r="729" spans="1:4" ht="30">
      <c r="A729" s="251" t="s">
        <v>445</v>
      </c>
      <c r="B729" s="253">
        <v>4120</v>
      </c>
      <c r="C729" s="237" t="s">
        <v>534</v>
      </c>
      <c r="D729" s="254">
        <v>242723</v>
      </c>
    </row>
    <row r="730" spans="1:4" ht="15">
      <c r="A730" s="251" t="s">
        <v>445</v>
      </c>
      <c r="B730" s="253">
        <v>4210</v>
      </c>
      <c r="C730" s="237" t="s">
        <v>537</v>
      </c>
      <c r="D730" s="254">
        <v>55000</v>
      </c>
    </row>
    <row r="731" spans="1:4" ht="15">
      <c r="A731" s="251" t="s">
        <v>445</v>
      </c>
      <c r="B731" s="253">
        <v>4240</v>
      </c>
      <c r="C731" s="237" t="s">
        <v>584</v>
      </c>
      <c r="D731" s="254">
        <v>25000</v>
      </c>
    </row>
    <row r="732" spans="1:4" ht="15">
      <c r="A732" s="251" t="s">
        <v>445</v>
      </c>
      <c r="B732" s="253">
        <v>4260</v>
      </c>
      <c r="C732" s="237" t="s">
        <v>539</v>
      </c>
      <c r="D732" s="254">
        <v>305000</v>
      </c>
    </row>
    <row r="733" spans="1:4" ht="15">
      <c r="A733" s="251" t="s">
        <v>445</v>
      </c>
      <c r="B733" s="253">
        <v>4270</v>
      </c>
      <c r="C733" s="237" t="s">
        <v>540</v>
      </c>
      <c r="D733" s="254">
        <v>10000</v>
      </c>
    </row>
    <row r="734" spans="1:4" ht="15">
      <c r="A734" s="251" t="s">
        <v>445</v>
      </c>
      <c r="B734" s="253">
        <v>4280</v>
      </c>
      <c r="C734" s="237" t="s">
        <v>563</v>
      </c>
      <c r="D734" s="254">
        <v>4300</v>
      </c>
    </row>
    <row r="735" spans="1:4" ht="15">
      <c r="A735" s="251" t="s">
        <v>445</v>
      </c>
      <c r="B735" s="253">
        <v>4300</v>
      </c>
      <c r="C735" s="237" t="s">
        <v>541</v>
      </c>
      <c r="D735" s="254">
        <v>402941</v>
      </c>
    </row>
    <row r="736" spans="1:4" ht="15">
      <c r="A736" s="251" t="s">
        <v>445</v>
      </c>
      <c r="B736" s="253">
        <v>4360</v>
      </c>
      <c r="C736" s="237" t="s">
        <v>542</v>
      </c>
      <c r="D736" s="254">
        <v>10900</v>
      </c>
    </row>
    <row r="737" spans="1:4" ht="15">
      <c r="A737" s="251" t="s">
        <v>445</v>
      </c>
      <c r="B737" s="253">
        <v>4410</v>
      </c>
      <c r="C737" s="237" t="s">
        <v>545</v>
      </c>
      <c r="D737" s="254">
        <v>4600</v>
      </c>
    </row>
    <row r="738" spans="1:4" ht="15">
      <c r="A738" s="251" t="s">
        <v>445</v>
      </c>
      <c r="B738" s="253">
        <v>4430</v>
      </c>
      <c r="C738" s="237" t="s">
        <v>547</v>
      </c>
      <c r="D738" s="254">
        <v>4400</v>
      </c>
    </row>
    <row r="739" spans="1:4" ht="15">
      <c r="A739" s="251" t="s">
        <v>445</v>
      </c>
      <c r="B739" s="253">
        <v>4440</v>
      </c>
      <c r="C739" s="237" t="s">
        <v>564</v>
      </c>
      <c r="D739" s="254">
        <v>383595</v>
      </c>
    </row>
    <row r="740" spans="1:4" ht="15">
      <c r="A740" s="251" t="s">
        <v>445</v>
      </c>
      <c r="B740" s="253">
        <v>4700</v>
      </c>
      <c r="C740" s="237" t="s">
        <v>548</v>
      </c>
      <c r="D740" s="254">
        <v>5100</v>
      </c>
    </row>
    <row r="741" spans="1:4" s="235" customFormat="1" ht="14.25">
      <c r="A741" s="251">
        <v>80140</v>
      </c>
      <c r="B741" s="251" t="s">
        <v>445</v>
      </c>
      <c r="C741" s="236" t="s">
        <v>352</v>
      </c>
      <c r="D741" s="252">
        <f>SUM(D742:D770)</f>
        <v>9238205</v>
      </c>
    </row>
    <row r="742" spans="1:4" ht="15">
      <c r="A742" s="251" t="s">
        <v>445</v>
      </c>
      <c r="B742" s="253">
        <v>3020</v>
      </c>
      <c r="C742" s="237" t="s">
        <v>561</v>
      </c>
      <c r="D742" s="254">
        <v>2000</v>
      </c>
    </row>
    <row r="743" spans="1:4" ht="15">
      <c r="A743" s="251" t="s">
        <v>445</v>
      </c>
      <c r="B743" s="253">
        <v>4010</v>
      </c>
      <c r="C743" s="237" t="s">
        <v>531</v>
      </c>
      <c r="D743" s="254">
        <v>1784655</v>
      </c>
    </row>
    <row r="744" spans="1:4" ht="15">
      <c r="A744" s="251" t="s">
        <v>445</v>
      </c>
      <c r="B744" s="253">
        <v>4017</v>
      </c>
      <c r="C744" s="237" t="s">
        <v>531</v>
      </c>
      <c r="D744" s="254">
        <v>79388</v>
      </c>
    </row>
    <row r="745" spans="1:4" ht="15">
      <c r="A745" s="251" t="s">
        <v>445</v>
      </c>
      <c r="B745" s="253">
        <v>4019</v>
      </c>
      <c r="C745" s="237" t="s">
        <v>531</v>
      </c>
      <c r="D745" s="254">
        <v>14010</v>
      </c>
    </row>
    <row r="746" spans="1:4" ht="15">
      <c r="A746" s="251" t="s">
        <v>445</v>
      </c>
      <c r="B746" s="253">
        <v>4040</v>
      </c>
      <c r="C746" s="237" t="s">
        <v>532</v>
      </c>
      <c r="D746" s="254">
        <v>133914</v>
      </c>
    </row>
    <row r="747" spans="1:4" ht="15">
      <c r="A747" s="251" t="s">
        <v>445</v>
      </c>
      <c r="B747" s="253">
        <v>4110</v>
      </c>
      <c r="C747" s="237" t="s">
        <v>533</v>
      </c>
      <c r="D747" s="254">
        <v>318510</v>
      </c>
    </row>
    <row r="748" spans="1:4" ht="15">
      <c r="A748" s="251" t="s">
        <v>445</v>
      </c>
      <c r="B748" s="253">
        <v>4117</v>
      </c>
      <c r="C748" s="237" t="s">
        <v>533</v>
      </c>
      <c r="D748" s="254">
        <v>13647</v>
      </c>
    </row>
    <row r="749" spans="1:4" ht="15">
      <c r="A749" s="251" t="s">
        <v>445</v>
      </c>
      <c r="B749" s="253">
        <v>4119</v>
      </c>
      <c r="C749" s="237" t="s">
        <v>533</v>
      </c>
      <c r="D749" s="254">
        <v>2409</v>
      </c>
    </row>
    <row r="750" spans="1:4" ht="30">
      <c r="A750" s="251" t="s">
        <v>445</v>
      </c>
      <c r="B750" s="253">
        <v>4120</v>
      </c>
      <c r="C750" s="237" t="s">
        <v>534</v>
      </c>
      <c r="D750" s="254">
        <v>28255</v>
      </c>
    </row>
    <row r="751" spans="1:4" ht="30">
      <c r="A751" s="251" t="s">
        <v>445</v>
      </c>
      <c r="B751" s="253">
        <v>4127</v>
      </c>
      <c r="C751" s="237" t="s">
        <v>534</v>
      </c>
      <c r="D751" s="254">
        <v>1945</v>
      </c>
    </row>
    <row r="752" spans="1:4" ht="30">
      <c r="A752" s="251" t="s">
        <v>445</v>
      </c>
      <c r="B752" s="253">
        <v>4129</v>
      </c>
      <c r="C752" s="237" t="s">
        <v>534</v>
      </c>
      <c r="D752" s="254">
        <v>343</v>
      </c>
    </row>
    <row r="753" spans="1:4" ht="15">
      <c r="A753" s="251" t="s">
        <v>445</v>
      </c>
      <c r="B753" s="253">
        <v>4210</v>
      </c>
      <c r="C753" s="237" t="s">
        <v>537</v>
      </c>
      <c r="D753" s="254">
        <v>70000</v>
      </c>
    </row>
    <row r="754" spans="1:4" ht="15">
      <c r="A754" s="251" t="s">
        <v>445</v>
      </c>
      <c r="B754" s="253">
        <v>4240</v>
      </c>
      <c r="C754" s="237" t="s">
        <v>584</v>
      </c>
      <c r="D754" s="254">
        <v>3000</v>
      </c>
    </row>
    <row r="755" spans="1:4" ht="15">
      <c r="A755" s="251" t="s">
        <v>445</v>
      </c>
      <c r="B755" s="253">
        <v>4260</v>
      </c>
      <c r="C755" s="237" t="s">
        <v>539</v>
      </c>
      <c r="D755" s="254">
        <v>24000</v>
      </c>
    </row>
    <row r="756" spans="1:4" ht="15">
      <c r="A756" s="251" t="s">
        <v>445</v>
      </c>
      <c r="B756" s="253">
        <v>4270</v>
      </c>
      <c r="C756" s="237" t="s">
        <v>540</v>
      </c>
      <c r="D756" s="254">
        <v>3000</v>
      </c>
    </row>
    <row r="757" spans="1:4" ht="15">
      <c r="A757" s="251" t="s">
        <v>445</v>
      </c>
      <c r="B757" s="253">
        <v>4280</v>
      </c>
      <c r="C757" s="237" t="s">
        <v>563</v>
      </c>
      <c r="D757" s="254">
        <v>3340</v>
      </c>
    </row>
    <row r="758" spans="1:4" ht="15">
      <c r="A758" s="251" t="s">
        <v>445</v>
      </c>
      <c r="B758" s="253">
        <v>4300</v>
      </c>
      <c r="C758" s="237" t="s">
        <v>541</v>
      </c>
      <c r="D758" s="254">
        <v>56000</v>
      </c>
    </row>
    <row r="759" spans="1:4" ht="15">
      <c r="A759" s="251" t="s">
        <v>445</v>
      </c>
      <c r="B759" s="253">
        <v>4307</v>
      </c>
      <c r="C759" s="237" t="s">
        <v>541</v>
      </c>
      <c r="D759" s="254">
        <v>15665</v>
      </c>
    </row>
    <row r="760" spans="1:4" ht="15">
      <c r="A760" s="251" t="s">
        <v>445</v>
      </c>
      <c r="B760" s="253">
        <v>4309</v>
      </c>
      <c r="C760" s="237" t="s">
        <v>541</v>
      </c>
      <c r="D760" s="254">
        <v>2764</v>
      </c>
    </row>
    <row r="761" spans="1:4" ht="15">
      <c r="A761" s="251" t="s">
        <v>445</v>
      </c>
      <c r="B761" s="253">
        <v>4360</v>
      </c>
      <c r="C761" s="237" t="s">
        <v>542</v>
      </c>
      <c r="D761" s="254">
        <v>5000</v>
      </c>
    </row>
    <row r="762" spans="1:4" ht="15">
      <c r="A762" s="251" t="s">
        <v>445</v>
      </c>
      <c r="B762" s="253">
        <v>4400</v>
      </c>
      <c r="C762" s="237" t="s">
        <v>544</v>
      </c>
      <c r="D762" s="254">
        <v>26000</v>
      </c>
    </row>
    <row r="763" spans="1:4" ht="15">
      <c r="A763" s="251" t="s">
        <v>445</v>
      </c>
      <c r="B763" s="253">
        <v>4410</v>
      </c>
      <c r="C763" s="237" t="s">
        <v>545</v>
      </c>
      <c r="D763" s="254">
        <v>10000</v>
      </c>
    </row>
    <row r="764" spans="1:4" ht="15">
      <c r="A764" s="255" t="s">
        <v>445</v>
      </c>
      <c r="B764" s="256">
        <v>4430</v>
      </c>
      <c r="C764" s="239" t="s">
        <v>547</v>
      </c>
      <c r="D764" s="257">
        <v>2500</v>
      </c>
    </row>
    <row r="765" spans="1:4" ht="15">
      <c r="A765" s="258" t="s">
        <v>445</v>
      </c>
      <c r="B765" s="259">
        <v>4440</v>
      </c>
      <c r="C765" s="240" t="s">
        <v>564</v>
      </c>
      <c r="D765" s="260">
        <v>70446</v>
      </c>
    </row>
    <row r="766" spans="1:4" ht="15">
      <c r="A766" s="251" t="s">
        <v>445</v>
      </c>
      <c r="B766" s="253">
        <v>4520</v>
      </c>
      <c r="C766" s="237" t="s">
        <v>568</v>
      </c>
      <c r="D766" s="254">
        <v>1400</v>
      </c>
    </row>
    <row r="767" spans="1:4" ht="15">
      <c r="A767" s="251" t="s">
        <v>445</v>
      </c>
      <c r="B767" s="253">
        <v>4700</v>
      </c>
      <c r="C767" s="237" t="s">
        <v>548</v>
      </c>
      <c r="D767" s="254">
        <v>1500</v>
      </c>
    </row>
    <row r="768" spans="1:4" ht="15">
      <c r="A768" s="251" t="s">
        <v>445</v>
      </c>
      <c r="B768" s="253">
        <v>6050</v>
      </c>
      <c r="C768" s="237" t="s">
        <v>560</v>
      </c>
      <c r="D768" s="254">
        <v>1524095</v>
      </c>
    </row>
    <row r="769" spans="1:4" ht="15">
      <c r="A769" s="251" t="s">
        <v>445</v>
      </c>
      <c r="B769" s="253">
        <v>6057</v>
      </c>
      <c r="C769" s="237" t="s">
        <v>560</v>
      </c>
      <c r="D769" s="254">
        <v>4284356</v>
      </c>
    </row>
    <row r="770" spans="1:4" ht="15">
      <c r="A770" s="251" t="s">
        <v>445</v>
      </c>
      <c r="B770" s="253">
        <v>6059</v>
      </c>
      <c r="C770" s="237" t="s">
        <v>560</v>
      </c>
      <c r="D770" s="254">
        <v>756063</v>
      </c>
    </row>
    <row r="771" spans="1:4" s="235" customFormat="1" ht="14.25">
      <c r="A771" s="251">
        <v>80146</v>
      </c>
      <c r="B771" s="251" t="s">
        <v>445</v>
      </c>
      <c r="C771" s="236" t="s">
        <v>57</v>
      </c>
      <c r="D771" s="252">
        <f>SUM(D772:D791)</f>
        <v>8765182</v>
      </c>
    </row>
    <row r="772" spans="1:4" ht="15">
      <c r="A772" s="251" t="s">
        <v>445</v>
      </c>
      <c r="B772" s="253">
        <v>3020</v>
      </c>
      <c r="C772" s="237" t="s">
        <v>561</v>
      </c>
      <c r="D772" s="254">
        <v>8255</v>
      </c>
    </row>
    <row r="773" spans="1:4" ht="15">
      <c r="A773" s="251" t="s">
        <v>445</v>
      </c>
      <c r="B773" s="253">
        <v>4010</v>
      </c>
      <c r="C773" s="237" t="s">
        <v>531</v>
      </c>
      <c r="D773" s="254">
        <v>5463159</v>
      </c>
    </row>
    <row r="774" spans="1:4" ht="15">
      <c r="A774" s="251" t="s">
        <v>445</v>
      </c>
      <c r="B774" s="253">
        <v>4040</v>
      </c>
      <c r="C774" s="237" t="s">
        <v>532</v>
      </c>
      <c r="D774" s="254">
        <v>394317</v>
      </c>
    </row>
    <row r="775" spans="1:4" ht="15">
      <c r="A775" s="251" t="s">
        <v>445</v>
      </c>
      <c r="B775" s="253">
        <v>4110</v>
      </c>
      <c r="C775" s="237" t="s">
        <v>533</v>
      </c>
      <c r="D775" s="254">
        <v>982944</v>
      </c>
    </row>
    <row r="776" spans="1:4" ht="30">
      <c r="A776" s="251" t="s">
        <v>445</v>
      </c>
      <c r="B776" s="253">
        <v>4120</v>
      </c>
      <c r="C776" s="237" t="s">
        <v>534</v>
      </c>
      <c r="D776" s="254">
        <v>92409</v>
      </c>
    </row>
    <row r="777" spans="1:4" ht="15">
      <c r="A777" s="251" t="s">
        <v>445</v>
      </c>
      <c r="B777" s="253">
        <v>4140</v>
      </c>
      <c r="C777" s="237" t="s">
        <v>562</v>
      </c>
      <c r="D777" s="254">
        <v>38950</v>
      </c>
    </row>
    <row r="778" spans="1:4" ht="15">
      <c r="A778" s="251" t="s">
        <v>445</v>
      </c>
      <c r="B778" s="253">
        <v>4170</v>
      </c>
      <c r="C778" s="237" t="s">
        <v>535</v>
      </c>
      <c r="D778" s="254">
        <v>2400</v>
      </c>
    </row>
    <row r="779" spans="1:4" ht="15">
      <c r="A779" s="251" t="s">
        <v>445</v>
      </c>
      <c r="B779" s="253">
        <v>4210</v>
      </c>
      <c r="C779" s="237" t="s">
        <v>537</v>
      </c>
      <c r="D779" s="254">
        <v>37000</v>
      </c>
    </row>
    <row r="780" spans="1:4" ht="15">
      <c r="A780" s="251" t="s">
        <v>445</v>
      </c>
      <c r="B780" s="253">
        <v>4240</v>
      </c>
      <c r="C780" s="237" t="s">
        <v>584</v>
      </c>
      <c r="D780" s="254">
        <v>5800</v>
      </c>
    </row>
    <row r="781" spans="1:4" ht="15">
      <c r="A781" s="251" t="s">
        <v>445</v>
      </c>
      <c r="B781" s="253">
        <v>4260</v>
      </c>
      <c r="C781" s="237" t="s">
        <v>539</v>
      </c>
      <c r="D781" s="254">
        <v>125000</v>
      </c>
    </row>
    <row r="782" spans="1:4" ht="15">
      <c r="A782" s="251" t="s">
        <v>445</v>
      </c>
      <c r="B782" s="253">
        <v>4270</v>
      </c>
      <c r="C782" s="237" t="s">
        <v>540</v>
      </c>
      <c r="D782" s="254">
        <v>12100</v>
      </c>
    </row>
    <row r="783" spans="1:4" ht="15">
      <c r="A783" s="251" t="s">
        <v>445</v>
      </c>
      <c r="B783" s="253">
        <v>4280</v>
      </c>
      <c r="C783" s="237" t="s">
        <v>563</v>
      </c>
      <c r="D783" s="254">
        <v>4700</v>
      </c>
    </row>
    <row r="784" spans="1:4" ht="15">
      <c r="A784" s="251" t="s">
        <v>445</v>
      </c>
      <c r="B784" s="253">
        <v>4300</v>
      </c>
      <c r="C784" s="237" t="s">
        <v>541</v>
      </c>
      <c r="D784" s="254">
        <v>405681</v>
      </c>
    </row>
    <row r="785" spans="1:4" ht="30">
      <c r="A785" s="251" t="s">
        <v>445</v>
      </c>
      <c r="B785" s="253">
        <v>4340</v>
      </c>
      <c r="C785" s="237" t="s">
        <v>585</v>
      </c>
      <c r="D785" s="254">
        <v>120000</v>
      </c>
    </row>
    <row r="786" spans="1:4" ht="15">
      <c r="A786" s="251" t="s">
        <v>445</v>
      </c>
      <c r="B786" s="253">
        <v>4360</v>
      </c>
      <c r="C786" s="237" t="s">
        <v>542</v>
      </c>
      <c r="D786" s="254">
        <v>45000</v>
      </c>
    </row>
    <row r="787" spans="1:4" ht="15">
      <c r="A787" s="251" t="s">
        <v>445</v>
      </c>
      <c r="B787" s="253">
        <v>4410</v>
      </c>
      <c r="C787" s="237" t="s">
        <v>545</v>
      </c>
      <c r="D787" s="254">
        <v>9800</v>
      </c>
    </row>
    <row r="788" spans="1:4" ht="15">
      <c r="A788" s="251" t="s">
        <v>445</v>
      </c>
      <c r="B788" s="253">
        <v>4430</v>
      </c>
      <c r="C788" s="237" t="s">
        <v>547</v>
      </c>
      <c r="D788" s="254">
        <v>19207</v>
      </c>
    </row>
    <row r="789" spans="1:4" ht="15">
      <c r="A789" s="251" t="s">
        <v>445</v>
      </c>
      <c r="B789" s="253">
        <v>4440</v>
      </c>
      <c r="C789" s="237" t="s">
        <v>564</v>
      </c>
      <c r="D789" s="254">
        <v>218290</v>
      </c>
    </row>
    <row r="790" spans="1:4" ht="15">
      <c r="A790" s="251" t="s">
        <v>445</v>
      </c>
      <c r="B790" s="253">
        <v>4700</v>
      </c>
      <c r="C790" s="237" t="s">
        <v>548</v>
      </c>
      <c r="D790" s="254">
        <v>4170</v>
      </c>
    </row>
    <row r="791" spans="1:4" ht="15">
      <c r="A791" s="251" t="s">
        <v>445</v>
      </c>
      <c r="B791" s="253">
        <v>6050</v>
      </c>
      <c r="C791" s="237" t="s">
        <v>560</v>
      </c>
      <c r="D791" s="254">
        <v>776000</v>
      </c>
    </row>
    <row r="792" spans="1:4" s="235" customFormat="1" ht="14.25">
      <c r="A792" s="251">
        <v>80147</v>
      </c>
      <c r="B792" s="251" t="s">
        <v>445</v>
      </c>
      <c r="C792" s="236" t="s">
        <v>58</v>
      </c>
      <c r="D792" s="252">
        <f>SUM(D793:D809)</f>
        <v>7529798</v>
      </c>
    </row>
    <row r="793" spans="1:4" ht="15">
      <c r="A793" s="251" t="s">
        <v>445</v>
      </c>
      <c r="B793" s="253">
        <v>3020</v>
      </c>
      <c r="C793" s="237" t="s">
        <v>561</v>
      </c>
      <c r="D793" s="254">
        <v>4635</v>
      </c>
    </row>
    <row r="794" spans="1:4" ht="15">
      <c r="A794" s="251" t="s">
        <v>445</v>
      </c>
      <c r="B794" s="253">
        <v>4010</v>
      </c>
      <c r="C794" s="237" t="s">
        <v>531</v>
      </c>
      <c r="D794" s="254">
        <v>5108105</v>
      </c>
    </row>
    <row r="795" spans="1:4" ht="15">
      <c r="A795" s="251" t="s">
        <v>445</v>
      </c>
      <c r="B795" s="253">
        <v>4040</v>
      </c>
      <c r="C795" s="237" t="s">
        <v>532</v>
      </c>
      <c r="D795" s="254">
        <v>370792</v>
      </c>
    </row>
    <row r="796" spans="1:4" ht="15">
      <c r="A796" s="251" t="s">
        <v>445</v>
      </c>
      <c r="B796" s="253">
        <v>4110</v>
      </c>
      <c r="C796" s="237" t="s">
        <v>533</v>
      </c>
      <c r="D796" s="254">
        <v>909040</v>
      </c>
    </row>
    <row r="797" spans="1:4" ht="30">
      <c r="A797" s="251" t="s">
        <v>445</v>
      </c>
      <c r="B797" s="253">
        <v>4120</v>
      </c>
      <c r="C797" s="237" t="s">
        <v>534</v>
      </c>
      <c r="D797" s="254">
        <v>106077</v>
      </c>
    </row>
    <row r="798" spans="1:4" ht="15">
      <c r="A798" s="251" t="s">
        <v>445</v>
      </c>
      <c r="B798" s="253">
        <v>4170</v>
      </c>
      <c r="C798" s="237" t="s">
        <v>535</v>
      </c>
      <c r="D798" s="254">
        <v>22400</v>
      </c>
    </row>
    <row r="799" spans="1:4" ht="15">
      <c r="A799" s="251" t="s">
        <v>445</v>
      </c>
      <c r="B799" s="253">
        <v>4210</v>
      </c>
      <c r="C799" s="237" t="s">
        <v>537</v>
      </c>
      <c r="D799" s="254">
        <v>129705</v>
      </c>
    </row>
    <row r="800" spans="1:4" ht="15">
      <c r="A800" s="251" t="s">
        <v>445</v>
      </c>
      <c r="B800" s="253">
        <v>4240</v>
      </c>
      <c r="C800" s="237" t="s">
        <v>584</v>
      </c>
      <c r="D800" s="254">
        <v>108000</v>
      </c>
    </row>
    <row r="801" spans="1:4" ht="15">
      <c r="A801" s="251" t="s">
        <v>445</v>
      </c>
      <c r="B801" s="253">
        <v>4260</v>
      </c>
      <c r="C801" s="237" t="s">
        <v>539</v>
      </c>
      <c r="D801" s="254">
        <v>267711</v>
      </c>
    </row>
    <row r="802" spans="1:4" ht="15">
      <c r="A802" s="251" t="s">
        <v>445</v>
      </c>
      <c r="B802" s="253">
        <v>4270</v>
      </c>
      <c r="C802" s="237" t="s">
        <v>540</v>
      </c>
      <c r="D802" s="254">
        <v>157700</v>
      </c>
    </row>
    <row r="803" spans="1:4" ht="15">
      <c r="A803" s="251" t="s">
        <v>445</v>
      </c>
      <c r="B803" s="253">
        <v>4280</v>
      </c>
      <c r="C803" s="237" t="s">
        <v>563</v>
      </c>
      <c r="D803" s="254">
        <v>4860</v>
      </c>
    </row>
    <row r="804" spans="1:4" ht="15">
      <c r="A804" s="251" t="s">
        <v>445</v>
      </c>
      <c r="B804" s="253">
        <v>4300</v>
      </c>
      <c r="C804" s="237" t="s">
        <v>541</v>
      </c>
      <c r="D804" s="254">
        <v>64384</v>
      </c>
    </row>
    <row r="805" spans="1:4" ht="15">
      <c r="A805" s="251" t="s">
        <v>445</v>
      </c>
      <c r="B805" s="253">
        <v>4360</v>
      </c>
      <c r="C805" s="237" t="s">
        <v>542</v>
      </c>
      <c r="D805" s="254">
        <v>20611</v>
      </c>
    </row>
    <row r="806" spans="1:4" ht="15">
      <c r="A806" s="251" t="s">
        <v>445</v>
      </c>
      <c r="B806" s="253">
        <v>4410</v>
      </c>
      <c r="C806" s="237" t="s">
        <v>545</v>
      </c>
      <c r="D806" s="254">
        <v>3800</v>
      </c>
    </row>
    <row r="807" spans="1:4" ht="15">
      <c r="A807" s="251" t="s">
        <v>445</v>
      </c>
      <c r="B807" s="253">
        <v>4430</v>
      </c>
      <c r="C807" s="237" t="s">
        <v>547</v>
      </c>
      <c r="D807" s="254">
        <v>9839</v>
      </c>
    </row>
    <row r="808" spans="1:4" ht="15">
      <c r="A808" s="251" t="s">
        <v>445</v>
      </c>
      <c r="B808" s="253">
        <v>4440</v>
      </c>
      <c r="C808" s="237" t="s">
        <v>564</v>
      </c>
      <c r="D808" s="254">
        <v>233439</v>
      </c>
    </row>
    <row r="809" spans="1:4" ht="15">
      <c r="A809" s="251" t="s">
        <v>445</v>
      </c>
      <c r="B809" s="253">
        <v>4700</v>
      </c>
      <c r="C809" s="237" t="s">
        <v>548</v>
      </c>
      <c r="D809" s="254">
        <v>8700</v>
      </c>
    </row>
    <row r="810" spans="1:4" s="235" customFormat="1" ht="42.75">
      <c r="A810" s="251">
        <v>80149</v>
      </c>
      <c r="B810" s="251" t="s">
        <v>445</v>
      </c>
      <c r="C810" s="236" t="s">
        <v>513</v>
      </c>
      <c r="D810" s="252">
        <f>SUM(D811:D823)</f>
        <v>1511283</v>
      </c>
    </row>
    <row r="811" spans="1:4" ht="15">
      <c r="A811" s="251" t="s">
        <v>445</v>
      </c>
      <c r="B811" s="253">
        <v>4010</v>
      </c>
      <c r="C811" s="237" t="s">
        <v>531</v>
      </c>
      <c r="D811" s="254">
        <v>1139162</v>
      </c>
    </row>
    <row r="812" spans="1:4" ht="15">
      <c r="A812" s="251" t="s">
        <v>445</v>
      </c>
      <c r="B812" s="253">
        <v>4040</v>
      </c>
      <c r="C812" s="237" t="s">
        <v>532</v>
      </c>
      <c r="D812" s="254">
        <v>49557</v>
      </c>
    </row>
    <row r="813" spans="1:4" ht="15">
      <c r="A813" s="251" t="s">
        <v>445</v>
      </c>
      <c r="B813" s="253">
        <v>4110</v>
      </c>
      <c r="C813" s="237" t="s">
        <v>533</v>
      </c>
      <c r="D813" s="254">
        <v>207550</v>
      </c>
    </row>
    <row r="814" spans="1:4" ht="30">
      <c r="A814" s="251" t="s">
        <v>445</v>
      </c>
      <c r="B814" s="253">
        <v>4120</v>
      </c>
      <c r="C814" s="237" t="s">
        <v>534</v>
      </c>
      <c r="D814" s="254">
        <v>29405</v>
      </c>
    </row>
    <row r="815" spans="1:4" ht="15">
      <c r="A815" s="251" t="s">
        <v>445</v>
      </c>
      <c r="B815" s="253">
        <v>4210</v>
      </c>
      <c r="C815" s="237" t="s">
        <v>537</v>
      </c>
      <c r="D815" s="254">
        <v>5000</v>
      </c>
    </row>
    <row r="816" spans="1:4" ht="15">
      <c r="A816" s="251" t="s">
        <v>445</v>
      </c>
      <c r="B816" s="253">
        <v>4240</v>
      </c>
      <c r="C816" s="237" t="s">
        <v>584</v>
      </c>
      <c r="D816" s="254">
        <v>2000</v>
      </c>
    </row>
    <row r="817" spans="1:4" ht="15">
      <c r="A817" s="251" t="s">
        <v>445</v>
      </c>
      <c r="B817" s="253">
        <v>4260</v>
      </c>
      <c r="C817" s="237" t="s">
        <v>539</v>
      </c>
      <c r="D817" s="254">
        <v>20000</v>
      </c>
    </row>
    <row r="818" spans="1:4" ht="15">
      <c r="A818" s="251" t="s">
        <v>445</v>
      </c>
      <c r="B818" s="253">
        <v>4270</v>
      </c>
      <c r="C818" s="237" t="s">
        <v>540</v>
      </c>
      <c r="D818" s="254">
        <v>1000</v>
      </c>
    </row>
    <row r="819" spans="1:4" ht="15">
      <c r="A819" s="251" t="s">
        <v>445</v>
      </c>
      <c r="B819" s="253">
        <v>4280</v>
      </c>
      <c r="C819" s="237" t="s">
        <v>563</v>
      </c>
      <c r="D819" s="254">
        <v>1300</v>
      </c>
    </row>
    <row r="820" spans="1:4" ht="15">
      <c r="A820" s="251" t="s">
        <v>445</v>
      </c>
      <c r="B820" s="253">
        <v>4300</v>
      </c>
      <c r="C820" s="237" t="s">
        <v>541</v>
      </c>
      <c r="D820" s="254">
        <v>5000</v>
      </c>
    </row>
    <row r="821" spans="1:4" ht="15">
      <c r="A821" s="255" t="s">
        <v>445</v>
      </c>
      <c r="B821" s="256">
        <v>4360</v>
      </c>
      <c r="C821" s="239" t="s">
        <v>542</v>
      </c>
      <c r="D821" s="257">
        <v>2500</v>
      </c>
    </row>
    <row r="822" spans="1:4" ht="15">
      <c r="A822" s="258" t="s">
        <v>445</v>
      </c>
      <c r="B822" s="259">
        <v>4440</v>
      </c>
      <c r="C822" s="240" t="s">
        <v>564</v>
      </c>
      <c r="D822" s="260">
        <v>48309</v>
      </c>
    </row>
    <row r="823" spans="1:4" ht="15">
      <c r="A823" s="251" t="s">
        <v>445</v>
      </c>
      <c r="B823" s="253">
        <v>4700</v>
      </c>
      <c r="C823" s="237" t="s">
        <v>548</v>
      </c>
      <c r="D823" s="254">
        <v>500</v>
      </c>
    </row>
    <row r="824" spans="1:4" s="235" customFormat="1" ht="14.25">
      <c r="A824" s="251">
        <v>80151</v>
      </c>
      <c r="B824" s="251" t="s">
        <v>445</v>
      </c>
      <c r="C824" s="236" t="s">
        <v>101</v>
      </c>
      <c r="D824" s="252">
        <f>SUM(D825:D828)</f>
        <v>120077</v>
      </c>
    </row>
    <row r="825" spans="1:4" ht="15">
      <c r="A825" s="251" t="s">
        <v>445</v>
      </c>
      <c r="B825" s="253">
        <v>4010</v>
      </c>
      <c r="C825" s="237" t="s">
        <v>531</v>
      </c>
      <c r="D825" s="254">
        <v>98594</v>
      </c>
    </row>
    <row r="826" spans="1:4" ht="15">
      <c r="A826" s="251" t="s">
        <v>445</v>
      </c>
      <c r="B826" s="253">
        <v>4040</v>
      </c>
      <c r="C826" s="237" t="s">
        <v>532</v>
      </c>
      <c r="D826" s="254">
        <v>2606</v>
      </c>
    </row>
    <row r="827" spans="1:4" ht="15">
      <c r="A827" s="251" t="s">
        <v>445</v>
      </c>
      <c r="B827" s="253">
        <v>4110</v>
      </c>
      <c r="C827" s="237" t="s">
        <v>533</v>
      </c>
      <c r="D827" s="254">
        <v>17670</v>
      </c>
    </row>
    <row r="828" spans="1:4" ht="30">
      <c r="A828" s="251" t="s">
        <v>445</v>
      </c>
      <c r="B828" s="253">
        <v>4120</v>
      </c>
      <c r="C828" s="237" t="s">
        <v>534</v>
      </c>
      <c r="D828" s="254">
        <v>1207</v>
      </c>
    </row>
    <row r="829" spans="1:4" s="235" customFormat="1" ht="14.25">
      <c r="A829" s="251">
        <v>80195</v>
      </c>
      <c r="B829" s="251" t="s">
        <v>445</v>
      </c>
      <c r="C829" s="236" t="s">
        <v>73</v>
      </c>
      <c r="D829" s="252">
        <f>SUM(D830:D862)</f>
        <v>9102452</v>
      </c>
    </row>
    <row r="830" spans="1:4" ht="61.5" customHeight="1">
      <c r="A830" s="251" t="s">
        <v>445</v>
      </c>
      <c r="B830" s="253">
        <v>2009</v>
      </c>
      <c r="C830" s="237" t="s">
        <v>529</v>
      </c>
      <c r="D830" s="254">
        <v>1168500</v>
      </c>
    </row>
    <row r="831" spans="1:4" ht="61.5" customHeight="1">
      <c r="A831" s="251" t="s">
        <v>445</v>
      </c>
      <c r="B831" s="253">
        <v>2057</v>
      </c>
      <c r="C831" s="237" t="s">
        <v>511</v>
      </c>
      <c r="D831" s="254">
        <v>652469</v>
      </c>
    </row>
    <row r="832" spans="1:4" ht="61.5" customHeight="1">
      <c r="A832" s="251" t="s">
        <v>445</v>
      </c>
      <c r="B832" s="253">
        <v>2059</v>
      </c>
      <c r="C832" s="237" t="s">
        <v>511</v>
      </c>
      <c r="D832" s="254">
        <v>3444366</v>
      </c>
    </row>
    <row r="833" spans="1:4" ht="15">
      <c r="A833" s="251" t="s">
        <v>445</v>
      </c>
      <c r="B833" s="253">
        <v>3020</v>
      </c>
      <c r="C833" s="237" t="s">
        <v>561</v>
      </c>
      <c r="D833" s="254">
        <v>100000</v>
      </c>
    </row>
    <row r="834" spans="1:4" ht="15">
      <c r="A834" s="251" t="s">
        <v>445</v>
      </c>
      <c r="B834" s="253">
        <v>4010</v>
      </c>
      <c r="C834" s="237" t="s">
        <v>531</v>
      </c>
      <c r="D834" s="254">
        <v>104073</v>
      </c>
    </row>
    <row r="835" spans="1:4" ht="15">
      <c r="A835" s="251" t="s">
        <v>445</v>
      </c>
      <c r="B835" s="253">
        <v>4017</v>
      </c>
      <c r="C835" s="237" t="s">
        <v>531</v>
      </c>
      <c r="D835" s="254">
        <v>295753</v>
      </c>
    </row>
    <row r="836" spans="1:4" ht="15">
      <c r="A836" s="251" t="s">
        <v>445</v>
      </c>
      <c r="B836" s="253">
        <v>4019</v>
      </c>
      <c r="C836" s="237" t="s">
        <v>531</v>
      </c>
      <c r="D836" s="254">
        <v>19965</v>
      </c>
    </row>
    <row r="837" spans="1:4" ht="15">
      <c r="A837" s="251" t="s">
        <v>445</v>
      </c>
      <c r="B837" s="253">
        <v>4049</v>
      </c>
      <c r="C837" s="237" t="s">
        <v>532</v>
      </c>
      <c r="D837" s="254">
        <v>1978</v>
      </c>
    </row>
    <row r="838" spans="1:4" ht="15">
      <c r="A838" s="251" t="s">
        <v>445</v>
      </c>
      <c r="B838" s="253">
        <v>4110</v>
      </c>
      <c r="C838" s="237" t="s">
        <v>533</v>
      </c>
      <c r="D838" s="254">
        <v>18005</v>
      </c>
    </row>
    <row r="839" spans="1:4" ht="15">
      <c r="A839" s="251" t="s">
        <v>445</v>
      </c>
      <c r="B839" s="253">
        <v>4111</v>
      </c>
      <c r="C839" s="237" t="s">
        <v>533</v>
      </c>
      <c r="D839" s="254">
        <v>3394</v>
      </c>
    </row>
    <row r="840" spans="1:4" ht="15">
      <c r="A840" s="251" t="s">
        <v>445</v>
      </c>
      <c r="B840" s="253">
        <v>4117</v>
      </c>
      <c r="C840" s="237" t="s">
        <v>533</v>
      </c>
      <c r="D840" s="254">
        <v>51181</v>
      </c>
    </row>
    <row r="841" spans="1:4" ht="15">
      <c r="A841" s="251" t="s">
        <v>445</v>
      </c>
      <c r="B841" s="253">
        <v>4119</v>
      </c>
      <c r="C841" s="237" t="s">
        <v>533</v>
      </c>
      <c r="D841" s="254">
        <v>3760</v>
      </c>
    </row>
    <row r="842" spans="1:4" ht="31.5" customHeight="1">
      <c r="A842" s="251" t="s">
        <v>445</v>
      </c>
      <c r="B842" s="253">
        <v>4120</v>
      </c>
      <c r="C842" s="237" t="s">
        <v>534</v>
      </c>
      <c r="D842" s="254">
        <v>2550</v>
      </c>
    </row>
    <row r="843" spans="1:4" ht="31.5" customHeight="1">
      <c r="A843" s="251" t="s">
        <v>445</v>
      </c>
      <c r="B843" s="253">
        <v>4121</v>
      </c>
      <c r="C843" s="237" t="s">
        <v>534</v>
      </c>
      <c r="D843" s="254">
        <v>82</v>
      </c>
    </row>
    <row r="844" spans="1:4" ht="31.5" customHeight="1">
      <c r="A844" s="251" t="s">
        <v>445</v>
      </c>
      <c r="B844" s="253">
        <v>4127</v>
      </c>
      <c r="C844" s="237" t="s">
        <v>534</v>
      </c>
      <c r="D844" s="254">
        <v>7004</v>
      </c>
    </row>
    <row r="845" spans="1:4" ht="31.5" customHeight="1">
      <c r="A845" s="251" t="s">
        <v>445</v>
      </c>
      <c r="B845" s="253">
        <v>4129</v>
      </c>
      <c r="C845" s="237" t="s">
        <v>534</v>
      </c>
      <c r="D845" s="254">
        <v>404</v>
      </c>
    </row>
    <row r="846" spans="1:4" ht="15.75" customHeight="1">
      <c r="A846" s="251" t="s">
        <v>445</v>
      </c>
      <c r="B846" s="253">
        <v>4170</v>
      </c>
      <c r="C846" s="237" t="s">
        <v>535</v>
      </c>
      <c r="D846" s="254">
        <v>3600</v>
      </c>
    </row>
    <row r="847" spans="1:4" ht="15.75" customHeight="1">
      <c r="A847" s="251" t="s">
        <v>445</v>
      </c>
      <c r="B847" s="253">
        <v>4171</v>
      </c>
      <c r="C847" s="237" t="s">
        <v>535</v>
      </c>
      <c r="D847" s="254">
        <v>19437</v>
      </c>
    </row>
    <row r="848" spans="1:4" ht="15.75" customHeight="1">
      <c r="A848" s="251" t="s">
        <v>445</v>
      </c>
      <c r="B848" s="253">
        <v>4177</v>
      </c>
      <c r="C848" s="237" t="s">
        <v>535</v>
      </c>
      <c r="D848" s="254">
        <v>42800</v>
      </c>
    </row>
    <row r="849" spans="1:4" ht="15.75" customHeight="1">
      <c r="A849" s="251" t="s">
        <v>445</v>
      </c>
      <c r="B849" s="253">
        <v>4179</v>
      </c>
      <c r="C849" s="237" t="s">
        <v>535</v>
      </c>
      <c r="D849" s="254">
        <v>5167</v>
      </c>
    </row>
    <row r="850" spans="1:4" ht="15.75" customHeight="1">
      <c r="A850" s="251" t="s">
        <v>445</v>
      </c>
      <c r="B850" s="253">
        <v>4190</v>
      </c>
      <c r="C850" s="237" t="s">
        <v>536</v>
      </c>
      <c r="D850" s="254">
        <v>156500</v>
      </c>
    </row>
    <row r="851" spans="1:4" ht="15.75" customHeight="1">
      <c r="A851" s="251" t="s">
        <v>445</v>
      </c>
      <c r="B851" s="253">
        <v>4210</v>
      </c>
      <c r="C851" s="237" t="s">
        <v>537</v>
      </c>
      <c r="D851" s="254">
        <v>39000</v>
      </c>
    </row>
    <row r="852" spans="1:4" ht="15.75" customHeight="1">
      <c r="A852" s="251" t="s">
        <v>445</v>
      </c>
      <c r="B852" s="253">
        <v>4220</v>
      </c>
      <c r="C852" s="237" t="s">
        <v>538</v>
      </c>
      <c r="D852" s="254">
        <v>1000</v>
      </c>
    </row>
    <row r="853" spans="1:4" ht="15.75" customHeight="1">
      <c r="A853" s="251" t="s">
        <v>445</v>
      </c>
      <c r="B853" s="253">
        <v>4267</v>
      </c>
      <c r="C853" s="237" t="s">
        <v>539</v>
      </c>
      <c r="D853" s="254">
        <v>2422</v>
      </c>
    </row>
    <row r="854" spans="1:4" ht="15.75" customHeight="1">
      <c r="A854" s="251" t="s">
        <v>445</v>
      </c>
      <c r="B854" s="253">
        <v>4300</v>
      </c>
      <c r="C854" s="237" t="s">
        <v>541</v>
      </c>
      <c r="D854" s="254">
        <v>152000</v>
      </c>
    </row>
    <row r="855" spans="1:4" ht="15.75" customHeight="1">
      <c r="A855" s="251" t="s">
        <v>445</v>
      </c>
      <c r="B855" s="253">
        <v>4307</v>
      </c>
      <c r="C855" s="237" t="s">
        <v>541</v>
      </c>
      <c r="D855" s="254">
        <v>956659</v>
      </c>
    </row>
    <row r="856" spans="1:4" ht="15.75" customHeight="1">
      <c r="A856" s="251" t="s">
        <v>445</v>
      </c>
      <c r="B856" s="253">
        <v>4309</v>
      </c>
      <c r="C856" s="237" t="s">
        <v>541</v>
      </c>
      <c r="D856" s="254">
        <v>100155</v>
      </c>
    </row>
    <row r="857" spans="1:4" ht="15.75" customHeight="1">
      <c r="A857" s="251" t="s">
        <v>445</v>
      </c>
      <c r="B857" s="253">
        <v>4417</v>
      </c>
      <c r="C857" s="237" t="s">
        <v>545</v>
      </c>
      <c r="D857" s="254">
        <v>10855</v>
      </c>
    </row>
    <row r="858" spans="1:4" ht="15.75" customHeight="1">
      <c r="A858" s="251" t="s">
        <v>445</v>
      </c>
      <c r="B858" s="253">
        <v>4419</v>
      </c>
      <c r="C858" s="237" t="s">
        <v>545</v>
      </c>
      <c r="D858" s="254">
        <v>1356</v>
      </c>
    </row>
    <row r="859" spans="1:4" ht="15.75" customHeight="1">
      <c r="A859" s="251" t="s">
        <v>445</v>
      </c>
      <c r="B859" s="253">
        <v>4440</v>
      </c>
      <c r="C859" s="237" t="s">
        <v>564</v>
      </c>
      <c r="D859" s="254">
        <v>632405</v>
      </c>
    </row>
    <row r="860" spans="1:4" ht="15.75" customHeight="1">
      <c r="A860" s="251" t="s">
        <v>445</v>
      </c>
      <c r="B860" s="253">
        <v>4700</v>
      </c>
      <c r="C860" s="237" t="s">
        <v>548</v>
      </c>
      <c r="D860" s="254">
        <v>8000</v>
      </c>
    </row>
    <row r="861" spans="1:4" ht="63" customHeight="1">
      <c r="A861" s="251" t="s">
        <v>445</v>
      </c>
      <c r="B861" s="253">
        <v>6209</v>
      </c>
      <c r="C861" s="237" t="s">
        <v>575</v>
      </c>
      <c r="D861" s="254">
        <v>51750</v>
      </c>
    </row>
    <row r="862" spans="1:4" ht="63" customHeight="1">
      <c r="A862" s="255" t="s">
        <v>445</v>
      </c>
      <c r="B862" s="256">
        <v>6259</v>
      </c>
      <c r="C862" s="239" t="s">
        <v>448</v>
      </c>
      <c r="D862" s="257">
        <v>1045862</v>
      </c>
    </row>
    <row r="863" spans="1:4" ht="15">
      <c r="A863" s="261" t="s">
        <v>43</v>
      </c>
      <c r="B863" s="261" t="s">
        <v>445</v>
      </c>
      <c r="C863" s="238" t="s">
        <v>44</v>
      </c>
      <c r="D863" s="262">
        <f>D864+D867+D869+D871+D873+D882+D888+D894+D896</f>
        <v>38800952</v>
      </c>
    </row>
    <row r="864" spans="1:4" s="235" customFormat="1" ht="14.25">
      <c r="A864" s="251">
        <v>85111</v>
      </c>
      <c r="B864" s="251" t="s">
        <v>445</v>
      </c>
      <c r="C864" s="236" t="s">
        <v>189</v>
      </c>
      <c r="D864" s="252">
        <f>SUM(D865:D866)</f>
        <v>13517057</v>
      </c>
    </row>
    <row r="865" spans="1:4" ht="60">
      <c r="A865" s="251" t="s">
        <v>445</v>
      </c>
      <c r="B865" s="253">
        <v>6209</v>
      </c>
      <c r="C865" s="237" t="s">
        <v>575</v>
      </c>
      <c r="D865" s="254">
        <v>10517057</v>
      </c>
    </row>
    <row r="866" spans="1:4" ht="33.75" customHeight="1">
      <c r="A866" s="251" t="s">
        <v>445</v>
      </c>
      <c r="B866" s="253">
        <v>6220</v>
      </c>
      <c r="C866" s="237" t="s">
        <v>576</v>
      </c>
      <c r="D866" s="254">
        <v>3000000</v>
      </c>
    </row>
    <row r="867" spans="1:4" s="235" customFormat="1" ht="14.25">
      <c r="A867" s="251">
        <v>85120</v>
      </c>
      <c r="B867" s="251" t="s">
        <v>445</v>
      </c>
      <c r="C867" s="236" t="s">
        <v>343</v>
      </c>
      <c r="D867" s="252">
        <f>D868</f>
        <v>720000</v>
      </c>
    </row>
    <row r="868" spans="1:4" ht="34.5" customHeight="1">
      <c r="A868" s="251" t="s">
        <v>445</v>
      </c>
      <c r="B868" s="253">
        <v>6220</v>
      </c>
      <c r="C868" s="237" t="s">
        <v>576</v>
      </c>
      <c r="D868" s="254">
        <v>720000</v>
      </c>
    </row>
    <row r="869" spans="1:4" s="235" customFormat="1" ht="14.25">
      <c r="A869" s="251">
        <v>85141</v>
      </c>
      <c r="B869" s="251" t="s">
        <v>445</v>
      </c>
      <c r="C869" s="236" t="s">
        <v>190</v>
      </c>
      <c r="D869" s="252">
        <f>D870</f>
        <v>24212</v>
      </c>
    </row>
    <row r="870" spans="1:4" ht="35.25" customHeight="1">
      <c r="A870" s="251" t="s">
        <v>445</v>
      </c>
      <c r="B870" s="253">
        <v>6220</v>
      </c>
      <c r="C870" s="237" t="s">
        <v>576</v>
      </c>
      <c r="D870" s="254">
        <v>24212</v>
      </c>
    </row>
    <row r="871" spans="1:4" s="235" customFormat="1" ht="14.25">
      <c r="A871" s="251">
        <v>85148</v>
      </c>
      <c r="B871" s="251" t="s">
        <v>445</v>
      </c>
      <c r="C871" s="236" t="s">
        <v>191</v>
      </c>
      <c r="D871" s="252">
        <f>D872</f>
        <v>3435114</v>
      </c>
    </row>
    <row r="872" spans="1:4" ht="15">
      <c r="A872" s="251" t="s">
        <v>445</v>
      </c>
      <c r="B872" s="253">
        <v>4280</v>
      </c>
      <c r="C872" s="237" t="s">
        <v>563</v>
      </c>
      <c r="D872" s="254">
        <v>3435114</v>
      </c>
    </row>
    <row r="873" spans="1:4" s="235" customFormat="1" ht="14.25">
      <c r="A873" s="251">
        <v>85149</v>
      </c>
      <c r="B873" s="251" t="s">
        <v>445</v>
      </c>
      <c r="C873" s="236" t="s">
        <v>192</v>
      </c>
      <c r="D873" s="252">
        <f>SUM(D874:D881)</f>
        <v>2685000</v>
      </c>
    </row>
    <row r="874" spans="1:4" ht="60">
      <c r="A874" s="251" t="s">
        <v>445</v>
      </c>
      <c r="B874" s="253">
        <v>2009</v>
      </c>
      <c r="C874" s="237" t="s">
        <v>529</v>
      </c>
      <c r="D874" s="254">
        <v>1510000</v>
      </c>
    </row>
    <row r="875" spans="1:4" ht="45">
      <c r="A875" s="251" t="s">
        <v>445</v>
      </c>
      <c r="B875" s="253">
        <v>2360</v>
      </c>
      <c r="C875" s="237" t="s">
        <v>572</v>
      </c>
      <c r="D875" s="254">
        <v>200000</v>
      </c>
    </row>
    <row r="876" spans="1:4" ht="30">
      <c r="A876" s="251" t="s">
        <v>445</v>
      </c>
      <c r="B876" s="253">
        <v>2780</v>
      </c>
      <c r="C876" s="237" t="s">
        <v>586</v>
      </c>
      <c r="D876" s="254">
        <v>875000</v>
      </c>
    </row>
    <row r="877" spans="1:4" ht="15">
      <c r="A877" s="251" t="s">
        <v>445</v>
      </c>
      <c r="B877" s="253">
        <v>4170</v>
      </c>
      <c r="C877" s="237" t="s">
        <v>535</v>
      </c>
      <c r="D877" s="254">
        <v>1000</v>
      </c>
    </row>
    <row r="878" spans="1:4" ht="15">
      <c r="A878" s="251" t="s">
        <v>445</v>
      </c>
      <c r="B878" s="253">
        <v>4190</v>
      </c>
      <c r="C878" s="237" t="s">
        <v>536</v>
      </c>
      <c r="D878" s="254">
        <v>2000</v>
      </c>
    </row>
    <row r="879" spans="1:4" ht="15">
      <c r="A879" s="251" t="s">
        <v>445</v>
      </c>
      <c r="B879" s="253">
        <v>4210</v>
      </c>
      <c r="C879" s="237" t="s">
        <v>537</v>
      </c>
      <c r="D879" s="254">
        <v>2000</v>
      </c>
    </row>
    <row r="880" spans="1:4" ht="15">
      <c r="A880" s="251" t="s">
        <v>445</v>
      </c>
      <c r="B880" s="253">
        <v>4300</v>
      </c>
      <c r="C880" s="237" t="s">
        <v>541</v>
      </c>
      <c r="D880" s="254">
        <v>70000</v>
      </c>
    </row>
    <row r="881" spans="1:4" ht="60">
      <c r="A881" s="251" t="s">
        <v>445</v>
      </c>
      <c r="B881" s="253">
        <v>6209</v>
      </c>
      <c r="C881" s="237" t="s">
        <v>575</v>
      </c>
      <c r="D881" s="254">
        <v>25000</v>
      </c>
    </row>
    <row r="882" spans="1:4" s="235" customFormat="1" ht="14.25">
      <c r="A882" s="251">
        <v>85153</v>
      </c>
      <c r="B882" s="251" t="s">
        <v>445</v>
      </c>
      <c r="C882" s="236" t="s">
        <v>193</v>
      </c>
      <c r="D882" s="252">
        <f>SUM(D883:D887)</f>
        <v>480000</v>
      </c>
    </row>
    <row r="883" spans="1:4" ht="45">
      <c r="A883" s="251" t="s">
        <v>445</v>
      </c>
      <c r="B883" s="253">
        <v>2360</v>
      </c>
      <c r="C883" s="237" t="s">
        <v>572</v>
      </c>
      <c r="D883" s="254">
        <v>350000</v>
      </c>
    </row>
    <row r="884" spans="1:4" ht="15">
      <c r="A884" s="251" t="s">
        <v>445</v>
      </c>
      <c r="B884" s="253">
        <v>4170</v>
      </c>
      <c r="C884" s="237" t="s">
        <v>535</v>
      </c>
      <c r="D884" s="254">
        <v>14000</v>
      </c>
    </row>
    <row r="885" spans="1:4" ht="15">
      <c r="A885" s="251" t="s">
        <v>445</v>
      </c>
      <c r="B885" s="253">
        <v>4190</v>
      </c>
      <c r="C885" s="237" t="s">
        <v>536</v>
      </c>
      <c r="D885" s="254">
        <v>11000</v>
      </c>
    </row>
    <row r="886" spans="1:4" ht="15">
      <c r="A886" s="251" t="s">
        <v>445</v>
      </c>
      <c r="B886" s="253">
        <v>4210</v>
      </c>
      <c r="C886" s="237" t="s">
        <v>537</v>
      </c>
      <c r="D886" s="254">
        <v>7000</v>
      </c>
    </row>
    <row r="887" spans="1:4" ht="15">
      <c r="A887" s="251" t="s">
        <v>445</v>
      </c>
      <c r="B887" s="253">
        <v>4300</v>
      </c>
      <c r="C887" s="237" t="s">
        <v>541</v>
      </c>
      <c r="D887" s="254">
        <v>98000</v>
      </c>
    </row>
    <row r="888" spans="1:4" s="235" customFormat="1" ht="14.25">
      <c r="A888" s="251">
        <v>85154</v>
      </c>
      <c r="B888" s="251" t="s">
        <v>445</v>
      </c>
      <c r="C888" s="236" t="s">
        <v>194</v>
      </c>
      <c r="D888" s="252">
        <f>SUM(D889:D893)</f>
        <v>390000</v>
      </c>
    </row>
    <row r="889" spans="1:4" ht="45">
      <c r="A889" s="251" t="s">
        <v>445</v>
      </c>
      <c r="B889" s="253">
        <v>2360</v>
      </c>
      <c r="C889" s="237" t="s">
        <v>572</v>
      </c>
      <c r="D889" s="254">
        <v>330000</v>
      </c>
    </row>
    <row r="890" spans="1:4" ht="30">
      <c r="A890" s="251" t="s">
        <v>445</v>
      </c>
      <c r="B890" s="253">
        <v>2800</v>
      </c>
      <c r="C890" s="237" t="s">
        <v>555</v>
      </c>
      <c r="D890" s="254">
        <v>30000</v>
      </c>
    </row>
    <row r="891" spans="1:4" ht="15">
      <c r="A891" s="251" t="s">
        <v>445</v>
      </c>
      <c r="B891" s="253">
        <v>4170</v>
      </c>
      <c r="C891" s="237" t="s">
        <v>535</v>
      </c>
      <c r="D891" s="254">
        <v>3000</v>
      </c>
    </row>
    <row r="892" spans="1:4" ht="15">
      <c r="A892" s="251" t="s">
        <v>445</v>
      </c>
      <c r="B892" s="253">
        <v>4210</v>
      </c>
      <c r="C892" s="237" t="s">
        <v>537</v>
      </c>
      <c r="D892" s="254">
        <v>4000</v>
      </c>
    </row>
    <row r="893" spans="1:4" ht="15">
      <c r="A893" s="251" t="s">
        <v>445</v>
      </c>
      <c r="B893" s="253">
        <v>4300</v>
      </c>
      <c r="C893" s="237" t="s">
        <v>541</v>
      </c>
      <c r="D893" s="254">
        <v>23000</v>
      </c>
    </row>
    <row r="894" spans="1:4" s="235" customFormat="1" ht="28.5">
      <c r="A894" s="251">
        <v>85156</v>
      </c>
      <c r="B894" s="251" t="s">
        <v>445</v>
      </c>
      <c r="C894" s="236" t="s">
        <v>59</v>
      </c>
      <c r="D894" s="252">
        <f>D895</f>
        <v>16000</v>
      </c>
    </row>
    <row r="895" spans="1:4" ht="15">
      <c r="A895" s="251" t="s">
        <v>445</v>
      </c>
      <c r="B895" s="253">
        <v>4130</v>
      </c>
      <c r="C895" s="237" t="s">
        <v>587</v>
      </c>
      <c r="D895" s="254">
        <v>16000</v>
      </c>
    </row>
    <row r="896" spans="1:4" s="235" customFormat="1" ht="14.25">
      <c r="A896" s="251">
        <v>85195</v>
      </c>
      <c r="B896" s="251" t="s">
        <v>445</v>
      </c>
      <c r="C896" s="236" t="s">
        <v>73</v>
      </c>
      <c r="D896" s="252">
        <f>SUM(D897:D909)</f>
        <v>17533569</v>
      </c>
    </row>
    <row r="897" spans="1:4" ht="60">
      <c r="A897" s="251" t="s">
        <v>445</v>
      </c>
      <c r="B897" s="253">
        <v>2009</v>
      </c>
      <c r="C897" s="237" t="s">
        <v>529</v>
      </c>
      <c r="D897" s="254">
        <v>1012000</v>
      </c>
    </row>
    <row r="898" spans="1:4" ht="60">
      <c r="A898" s="255" t="s">
        <v>445</v>
      </c>
      <c r="B898" s="256">
        <v>2059</v>
      </c>
      <c r="C898" s="239" t="s">
        <v>511</v>
      </c>
      <c r="D898" s="257">
        <v>40500</v>
      </c>
    </row>
    <row r="899" spans="1:4" ht="15">
      <c r="A899" s="258" t="s">
        <v>445</v>
      </c>
      <c r="B899" s="259">
        <v>4017</v>
      </c>
      <c r="C899" s="240" t="s">
        <v>531</v>
      </c>
      <c r="D899" s="260">
        <v>53824</v>
      </c>
    </row>
    <row r="900" spans="1:4" ht="15">
      <c r="A900" s="251" t="s">
        <v>445</v>
      </c>
      <c r="B900" s="253">
        <v>4019</v>
      </c>
      <c r="C900" s="237" t="s">
        <v>531</v>
      </c>
      <c r="D900" s="254">
        <v>9498</v>
      </c>
    </row>
    <row r="901" spans="1:4" ht="15">
      <c r="A901" s="251" t="s">
        <v>445</v>
      </c>
      <c r="B901" s="253">
        <v>4117</v>
      </c>
      <c r="C901" s="237" t="s">
        <v>533</v>
      </c>
      <c r="D901" s="254">
        <v>9252</v>
      </c>
    </row>
    <row r="902" spans="1:4" ht="15">
      <c r="A902" s="251" t="s">
        <v>445</v>
      </c>
      <c r="B902" s="253">
        <v>4119</v>
      </c>
      <c r="C902" s="237" t="s">
        <v>533</v>
      </c>
      <c r="D902" s="254">
        <v>1633</v>
      </c>
    </row>
    <row r="903" spans="1:4" ht="30">
      <c r="A903" s="251" t="s">
        <v>445</v>
      </c>
      <c r="B903" s="253">
        <v>4127</v>
      </c>
      <c r="C903" s="237" t="s">
        <v>534</v>
      </c>
      <c r="D903" s="254">
        <v>1319</v>
      </c>
    </row>
    <row r="904" spans="1:4" ht="30">
      <c r="A904" s="251" t="s">
        <v>445</v>
      </c>
      <c r="B904" s="253">
        <v>4129</v>
      </c>
      <c r="C904" s="237" t="s">
        <v>534</v>
      </c>
      <c r="D904" s="254">
        <v>233</v>
      </c>
    </row>
    <row r="905" spans="1:4" ht="15">
      <c r="A905" s="251" t="s">
        <v>445</v>
      </c>
      <c r="B905" s="253">
        <v>4300</v>
      </c>
      <c r="C905" s="237" t="s">
        <v>541</v>
      </c>
      <c r="D905" s="254">
        <v>12000</v>
      </c>
    </row>
    <row r="906" spans="1:4" ht="15">
      <c r="A906" s="251" t="s">
        <v>445</v>
      </c>
      <c r="B906" s="253">
        <v>4307</v>
      </c>
      <c r="C906" s="237" t="s">
        <v>541</v>
      </c>
      <c r="D906" s="254">
        <v>310939</v>
      </c>
    </row>
    <row r="907" spans="1:4" ht="15">
      <c r="A907" s="251" t="s">
        <v>445</v>
      </c>
      <c r="B907" s="253">
        <v>4309</v>
      </c>
      <c r="C907" s="237" t="s">
        <v>541</v>
      </c>
      <c r="D907" s="254">
        <v>54871</v>
      </c>
    </row>
    <row r="908" spans="1:4" ht="15">
      <c r="A908" s="251" t="s">
        <v>445</v>
      </c>
      <c r="B908" s="253">
        <v>6010</v>
      </c>
      <c r="C908" s="237" t="s">
        <v>573</v>
      </c>
      <c r="D908" s="254">
        <v>15962500</v>
      </c>
    </row>
    <row r="909" spans="1:4" ht="59.25" customHeight="1">
      <c r="A909" s="251" t="s">
        <v>445</v>
      </c>
      <c r="B909" s="253">
        <v>6209</v>
      </c>
      <c r="C909" s="237" t="s">
        <v>575</v>
      </c>
      <c r="D909" s="254">
        <v>65000</v>
      </c>
    </row>
    <row r="910" spans="1:4" s="235" customFormat="1" ht="14.25">
      <c r="A910" s="261" t="s">
        <v>8</v>
      </c>
      <c r="B910" s="261" t="s">
        <v>445</v>
      </c>
      <c r="C910" s="238" t="s">
        <v>45</v>
      </c>
      <c r="D910" s="262">
        <f>D911+D913+D922+D947+D949</f>
        <v>26974573</v>
      </c>
    </row>
    <row r="911" spans="1:4" s="235" customFormat="1" ht="14.25">
      <c r="A911" s="251">
        <v>85203</v>
      </c>
      <c r="B911" s="251" t="s">
        <v>445</v>
      </c>
      <c r="C911" s="236" t="s">
        <v>195</v>
      </c>
      <c r="D911" s="252">
        <f>D912</f>
        <v>1500000</v>
      </c>
    </row>
    <row r="912" spans="1:4" ht="62.25" customHeight="1">
      <c r="A912" s="251" t="s">
        <v>445</v>
      </c>
      <c r="B912" s="253">
        <v>2009</v>
      </c>
      <c r="C912" s="237" t="s">
        <v>529</v>
      </c>
      <c r="D912" s="254">
        <v>1500000</v>
      </c>
    </row>
    <row r="913" spans="1:4" s="235" customFormat="1" ht="14.25">
      <c r="A913" s="251">
        <v>85205</v>
      </c>
      <c r="B913" s="251" t="s">
        <v>445</v>
      </c>
      <c r="C913" s="236" t="s">
        <v>86</v>
      </c>
      <c r="D913" s="252">
        <f>SUM(D914:D921)</f>
        <v>500000</v>
      </c>
    </row>
    <row r="914" spans="1:4" ht="32.25" customHeight="1">
      <c r="A914" s="251" t="s">
        <v>445</v>
      </c>
      <c r="B914" s="253">
        <v>2800</v>
      </c>
      <c r="C914" s="237" t="s">
        <v>555</v>
      </c>
      <c r="D914" s="254">
        <v>30000</v>
      </c>
    </row>
    <row r="915" spans="1:4" ht="15">
      <c r="A915" s="251" t="s">
        <v>445</v>
      </c>
      <c r="B915" s="253">
        <v>4110</v>
      </c>
      <c r="C915" s="237" t="s">
        <v>533</v>
      </c>
      <c r="D915" s="254">
        <v>6000</v>
      </c>
    </row>
    <row r="916" spans="1:4" ht="30">
      <c r="A916" s="251" t="s">
        <v>445</v>
      </c>
      <c r="B916" s="253">
        <v>4120</v>
      </c>
      <c r="C916" s="237" t="s">
        <v>534</v>
      </c>
      <c r="D916" s="254">
        <v>1000</v>
      </c>
    </row>
    <row r="917" spans="1:4" ht="15">
      <c r="A917" s="251" t="s">
        <v>445</v>
      </c>
      <c r="B917" s="253">
        <v>4170</v>
      </c>
      <c r="C917" s="237" t="s">
        <v>535</v>
      </c>
      <c r="D917" s="254">
        <v>178500</v>
      </c>
    </row>
    <row r="918" spans="1:4" ht="15">
      <c r="A918" s="251" t="s">
        <v>445</v>
      </c>
      <c r="B918" s="253">
        <v>4210</v>
      </c>
      <c r="C918" s="237" t="s">
        <v>537</v>
      </c>
      <c r="D918" s="254">
        <v>2000</v>
      </c>
    </row>
    <row r="919" spans="1:4" ht="15">
      <c r="A919" s="251" t="s">
        <v>445</v>
      </c>
      <c r="B919" s="253">
        <v>4220</v>
      </c>
      <c r="C919" s="237" t="s">
        <v>538</v>
      </c>
      <c r="D919" s="254">
        <v>1000</v>
      </c>
    </row>
    <row r="920" spans="1:4" ht="15">
      <c r="A920" s="251" t="s">
        <v>445</v>
      </c>
      <c r="B920" s="253">
        <v>4300</v>
      </c>
      <c r="C920" s="237" t="s">
        <v>541</v>
      </c>
      <c r="D920" s="254">
        <v>277500</v>
      </c>
    </row>
    <row r="921" spans="1:4" ht="15">
      <c r="A921" s="251" t="s">
        <v>445</v>
      </c>
      <c r="B921" s="253">
        <v>4360</v>
      </c>
      <c r="C921" s="237" t="s">
        <v>542</v>
      </c>
      <c r="D921" s="254">
        <v>4000</v>
      </c>
    </row>
    <row r="922" spans="1:4" s="235" customFormat="1" ht="14.25">
      <c r="A922" s="251">
        <v>85217</v>
      </c>
      <c r="B922" s="251" t="s">
        <v>445</v>
      </c>
      <c r="C922" s="236" t="s">
        <v>60</v>
      </c>
      <c r="D922" s="252">
        <f>SUM(D923:D946)</f>
        <v>3280827</v>
      </c>
    </row>
    <row r="923" spans="1:4" ht="15">
      <c r="A923" s="251" t="s">
        <v>445</v>
      </c>
      <c r="B923" s="253">
        <v>3020</v>
      </c>
      <c r="C923" s="237" t="s">
        <v>561</v>
      </c>
      <c r="D923" s="254">
        <v>3900</v>
      </c>
    </row>
    <row r="924" spans="1:4" ht="15">
      <c r="A924" s="251" t="s">
        <v>445</v>
      </c>
      <c r="B924" s="253">
        <v>4010</v>
      </c>
      <c r="C924" s="237" t="s">
        <v>531</v>
      </c>
      <c r="D924" s="254">
        <v>1654808</v>
      </c>
    </row>
    <row r="925" spans="1:4" ht="15">
      <c r="A925" s="251" t="s">
        <v>445</v>
      </c>
      <c r="B925" s="253">
        <v>4040</v>
      </c>
      <c r="C925" s="237" t="s">
        <v>532</v>
      </c>
      <c r="D925" s="254">
        <v>132584</v>
      </c>
    </row>
    <row r="926" spans="1:4" ht="15">
      <c r="A926" s="251" t="s">
        <v>445</v>
      </c>
      <c r="B926" s="253">
        <v>4110</v>
      </c>
      <c r="C926" s="237" t="s">
        <v>533</v>
      </c>
      <c r="D926" s="254">
        <v>295465</v>
      </c>
    </row>
    <row r="927" spans="1:4" ht="30">
      <c r="A927" s="251" t="s">
        <v>445</v>
      </c>
      <c r="B927" s="253">
        <v>4120</v>
      </c>
      <c r="C927" s="237" t="s">
        <v>534</v>
      </c>
      <c r="D927" s="254">
        <v>42333</v>
      </c>
    </row>
    <row r="928" spans="1:4" ht="14.25" customHeight="1">
      <c r="A928" s="251" t="s">
        <v>445</v>
      </c>
      <c r="B928" s="253">
        <v>4140</v>
      </c>
      <c r="C928" s="237" t="s">
        <v>562</v>
      </c>
      <c r="D928" s="254">
        <v>68770</v>
      </c>
    </row>
    <row r="929" spans="1:4" ht="14.25" customHeight="1">
      <c r="A929" s="251" t="s">
        <v>445</v>
      </c>
      <c r="B929" s="253">
        <v>4170</v>
      </c>
      <c r="C929" s="237" t="s">
        <v>535</v>
      </c>
      <c r="D929" s="254">
        <v>5000</v>
      </c>
    </row>
    <row r="930" spans="1:4" ht="14.25" customHeight="1">
      <c r="A930" s="251" t="s">
        <v>445</v>
      </c>
      <c r="B930" s="253">
        <v>4210</v>
      </c>
      <c r="C930" s="237" t="s">
        <v>537</v>
      </c>
      <c r="D930" s="254">
        <v>66000</v>
      </c>
    </row>
    <row r="931" spans="1:4" ht="14.25" customHeight="1">
      <c r="A931" s="251" t="s">
        <v>445</v>
      </c>
      <c r="B931" s="253">
        <v>4220</v>
      </c>
      <c r="C931" s="237" t="s">
        <v>538</v>
      </c>
      <c r="D931" s="254">
        <v>1000</v>
      </c>
    </row>
    <row r="932" spans="1:4" ht="14.25" customHeight="1">
      <c r="A932" s="251" t="s">
        <v>445</v>
      </c>
      <c r="B932" s="253">
        <v>4260</v>
      </c>
      <c r="C932" s="237" t="s">
        <v>539</v>
      </c>
      <c r="D932" s="254">
        <v>67300</v>
      </c>
    </row>
    <row r="933" spans="1:4" ht="14.25" customHeight="1">
      <c r="A933" s="251" t="s">
        <v>445</v>
      </c>
      <c r="B933" s="253">
        <v>4270</v>
      </c>
      <c r="C933" s="237" t="s">
        <v>540</v>
      </c>
      <c r="D933" s="254">
        <v>13000</v>
      </c>
    </row>
    <row r="934" spans="1:4" ht="14.25" customHeight="1">
      <c r="A934" s="251" t="s">
        <v>445</v>
      </c>
      <c r="B934" s="253">
        <v>4280</v>
      </c>
      <c r="C934" s="237" t="s">
        <v>563</v>
      </c>
      <c r="D934" s="254">
        <v>3270</v>
      </c>
    </row>
    <row r="935" spans="1:4" ht="14.25" customHeight="1">
      <c r="A935" s="251" t="s">
        <v>445</v>
      </c>
      <c r="B935" s="253">
        <v>4300</v>
      </c>
      <c r="C935" s="237" t="s">
        <v>541</v>
      </c>
      <c r="D935" s="254">
        <v>150000</v>
      </c>
    </row>
    <row r="936" spans="1:4" ht="14.25" customHeight="1">
      <c r="A936" s="251" t="s">
        <v>445</v>
      </c>
      <c r="B936" s="253">
        <v>4360</v>
      </c>
      <c r="C936" s="237" t="s">
        <v>542</v>
      </c>
      <c r="D936" s="254">
        <v>20700</v>
      </c>
    </row>
    <row r="937" spans="1:4" ht="14.25" customHeight="1">
      <c r="A937" s="251" t="s">
        <v>445</v>
      </c>
      <c r="B937" s="253">
        <v>4410</v>
      </c>
      <c r="C937" s="237" t="s">
        <v>545</v>
      </c>
      <c r="D937" s="254">
        <v>8000</v>
      </c>
    </row>
    <row r="938" spans="1:4" ht="14.25" customHeight="1">
      <c r="A938" s="251" t="s">
        <v>445</v>
      </c>
      <c r="B938" s="253">
        <v>4430</v>
      </c>
      <c r="C938" s="237" t="s">
        <v>547</v>
      </c>
      <c r="D938" s="254">
        <v>4300</v>
      </c>
    </row>
    <row r="939" spans="1:4" ht="14.25" customHeight="1">
      <c r="A939" s="251" t="s">
        <v>445</v>
      </c>
      <c r="B939" s="253">
        <v>4440</v>
      </c>
      <c r="C939" s="237" t="s">
        <v>564</v>
      </c>
      <c r="D939" s="254">
        <v>54404</v>
      </c>
    </row>
    <row r="940" spans="1:4" ht="14.25" customHeight="1">
      <c r="A940" s="251" t="s">
        <v>445</v>
      </c>
      <c r="B940" s="253">
        <v>4480</v>
      </c>
      <c r="C940" s="237" t="s">
        <v>565</v>
      </c>
      <c r="D940" s="254">
        <v>8800</v>
      </c>
    </row>
    <row r="941" spans="1:4" ht="14.25" customHeight="1">
      <c r="A941" s="251" t="s">
        <v>445</v>
      </c>
      <c r="B941" s="253">
        <v>4510</v>
      </c>
      <c r="C941" s="237" t="s">
        <v>567</v>
      </c>
      <c r="D941" s="254">
        <v>300</v>
      </c>
    </row>
    <row r="942" spans="1:4" ht="14.25" customHeight="1">
      <c r="A942" s="251" t="s">
        <v>445</v>
      </c>
      <c r="B942" s="253">
        <v>4520</v>
      </c>
      <c r="C942" s="237" t="s">
        <v>568</v>
      </c>
      <c r="D942" s="254">
        <v>25762</v>
      </c>
    </row>
    <row r="943" spans="1:4" ht="14.25" customHeight="1">
      <c r="A943" s="251" t="s">
        <v>445</v>
      </c>
      <c r="B943" s="253">
        <v>4700</v>
      </c>
      <c r="C943" s="237" t="s">
        <v>548</v>
      </c>
      <c r="D943" s="254">
        <v>5000</v>
      </c>
    </row>
    <row r="944" spans="1:4" ht="14.25" customHeight="1">
      <c r="A944" s="251" t="s">
        <v>445</v>
      </c>
      <c r="B944" s="253">
        <v>6050</v>
      </c>
      <c r="C944" s="237" t="s">
        <v>560</v>
      </c>
      <c r="D944" s="254">
        <v>50136</v>
      </c>
    </row>
    <row r="945" spans="1:4" ht="14.25" customHeight="1">
      <c r="A945" s="251" t="s">
        <v>445</v>
      </c>
      <c r="B945" s="253">
        <v>6057</v>
      </c>
      <c r="C945" s="237" t="s">
        <v>560</v>
      </c>
      <c r="D945" s="254">
        <v>509996</v>
      </c>
    </row>
    <row r="946" spans="1:4" ht="14.25" customHeight="1">
      <c r="A946" s="251" t="s">
        <v>445</v>
      </c>
      <c r="B946" s="253">
        <v>6059</v>
      </c>
      <c r="C946" s="237" t="s">
        <v>560</v>
      </c>
      <c r="D946" s="254">
        <v>89999</v>
      </c>
    </row>
    <row r="947" spans="1:4" s="235" customFormat="1" ht="14.25">
      <c r="A947" s="251">
        <v>85228</v>
      </c>
      <c r="B947" s="251" t="s">
        <v>445</v>
      </c>
      <c r="C947" s="236" t="s">
        <v>196</v>
      </c>
      <c r="D947" s="252">
        <f>D948</f>
        <v>115000</v>
      </c>
    </row>
    <row r="948" spans="1:4" ht="60">
      <c r="A948" s="255" t="s">
        <v>445</v>
      </c>
      <c r="B948" s="256">
        <v>2059</v>
      </c>
      <c r="C948" s="239" t="s">
        <v>511</v>
      </c>
      <c r="D948" s="257">
        <v>115000</v>
      </c>
    </row>
    <row r="949" spans="1:4" s="235" customFormat="1" ht="14.25">
      <c r="A949" s="258">
        <v>85295</v>
      </c>
      <c r="B949" s="258" t="s">
        <v>445</v>
      </c>
      <c r="C949" s="242" t="s">
        <v>73</v>
      </c>
      <c r="D949" s="264">
        <f>SUM(D950:D992)</f>
        <v>21578746</v>
      </c>
    </row>
    <row r="950" spans="1:4" ht="60">
      <c r="A950" s="251" t="s">
        <v>445</v>
      </c>
      <c r="B950" s="253">
        <v>2007</v>
      </c>
      <c r="C950" s="237" t="s">
        <v>529</v>
      </c>
      <c r="D950" s="254">
        <v>2130460</v>
      </c>
    </row>
    <row r="951" spans="1:4" ht="60">
      <c r="A951" s="251" t="s">
        <v>445</v>
      </c>
      <c r="B951" s="253">
        <v>2009</v>
      </c>
      <c r="C951" s="237" t="s">
        <v>529</v>
      </c>
      <c r="D951" s="254">
        <v>3586022</v>
      </c>
    </row>
    <row r="952" spans="1:4" ht="60">
      <c r="A952" s="251" t="s">
        <v>445</v>
      </c>
      <c r="B952" s="253">
        <v>2057</v>
      </c>
      <c r="C952" s="237" t="s">
        <v>511</v>
      </c>
      <c r="D952" s="254">
        <v>7001638</v>
      </c>
    </row>
    <row r="953" spans="1:4" ht="60">
      <c r="A953" s="251" t="s">
        <v>445</v>
      </c>
      <c r="B953" s="253">
        <v>2059</v>
      </c>
      <c r="C953" s="237" t="s">
        <v>511</v>
      </c>
      <c r="D953" s="254">
        <v>2020392</v>
      </c>
    </row>
    <row r="954" spans="1:4" ht="15">
      <c r="A954" s="251" t="s">
        <v>445</v>
      </c>
      <c r="B954" s="253">
        <v>3037</v>
      </c>
      <c r="C954" s="237" t="s">
        <v>556</v>
      </c>
      <c r="D954" s="254">
        <v>1700</v>
      </c>
    </row>
    <row r="955" spans="1:4" ht="15">
      <c r="A955" s="251" t="s">
        <v>445</v>
      </c>
      <c r="B955" s="253">
        <v>3039</v>
      </c>
      <c r="C955" s="237" t="s">
        <v>556</v>
      </c>
      <c r="D955" s="254">
        <v>300</v>
      </c>
    </row>
    <row r="956" spans="1:4" ht="15">
      <c r="A956" s="251" t="s">
        <v>445</v>
      </c>
      <c r="B956" s="253">
        <v>3040</v>
      </c>
      <c r="C956" s="237" t="s">
        <v>577</v>
      </c>
      <c r="D956" s="254">
        <v>45000</v>
      </c>
    </row>
    <row r="957" spans="1:4" ht="15">
      <c r="A957" s="251" t="s">
        <v>445</v>
      </c>
      <c r="B957" s="253">
        <v>4017</v>
      </c>
      <c r="C957" s="237" t="s">
        <v>531</v>
      </c>
      <c r="D957" s="254">
        <v>1151825</v>
      </c>
    </row>
    <row r="958" spans="1:4" ht="15">
      <c r="A958" s="251" t="s">
        <v>445</v>
      </c>
      <c r="B958" s="253">
        <v>4019</v>
      </c>
      <c r="C958" s="237" t="s">
        <v>531</v>
      </c>
      <c r="D958" s="254">
        <v>166696</v>
      </c>
    </row>
    <row r="959" spans="1:4" ht="15">
      <c r="A959" s="251" t="s">
        <v>445</v>
      </c>
      <c r="B959" s="253">
        <v>4047</v>
      </c>
      <c r="C959" s="237" t="s">
        <v>532</v>
      </c>
      <c r="D959" s="254">
        <v>115181</v>
      </c>
    </row>
    <row r="960" spans="1:4" ht="15">
      <c r="A960" s="251" t="s">
        <v>445</v>
      </c>
      <c r="B960" s="253">
        <v>4049</v>
      </c>
      <c r="C960" s="237" t="s">
        <v>532</v>
      </c>
      <c r="D960" s="254">
        <v>15181</v>
      </c>
    </row>
    <row r="961" spans="1:4" ht="15">
      <c r="A961" s="251" t="s">
        <v>445</v>
      </c>
      <c r="B961" s="253">
        <v>4117</v>
      </c>
      <c r="C961" s="237" t="s">
        <v>533</v>
      </c>
      <c r="D961" s="254">
        <v>217356</v>
      </c>
    </row>
    <row r="962" spans="1:4" ht="15">
      <c r="A962" s="251" t="s">
        <v>445</v>
      </c>
      <c r="B962" s="253">
        <v>4119</v>
      </c>
      <c r="C962" s="237" t="s">
        <v>533</v>
      </c>
      <c r="D962" s="254">
        <v>31225</v>
      </c>
    </row>
    <row r="963" spans="1:4" ht="30">
      <c r="A963" s="251" t="s">
        <v>445</v>
      </c>
      <c r="B963" s="253">
        <v>4127</v>
      </c>
      <c r="C963" s="237" t="s">
        <v>534</v>
      </c>
      <c r="D963" s="254">
        <v>31055</v>
      </c>
    </row>
    <row r="964" spans="1:4" ht="30">
      <c r="A964" s="251" t="s">
        <v>445</v>
      </c>
      <c r="B964" s="253">
        <v>4129</v>
      </c>
      <c r="C964" s="237" t="s">
        <v>534</v>
      </c>
      <c r="D964" s="254">
        <v>4463</v>
      </c>
    </row>
    <row r="965" spans="1:4" ht="15">
      <c r="A965" s="251" t="s">
        <v>445</v>
      </c>
      <c r="B965" s="253">
        <v>4170</v>
      </c>
      <c r="C965" s="237" t="s">
        <v>535</v>
      </c>
      <c r="D965" s="254">
        <v>10000</v>
      </c>
    </row>
    <row r="966" spans="1:4" ht="15">
      <c r="A966" s="251" t="s">
        <v>445</v>
      </c>
      <c r="B966" s="253">
        <v>4177</v>
      </c>
      <c r="C966" s="237" t="s">
        <v>535</v>
      </c>
      <c r="D966" s="254">
        <v>1112685</v>
      </c>
    </row>
    <row r="967" spans="1:4" ht="15">
      <c r="A967" s="251" t="s">
        <v>445</v>
      </c>
      <c r="B967" s="253">
        <v>4179</v>
      </c>
      <c r="C967" s="237" t="s">
        <v>535</v>
      </c>
      <c r="D967" s="254">
        <v>137814</v>
      </c>
    </row>
    <row r="968" spans="1:4" ht="15">
      <c r="A968" s="251" t="s">
        <v>445</v>
      </c>
      <c r="B968" s="253">
        <v>4217</v>
      </c>
      <c r="C968" s="237" t="s">
        <v>537</v>
      </c>
      <c r="D968" s="254">
        <v>42184</v>
      </c>
    </row>
    <row r="969" spans="1:4" ht="15">
      <c r="A969" s="251" t="s">
        <v>445</v>
      </c>
      <c r="B969" s="253">
        <v>4219</v>
      </c>
      <c r="C969" s="237" t="s">
        <v>537</v>
      </c>
      <c r="D969" s="254">
        <v>5614</v>
      </c>
    </row>
    <row r="970" spans="1:4" ht="15">
      <c r="A970" s="251" t="s">
        <v>445</v>
      </c>
      <c r="B970" s="253">
        <v>4227</v>
      </c>
      <c r="C970" s="237" t="s">
        <v>538</v>
      </c>
      <c r="D970" s="254">
        <v>8840</v>
      </c>
    </row>
    <row r="971" spans="1:4" ht="15">
      <c r="A971" s="251" t="s">
        <v>445</v>
      </c>
      <c r="B971" s="253">
        <v>4229</v>
      </c>
      <c r="C971" s="237" t="s">
        <v>538</v>
      </c>
      <c r="D971" s="254">
        <v>1370</v>
      </c>
    </row>
    <row r="972" spans="1:4" ht="15">
      <c r="A972" s="251" t="s">
        <v>445</v>
      </c>
      <c r="B972" s="253">
        <v>4267</v>
      </c>
      <c r="C972" s="237" t="s">
        <v>539</v>
      </c>
      <c r="D972" s="254">
        <v>24130</v>
      </c>
    </row>
    <row r="973" spans="1:4" ht="15">
      <c r="A973" s="251" t="s">
        <v>445</v>
      </c>
      <c r="B973" s="253">
        <v>4269</v>
      </c>
      <c r="C973" s="237" t="s">
        <v>539</v>
      </c>
      <c r="D973" s="254">
        <v>3070</v>
      </c>
    </row>
    <row r="974" spans="1:4" ht="15">
      <c r="A974" s="251" t="s">
        <v>445</v>
      </c>
      <c r="B974" s="253">
        <v>4300</v>
      </c>
      <c r="C974" s="237" t="s">
        <v>541</v>
      </c>
      <c r="D974" s="254">
        <v>5000</v>
      </c>
    </row>
    <row r="975" spans="1:4" ht="15">
      <c r="A975" s="251" t="s">
        <v>445</v>
      </c>
      <c r="B975" s="253">
        <v>4307</v>
      </c>
      <c r="C975" s="237" t="s">
        <v>541</v>
      </c>
      <c r="D975" s="254">
        <v>1757181</v>
      </c>
    </row>
    <row r="976" spans="1:4" ht="15">
      <c r="A976" s="251" t="s">
        <v>445</v>
      </c>
      <c r="B976" s="253">
        <v>4309</v>
      </c>
      <c r="C976" s="237" t="s">
        <v>541</v>
      </c>
      <c r="D976" s="254">
        <v>229576</v>
      </c>
    </row>
    <row r="977" spans="1:4" ht="15">
      <c r="A977" s="251" t="s">
        <v>445</v>
      </c>
      <c r="B977" s="253">
        <v>4367</v>
      </c>
      <c r="C977" s="237" t="s">
        <v>542</v>
      </c>
      <c r="D977" s="254">
        <v>4976</v>
      </c>
    </row>
    <row r="978" spans="1:4" ht="15">
      <c r="A978" s="251" t="s">
        <v>445</v>
      </c>
      <c r="B978" s="253">
        <v>4369</v>
      </c>
      <c r="C978" s="237" t="s">
        <v>542</v>
      </c>
      <c r="D978" s="254">
        <v>674</v>
      </c>
    </row>
    <row r="979" spans="1:4" ht="15">
      <c r="A979" s="251" t="s">
        <v>445</v>
      </c>
      <c r="B979" s="253">
        <v>4397</v>
      </c>
      <c r="C979" s="237" t="s">
        <v>557</v>
      </c>
      <c r="D979" s="254">
        <v>25500</v>
      </c>
    </row>
    <row r="980" spans="1:4" ht="15">
      <c r="A980" s="251" t="s">
        <v>445</v>
      </c>
      <c r="B980" s="253">
        <v>4399</v>
      </c>
      <c r="C980" s="237" t="s">
        <v>557</v>
      </c>
      <c r="D980" s="254">
        <v>4500</v>
      </c>
    </row>
    <row r="981" spans="1:4" ht="15">
      <c r="A981" s="251" t="s">
        <v>445</v>
      </c>
      <c r="B981" s="253">
        <v>4417</v>
      </c>
      <c r="C981" s="237" t="s">
        <v>545</v>
      </c>
      <c r="D981" s="254">
        <v>48884</v>
      </c>
    </row>
    <row r="982" spans="1:4" ht="15">
      <c r="A982" s="251" t="s">
        <v>445</v>
      </c>
      <c r="B982" s="253">
        <v>4419</v>
      </c>
      <c r="C982" s="237" t="s">
        <v>545</v>
      </c>
      <c r="D982" s="254">
        <v>6515</v>
      </c>
    </row>
    <row r="983" spans="1:4" ht="15">
      <c r="A983" s="251" t="s">
        <v>445</v>
      </c>
      <c r="B983" s="253">
        <v>4427</v>
      </c>
      <c r="C983" s="237" t="s">
        <v>546</v>
      </c>
      <c r="D983" s="254">
        <v>850</v>
      </c>
    </row>
    <row r="984" spans="1:4" ht="15">
      <c r="A984" s="251" t="s">
        <v>445</v>
      </c>
      <c r="B984" s="253">
        <v>4429</v>
      </c>
      <c r="C984" s="237" t="s">
        <v>546</v>
      </c>
      <c r="D984" s="254">
        <v>150</v>
      </c>
    </row>
    <row r="985" spans="1:4" ht="15">
      <c r="A985" s="251" t="s">
        <v>445</v>
      </c>
      <c r="B985" s="253">
        <v>4437</v>
      </c>
      <c r="C985" s="237" t="s">
        <v>547</v>
      </c>
      <c r="D985" s="254">
        <v>3578</v>
      </c>
    </row>
    <row r="986" spans="1:4" ht="15">
      <c r="A986" s="251" t="s">
        <v>445</v>
      </c>
      <c r="B986" s="253">
        <v>4439</v>
      </c>
      <c r="C986" s="237" t="s">
        <v>547</v>
      </c>
      <c r="D986" s="254">
        <v>420</v>
      </c>
    </row>
    <row r="987" spans="1:4" ht="15">
      <c r="A987" s="251" t="s">
        <v>445</v>
      </c>
      <c r="B987" s="253">
        <v>4447</v>
      </c>
      <c r="C987" s="237" t="s">
        <v>564</v>
      </c>
      <c r="D987" s="254">
        <v>15803</v>
      </c>
    </row>
    <row r="988" spans="1:4" ht="15">
      <c r="A988" s="251" t="s">
        <v>445</v>
      </c>
      <c r="B988" s="253">
        <v>4449</v>
      </c>
      <c r="C988" s="237" t="s">
        <v>564</v>
      </c>
      <c r="D988" s="254">
        <v>2010</v>
      </c>
    </row>
    <row r="989" spans="1:4" ht="15">
      <c r="A989" s="251" t="s">
        <v>445</v>
      </c>
      <c r="B989" s="253">
        <v>4707</v>
      </c>
      <c r="C989" s="237" t="s">
        <v>548</v>
      </c>
      <c r="D989" s="254">
        <v>22593</v>
      </c>
    </row>
    <row r="990" spans="1:4" ht="15">
      <c r="A990" s="251" t="s">
        <v>445</v>
      </c>
      <c r="B990" s="253">
        <v>4709</v>
      </c>
      <c r="C990" s="237" t="s">
        <v>548</v>
      </c>
      <c r="D990" s="254">
        <v>2908</v>
      </c>
    </row>
    <row r="991" spans="1:4" ht="60">
      <c r="A991" s="255" t="s">
        <v>445</v>
      </c>
      <c r="B991" s="256">
        <v>6209</v>
      </c>
      <c r="C991" s="239" t="s">
        <v>575</v>
      </c>
      <c r="D991" s="257">
        <v>65000</v>
      </c>
    </row>
    <row r="992" spans="1:4" ht="60">
      <c r="A992" s="261" t="s">
        <v>445</v>
      </c>
      <c r="B992" s="263">
        <v>6259</v>
      </c>
      <c r="C992" s="268" t="s">
        <v>448</v>
      </c>
      <c r="D992" s="269">
        <v>1518427</v>
      </c>
    </row>
    <row r="993" spans="1:4" s="235" customFormat="1" ht="14.25">
      <c r="A993" s="261" t="s">
        <v>46</v>
      </c>
      <c r="B993" s="261" t="s">
        <v>445</v>
      </c>
      <c r="C993" s="238" t="s">
        <v>61</v>
      </c>
      <c r="D993" s="262">
        <f>D994+D998+D1009+D1028+D1099</f>
        <v>22593516</v>
      </c>
    </row>
    <row r="994" spans="1:4" s="235" customFormat="1" ht="14.25">
      <c r="A994" s="251">
        <v>85311</v>
      </c>
      <c r="B994" s="251" t="s">
        <v>445</v>
      </c>
      <c r="C994" s="236" t="s">
        <v>197</v>
      </c>
      <c r="D994" s="252">
        <f>SUM(D995:D997)</f>
        <v>444000</v>
      </c>
    </row>
    <row r="995" spans="1:4" ht="30">
      <c r="A995" s="251" t="s">
        <v>445</v>
      </c>
      <c r="B995" s="253">
        <v>2310</v>
      </c>
      <c r="C995" s="237" t="s">
        <v>552</v>
      </c>
      <c r="D995" s="254">
        <v>200000</v>
      </c>
    </row>
    <row r="996" spans="1:4" ht="30">
      <c r="A996" s="251" t="s">
        <v>445</v>
      </c>
      <c r="B996" s="253">
        <v>2320</v>
      </c>
      <c r="C996" s="237" t="s">
        <v>588</v>
      </c>
      <c r="D996" s="254">
        <v>165778</v>
      </c>
    </row>
    <row r="997" spans="1:4" ht="30">
      <c r="A997" s="251" t="s">
        <v>445</v>
      </c>
      <c r="B997" s="253">
        <v>2820</v>
      </c>
      <c r="C997" s="237" t="s">
        <v>589</v>
      </c>
      <c r="D997" s="254">
        <v>78222</v>
      </c>
    </row>
    <row r="998" spans="1:4" s="235" customFormat="1" ht="14.25">
      <c r="A998" s="251">
        <v>85324</v>
      </c>
      <c r="B998" s="251" t="s">
        <v>445</v>
      </c>
      <c r="C998" s="236" t="s">
        <v>62</v>
      </c>
      <c r="D998" s="252">
        <f>SUM(D999:D1008)</f>
        <v>256150</v>
      </c>
    </row>
    <row r="999" spans="1:4" ht="15">
      <c r="A999" s="251" t="s">
        <v>445</v>
      </c>
      <c r="B999" s="253">
        <v>4010</v>
      </c>
      <c r="C999" s="237" t="s">
        <v>531</v>
      </c>
      <c r="D999" s="254">
        <v>184011</v>
      </c>
    </row>
    <row r="1000" spans="1:4" ht="15">
      <c r="A1000" s="251" t="s">
        <v>445</v>
      </c>
      <c r="B1000" s="253">
        <v>4040</v>
      </c>
      <c r="C1000" s="237" t="s">
        <v>532</v>
      </c>
      <c r="D1000" s="254">
        <v>17000</v>
      </c>
    </row>
    <row r="1001" spans="1:4" ht="15">
      <c r="A1001" s="251" t="s">
        <v>445</v>
      </c>
      <c r="B1001" s="253">
        <v>4110</v>
      </c>
      <c r="C1001" s="237" t="s">
        <v>533</v>
      </c>
      <c r="D1001" s="254">
        <v>31631</v>
      </c>
    </row>
    <row r="1002" spans="1:4" ht="30">
      <c r="A1002" s="251" t="s">
        <v>445</v>
      </c>
      <c r="B1002" s="253">
        <v>4120</v>
      </c>
      <c r="C1002" s="237" t="s">
        <v>534</v>
      </c>
      <c r="D1002" s="254">
        <v>4508</v>
      </c>
    </row>
    <row r="1003" spans="1:4" ht="15">
      <c r="A1003" s="251" t="s">
        <v>445</v>
      </c>
      <c r="B1003" s="253">
        <v>4210</v>
      </c>
      <c r="C1003" s="237" t="s">
        <v>537</v>
      </c>
      <c r="D1003" s="254">
        <v>5000</v>
      </c>
    </row>
    <row r="1004" spans="1:4" ht="15">
      <c r="A1004" s="251" t="s">
        <v>445</v>
      </c>
      <c r="B1004" s="253">
        <v>4220</v>
      </c>
      <c r="C1004" s="237" t="s">
        <v>538</v>
      </c>
      <c r="D1004" s="254">
        <v>2000</v>
      </c>
    </row>
    <row r="1005" spans="1:4" ht="15">
      <c r="A1005" s="251" t="s">
        <v>445</v>
      </c>
      <c r="B1005" s="253">
        <v>4270</v>
      </c>
      <c r="C1005" s="237" t="s">
        <v>540</v>
      </c>
      <c r="D1005" s="254">
        <v>2000</v>
      </c>
    </row>
    <row r="1006" spans="1:4" ht="15">
      <c r="A1006" s="251" t="s">
        <v>445</v>
      </c>
      <c r="B1006" s="253">
        <v>4300</v>
      </c>
      <c r="C1006" s="237" t="s">
        <v>541</v>
      </c>
      <c r="D1006" s="254">
        <v>2000</v>
      </c>
    </row>
    <row r="1007" spans="1:4" ht="15">
      <c r="A1007" s="251" t="s">
        <v>445</v>
      </c>
      <c r="B1007" s="253">
        <v>4410</v>
      </c>
      <c r="C1007" s="237" t="s">
        <v>545</v>
      </c>
      <c r="D1007" s="254">
        <v>3000</v>
      </c>
    </row>
    <row r="1008" spans="1:4" ht="15">
      <c r="A1008" s="251" t="s">
        <v>445</v>
      </c>
      <c r="B1008" s="253">
        <v>4700</v>
      </c>
      <c r="C1008" s="237" t="s">
        <v>548</v>
      </c>
      <c r="D1008" s="254">
        <v>5000</v>
      </c>
    </row>
    <row r="1009" spans="1:4" s="235" customFormat="1" ht="14.25">
      <c r="A1009" s="251">
        <v>85325</v>
      </c>
      <c r="B1009" s="251" t="s">
        <v>445</v>
      </c>
      <c r="C1009" s="236" t="s">
        <v>7</v>
      </c>
      <c r="D1009" s="252">
        <f>SUM(D1010:D1027)</f>
        <v>1300000</v>
      </c>
    </row>
    <row r="1010" spans="1:4" ht="15">
      <c r="A1010" s="251" t="s">
        <v>445</v>
      </c>
      <c r="B1010" s="253">
        <v>3020</v>
      </c>
      <c r="C1010" s="237" t="s">
        <v>561</v>
      </c>
      <c r="D1010" s="254">
        <v>2000</v>
      </c>
    </row>
    <row r="1011" spans="1:4" ht="15">
      <c r="A1011" s="251" t="s">
        <v>445</v>
      </c>
      <c r="B1011" s="253">
        <v>4010</v>
      </c>
      <c r="C1011" s="237" t="s">
        <v>531</v>
      </c>
      <c r="D1011" s="254">
        <v>782000</v>
      </c>
    </row>
    <row r="1012" spans="1:4" ht="15">
      <c r="A1012" s="251" t="s">
        <v>445</v>
      </c>
      <c r="B1012" s="253">
        <v>4040</v>
      </c>
      <c r="C1012" s="237" t="s">
        <v>532</v>
      </c>
      <c r="D1012" s="254">
        <v>67000</v>
      </c>
    </row>
    <row r="1013" spans="1:4" ht="15">
      <c r="A1013" s="251" t="s">
        <v>445</v>
      </c>
      <c r="B1013" s="253">
        <v>4110</v>
      </c>
      <c r="C1013" s="237" t="s">
        <v>533</v>
      </c>
      <c r="D1013" s="254">
        <v>147000</v>
      </c>
    </row>
    <row r="1014" spans="1:4" ht="30">
      <c r="A1014" s="251" t="s">
        <v>445</v>
      </c>
      <c r="B1014" s="253">
        <v>4120</v>
      </c>
      <c r="C1014" s="237" t="s">
        <v>534</v>
      </c>
      <c r="D1014" s="254">
        <v>21000</v>
      </c>
    </row>
    <row r="1015" spans="1:4" ht="15">
      <c r="A1015" s="251" t="s">
        <v>445</v>
      </c>
      <c r="B1015" s="253">
        <v>4170</v>
      </c>
      <c r="C1015" s="237" t="s">
        <v>535</v>
      </c>
      <c r="D1015" s="254">
        <v>4000</v>
      </c>
    </row>
    <row r="1016" spans="1:4" ht="15">
      <c r="A1016" s="251" t="s">
        <v>445</v>
      </c>
      <c r="B1016" s="253">
        <v>4210</v>
      </c>
      <c r="C1016" s="237" t="s">
        <v>537</v>
      </c>
      <c r="D1016" s="254">
        <v>35000</v>
      </c>
    </row>
    <row r="1017" spans="1:4" ht="15">
      <c r="A1017" s="251" t="s">
        <v>445</v>
      </c>
      <c r="B1017" s="253">
        <v>4260</v>
      </c>
      <c r="C1017" s="237" t="s">
        <v>539</v>
      </c>
      <c r="D1017" s="254">
        <v>25000</v>
      </c>
    </row>
    <row r="1018" spans="1:4" ht="15">
      <c r="A1018" s="251" t="s">
        <v>445</v>
      </c>
      <c r="B1018" s="253">
        <v>4270</v>
      </c>
      <c r="C1018" s="237" t="s">
        <v>540</v>
      </c>
      <c r="D1018" s="254">
        <v>7000</v>
      </c>
    </row>
    <row r="1019" spans="1:4" ht="15">
      <c r="A1019" s="251" t="s">
        <v>445</v>
      </c>
      <c r="B1019" s="253">
        <v>4280</v>
      </c>
      <c r="C1019" s="237" t="s">
        <v>563</v>
      </c>
      <c r="D1019" s="254">
        <v>1000</v>
      </c>
    </row>
    <row r="1020" spans="1:4" ht="15">
      <c r="A1020" s="251" t="s">
        <v>445</v>
      </c>
      <c r="B1020" s="253">
        <v>4300</v>
      </c>
      <c r="C1020" s="237" t="s">
        <v>541</v>
      </c>
      <c r="D1020" s="254">
        <v>76000</v>
      </c>
    </row>
    <row r="1021" spans="1:4" ht="15">
      <c r="A1021" s="251" t="s">
        <v>445</v>
      </c>
      <c r="B1021" s="253">
        <v>4360</v>
      </c>
      <c r="C1021" s="237" t="s">
        <v>542</v>
      </c>
      <c r="D1021" s="254">
        <v>17000</v>
      </c>
    </row>
    <row r="1022" spans="1:4" ht="15">
      <c r="A1022" s="251" t="s">
        <v>445</v>
      </c>
      <c r="B1022" s="253">
        <v>4400</v>
      </c>
      <c r="C1022" s="237" t="s">
        <v>544</v>
      </c>
      <c r="D1022" s="254">
        <v>77000</v>
      </c>
    </row>
    <row r="1023" spans="1:4" ht="15">
      <c r="A1023" s="251" t="s">
        <v>445</v>
      </c>
      <c r="B1023" s="253">
        <v>4410</v>
      </c>
      <c r="C1023" s="237" t="s">
        <v>545</v>
      </c>
      <c r="D1023" s="254">
        <v>4000</v>
      </c>
    </row>
    <row r="1024" spans="1:4" ht="15">
      <c r="A1024" s="251" t="s">
        <v>445</v>
      </c>
      <c r="B1024" s="253">
        <v>4430</v>
      </c>
      <c r="C1024" s="237" t="s">
        <v>547</v>
      </c>
      <c r="D1024" s="254">
        <v>2000</v>
      </c>
    </row>
    <row r="1025" spans="1:4" ht="15">
      <c r="A1025" s="251" t="s">
        <v>445</v>
      </c>
      <c r="B1025" s="253">
        <v>4440</v>
      </c>
      <c r="C1025" s="237" t="s">
        <v>564</v>
      </c>
      <c r="D1025" s="254">
        <v>22000</v>
      </c>
    </row>
    <row r="1026" spans="1:4" ht="15">
      <c r="A1026" s="251" t="s">
        <v>445</v>
      </c>
      <c r="B1026" s="253">
        <v>4480</v>
      </c>
      <c r="C1026" s="237" t="s">
        <v>565</v>
      </c>
      <c r="D1026" s="254">
        <v>2000</v>
      </c>
    </row>
    <row r="1027" spans="1:4" ht="15">
      <c r="A1027" s="251" t="s">
        <v>445</v>
      </c>
      <c r="B1027" s="253">
        <v>4700</v>
      </c>
      <c r="C1027" s="237" t="s">
        <v>548</v>
      </c>
      <c r="D1027" s="254">
        <v>9000</v>
      </c>
    </row>
    <row r="1028" spans="1:4" s="235" customFormat="1" ht="14.25">
      <c r="A1028" s="251">
        <v>85332</v>
      </c>
      <c r="B1028" s="251" t="s">
        <v>445</v>
      </c>
      <c r="C1028" s="236" t="s">
        <v>63</v>
      </c>
      <c r="D1028" s="252">
        <f>SUM(D1029:D1098)</f>
        <v>17303366</v>
      </c>
    </row>
    <row r="1029" spans="1:4" ht="60">
      <c r="A1029" s="251" t="s">
        <v>445</v>
      </c>
      <c r="B1029" s="253">
        <v>2009</v>
      </c>
      <c r="C1029" s="237" t="s">
        <v>529</v>
      </c>
      <c r="D1029" s="254">
        <v>3228000</v>
      </c>
    </row>
    <row r="1030" spans="1:4" ht="15">
      <c r="A1030" s="251" t="s">
        <v>445</v>
      </c>
      <c r="B1030" s="253">
        <v>3020</v>
      </c>
      <c r="C1030" s="237" t="s">
        <v>561</v>
      </c>
      <c r="D1030" s="254">
        <v>8000</v>
      </c>
    </row>
    <row r="1031" spans="1:4" ht="15">
      <c r="A1031" s="251" t="s">
        <v>445</v>
      </c>
      <c r="B1031" s="253">
        <v>3028</v>
      </c>
      <c r="C1031" s="237" t="s">
        <v>561</v>
      </c>
      <c r="D1031" s="254">
        <v>2706</v>
      </c>
    </row>
    <row r="1032" spans="1:4" ht="15">
      <c r="A1032" s="251" t="s">
        <v>445</v>
      </c>
      <c r="B1032" s="253">
        <v>3029</v>
      </c>
      <c r="C1032" s="237" t="s">
        <v>561</v>
      </c>
      <c r="D1032" s="254">
        <v>494</v>
      </c>
    </row>
    <row r="1033" spans="1:4" ht="15">
      <c r="A1033" s="251" t="s">
        <v>445</v>
      </c>
      <c r="B1033" s="253">
        <v>3030</v>
      </c>
      <c r="C1033" s="237" t="s">
        <v>556</v>
      </c>
      <c r="D1033" s="254">
        <v>3000</v>
      </c>
    </row>
    <row r="1034" spans="1:4" ht="15">
      <c r="A1034" s="251" t="s">
        <v>445</v>
      </c>
      <c r="B1034" s="253">
        <v>4010</v>
      </c>
      <c r="C1034" s="237" t="s">
        <v>531</v>
      </c>
      <c r="D1034" s="254">
        <v>5490650</v>
      </c>
    </row>
    <row r="1035" spans="1:4" ht="15">
      <c r="A1035" s="251" t="s">
        <v>445</v>
      </c>
      <c r="B1035" s="253">
        <v>4017</v>
      </c>
      <c r="C1035" s="237" t="s">
        <v>531</v>
      </c>
      <c r="D1035" s="254">
        <v>43007</v>
      </c>
    </row>
    <row r="1036" spans="1:4" ht="15">
      <c r="A1036" s="251" t="s">
        <v>445</v>
      </c>
      <c r="B1036" s="253">
        <v>4018</v>
      </c>
      <c r="C1036" s="237" t="s">
        <v>531</v>
      </c>
      <c r="D1036" s="254">
        <v>2780738</v>
      </c>
    </row>
    <row r="1037" spans="1:4" ht="15">
      <c r="A1037" s="251" t="s">
        <v>445</v>
      </c>
      <c r="B1037" s="253">
        <v>4019</v>
      </c>
      <c r="C1037" s="237" t="s">
        <v>531</v>
      </c>
      <c r="D1037" s="254">
        <v>512887</v>
      </c>
    </row>
    <row r="1038" spans="1:4" ht="15">
      <c r="A1038" s="251" t="s">
        <v>445</v>
      </c>
      <c r="B1038" s="253">
        <v>4040</v>
      </c>
      <c r="C1038" s="237" t="s">
        <v>532</v>
      </c>
      <c r="D1038" s="254">
        <v>531175</v>
      </c>
    </row>
    <row r="1039" spans="1:4" ht="15">
      <c r="A1039" s="251" t="s">
        <v>445</v>
      </c>
      <c r="B1039" s="253">
        <v>4048</v>
      </c>
      <c r="C1039" s="237" t="s">
        <v>532</v>
      </c>
      <c r="D1039" s="254">
        <v>237791</v>
      </c>
    </row>
    <row r="1040" spans="1:4" ht="15">
      <c r="A1040" s="251" t="s">
        <v>445</v>
      </c>
      <c r="B1040" s="253">
        <v>4049</v>
      </c>
      <c r="C1040" s="237" t="s">
        <v>532</v>
      </c>
      <c r="D1040" s="254">
        <v>43411</v>
      </c>
    </row>
    <row r="1041" spans="1:4" ht="15">
      <c r="A1041" s="251" t="s">
        <v>445</v>
      </c>
      <c r="B1041" s="253">
        <v>4110</v>
      </c>
      <c r="C1041" s="237" t="s">
        <v>533</v>
      </c>
      <c r="D1041" s="254">
        <v>962349</v>
      </c>
    </row>
    <row r="1042" spans="1:4" ht="15">
      <c r="A1042" s="251" t="s">
        <v>445</v>
      </c>
      <c r="B1042" s="253">
        <v>4117</v>
      </c>
      <c r="C1042" s="237" t="s">
        <v>533</v>
      </c>
      <c r="D1042" s="254">
        <v>7393</v>
      </c>
    </row>
    <row r="1043" spans="1:4" ht="15">
      <c r="A1043" s="255" t="s">
        <v>445</v>
      </c>
      <c r="B1043" s="256">
        <v>4118</v>
      </c>
      <c r="C1043" s="239" t="s">
        <v>533</v>
      </c>
      <c r="D1043" s="257">
        <v>519794</v>
      </c>
    </row>
    <row r="1044" spans="1:4" ht="15">
      <c r="A1044" s="258" t="s">
        <v>445</v>
      </c>
      <c r="B1044" s="259">
        <v>4119</v>
      </c>
      <c r="C1044" s="240" t="s">
        <v>533</v>
      </c>
      <c r="D1044" s="260">
        <v>95799</v>
      </c>
    </row>
    <row r="1045" spans="1:4" ht="30.75" customHeight="1">
      <c r="A1045" s="251" t="s">
        <v>445</v>
      </c>
      <c r="B1045" s="253">
        <v>4120</v>
      </c>
      <c r="C1045" s="237" t="s">
        <v>534</v>
      </c>
      <c r="D1045" s="254">
        <v>137159</v>
      </c>
    </row>
    <row r="1046" spans="1:4" ht="30.75" customHeight="1">
      <c r="A1046" s="251" t="s">
        <v>445</v>
      </c>
      <c r="B1046" s="253">
        <v>4127</v>
      </c>
      <c r="C1046" s="237" t="s">
        <v>534</v>
      </c>
      <c r="D1046" s="254">
        <v>1054</v>
      </c>
    </row>
    <row r="1047" spans="1:4" ht="30.75" customHeight="1">
      <c r="A1047" s="251" t="s">
        <v>445</v>
      </c>
      <c r="B1047" s="253">
        <v>4128</v>
      </c>
      <c r="C1047" s="237" t="s">
        <v>534</v>
      </c>
      <c r="D1047" s="254">
        <v>74082</v>
      </c>
    </row>
    <row r="1048" spans="1:4" ht="30.75" customHeight="1">
      <c r="A1048" s="251" t="s">
        <v>445</v>
      </c>
      <c r="B1048" s="253">
        <v>4129</v>
      </c>
      <c r="C1048" s="237" t="s">
        <v>534</v>
      </c>
      <c r="D1048" s="254">
        <v>13652</v>
      </c>
    </row>
    <row r="1049" spans="1:4" ht="16.5" customHeight="1">
      <c r="A1049" s="251" t="s">
        <v>445</v>
      </c>
      <c r="B1049" s="253">
        <v>4140</v>
      </c>
      <c r="C1049" s="237" t="s">
        <v>562</v>
      </c>
      <c r="D1049" s="254">
        <v>34000</v>
      </c>
    </row>
    <row r="1050" spans="1:4" ht="16.5" customHeight="1">
      <c r="A1050" s="251" t="s">
        <v>445</v>
      </c>
      <c r="B1050" s="253">
        <v>4170</v>
      </c>
      <c r="C1050" s="237" t="s">
        <v>535</v>
      </c>
      <c r="D1050" s="254">
        <v>16000</v>
      </c>
    </row>
    <row r="1051" spans="1:4" ht="16.5" customHeight="1">
      <c r="A1051" s="251" t="s">
        <v>445</v>
      </c>
      <c r="B1051" s="253">
        <v>4178</v>
      </c>
      <c r="C1051" s="237" t="s">
        <v>535</v>
      </c>
      <c r="D1051" s="254">
        <v>13304</v>
      </c>
    </row>
    <row r="1052" spans="1:4" ht="16.5" customHeight="1">
      <c r="A1052" s="251" t="s">
        <v>445</v>
      </c>
      <c r="B1052" s="253">
        <v>4179</v>
      </c>
      <c r="C1052" s="237" t="s">
        <v>535</v>
      </c>
      <c r="D1052" s="254">
        <v>2464</v>
      </c>
    </row>
    <row r="1053" spans="1:4" ht="16.5" customHeight="1">
      <c r="A1053" s="251" t="s">
        <v>445</v>
      </c>
      <c r="B1053" s="253">
        <v>4210</v>
      </c>
      <c r="C1053" s="237" t="s">
        <v>537</v>
      </c>
      <c r="D1053" s="254">
        <v>120000</v>
      </c>
    </row>
    <row r="1054" spans="1:4" ht="16.5" customHeight="1">
      <c r="A1054" s="251" t="s">
        <v>445</v>
      </c>
      <c r="B1054" s="253">
        <v>4217</v>
      </c>
      <c r="C1054" s="237" t="s">
        <v>537</v>
      </c>
      <c r="D1054" s="254">
        <v>144917</v>
      </c>
    </row>
    <row r="1055" spans="1:4" ht="16.5" customHeight="1">
      <c r="A1055" s="251" t="s">
        <v>445</v>
      </c>
      <c r="B1055" s="253">
        <v>4218</v>
      </c>
      <c r="C1055" s="237" t="s">
        <v>537</v>
      </c>
      <c r="D1055" s="254">
        <v>42358</v>
      </c>
    </row>
    <row r="1056" spans="1:4" ht="16.5" customHeight="1">
      <c r="A1056" s="251" t="s">
        <v>445</v>
      </c>
      <c r="B1056" s="253">
        <v>4219</v>
      </c>
      <c r="C1056" s="237" t="s">
        <v>537</v>
      </c>
      <c r="D1056" s="254">
        <v>24808</v>
      </c>
    </row>
    <row r="1057" spans="1:4" ht="16.5" customHeight="1">
      <c r="A1057" s="251" t="s">
        <v>445</v>
      </c>
      <c r="B1057" s="253">
        <v>4220</v>
      </c>
      <c r="C1057" s="237" t="s">
        <v>538</v>
      </c>
      <c r="D1057" s="254">
        <v>2400</v>
      </c>
    </row>
    <row r="1058" spans="1:4" ht="16.5" customHeight="1">
      <c r="A1058" s="251" t="s">
        <v>445</v>
      </c>
      <c r="B1058" s="253">
        <v>4228</v>
      </c>
      <c r="C1058" s="237" t="s">
        <v>538</v>
      </c>
      <c r="D1058" s="254">
        <v>3716</v>
      </c>
    </row>
    <row r="1059" spans="1:4" ht="16.5" customHeight="1">
      <c r="A1059" s="251" t="s">
        <v>445</v>
      </c>
      <c r="B1059" s="253">
        <v>4229</v>
      </c>
      <c r="C1059" s="237" t="s">
        <v>538</v>
      </c>
      <c r="D1059" s="254">
        <v>684</v>
      </c>
    </row>
    <row r="1060" spans="1:4" ht="16.5" customHeight="1">
      <c r="A1060" s="251" t="s">
        <v>445</v>
      </c>
      <c r="B1060" s="253">
        <v>4260</v>
      </c>
      <c r="C1060" s="237" t="s">
        <v>539</v>
      </c>
      <c r="D1060" s="254">
        <v>219000</v>
      </c>
    </row>
    <row r="1061" spans="1:4" ht="16.5" customHeight="1">
      <c r="A1061" s="251" t="s">
        <v>445</v>
      </c>
      <c r="B1061" s="253">
        <v>4268</v>
      </c>
      <c r="C1061" s="237" t="s">
        <v>539</v>
      </c>
      <c r="D1061" s="254">
        <v>89771</v>
      </c>
    </row>
    <row r="1062" spans="1:4" ht="16.5" customHeight="1">
      <c r="A1062" s="251" t="s">
        <v>445</v>
      </c>
      <c r="B1062" s="253">
        <v>4269</v>
      </c>
      <c r="C1062" s="237" t="s">
        <v>539</v>
      </c>
      <c r="D1062" s="254">
        <v>16279</v>
      </c>
    </row>
    <row r="1063" spans="1:4" ht="16.5" customHeight="1">
      <c r="A1063" s="251" t="s">
        <v>445</v>
      </c>
      <c r="B1063" s="253">
        <v>4270</v>
      </c>
      <c r="C1063" s="237" t="s">
        <v>540</v>
      </c>
      <c r="D1063" s="254">
        <v>103000</v>
      </c>
    </row>
    <row r="1064" spans="1:4" ht="16.5" customHeight="1">
      <c r="A1064" s="251" t="s">
        <v>445</v>
      </c>
      <c r="B1064" s="253">
        <v>4278</v>
      </c>
      <c r="C1064" s="237" t="s">
        <v>540</v>
      </c>
      <c r="D1064" s="254">
        <v>3045</v>
      </c>
    </row>
    <row r="1065" spans="1:4" ht="16.5" customHeight="1">
      <c r="A1065" s="251" t="s">
        <v>445</v>
      </c>
      <c r="B1065" s="253">
        <v>4279</v>
      </c>
      <c r="C1065" s="237" t="s">
        <v>540</v>
      </c>
      <c r="D1065" s="254">
        <v>555</v>
      </c>
    </row>
    <row r="1066" spans="1:4" ht="16.5" customHeight="1">
      <c r="A1066" s="251" t="s">
        <v>445</v>
      </c>
      <c r="B1066" s="253">
        <v>4280</v>
      </c>
      <c r="C1066" s="237" t="s">
        <v>563</v>
      </c>
      <c r="D1066" s="254">
        <v>4000</v>
      </c>
    </row>
    <row r="1067" spans="1:4" ht="16.5" customHeight="1">
      <c r="A1067" s="251" t="s">
        <v>445</v>
      </c>
      <c r="B1067" s="253">
        <v>4287</v>
      </c>
      <c r="C1067" s="237" t="s">
        <v>563</v>
      </c>
      <c r="D1067" s="254">
        <v>11274</v>
      </c>
    </row>
    <row r="1068" spans="1:4" ht="16.5" customHeight="1">
      <c r="A1068" s="251" t="s">
        <v>445</v>
      </c>
      <c r="B1068" s="253">
        <v>4288</v>
      </c>
      <c r="C1068" s="237" t="s">
        <v>563</v>
      </c>
      <c r="D1068" s="254">
        <v>2366</v>
      </c>
    </row>
    <row r="1069" spans="1:4" ht="16.5" customHeight="1">
      <c r="A1069" s="251" t="s">
        <v>445</v>
      </c>
      <c r="B1069" s="253">
        <v>4289</v>
      </c>
      <c r="C1069" s="237" t="s">
        <v>563</v>
      </c>
      <c r="D1069" s="254">
        <v>1760</v>
      </c>
    </row>
    <row r="1070" spans="1:4" ht="16.5" customHeight="1">
      <c r="A1070" s="251" t="s">
        <v>445</v>
      </c>
      <c r="B1070" s="253">
        <v>4300</v>
      </c>
      <c r="C1070" s="237" t="s">
        <v>541</v>
      </c>
      <c r="D1070" s="254">
        <v>335000</v>
      </c>
    </row>
    <row r="1071" spans="1:4" ht="16.5" customHeight="1">
      <c r="A1071" s="251" t="s">
        <v>445</v>
      </c>
      <c r="B1071" s="253">
        <v>4307</v>
      </c>
      <c r="C1071" s="237" t="s">
        <v>541</v>
      </c>
      <c r="D1071" s="254">
        <v>38311</v>
      </c>
    </row>
    <row r="1072" spans="1:4" ht="16.5" customHeight="1">
      <c r="A1072" s="251" t="s">
        <v>445</v>
      </c>
      <c r="B1072" s="253">
        <v>4308</v>
      </c>
      <c r="C1072" s="237" t="s">
        <v>541</v>
      </c>
      <c r="D1072" s="254">
        <v>233587</v>
      </c>
    </row>
    <row r="1073" spans="1:4" ht="16.5" customHeight="1">
      <c r="A1073" s="251" t="s">
        <v>445</v>
      </c>
      <c r="B1073" s="253">
        <v>4309</v>
      </c>
      <c r="C1073" s="237" t="s">
        <v>541</v>
      </c>
      <c r="D1073" s="254">
        <v>46899</v>
      </c>
    </row>
    <row r="1074" spans="1:4" ht="16.5" customHeight="1">
      <c r="A1074" s="251" t="s">
        <v>445</v>
      </c>
      <c r="B1074" s="253">
        <v>4360</v>
      </c>
      <c r="C1074" s="237" t="s">
        <v>542</v>
      </c>
      <c r="D1074" s="254">
        <v>44000</v>
      </c>
    </row>
    <row r="1075" spans="1:4" ht="16.5" customHeight="1">
      <c r="A1075" s="251" t="s">
        <v>445</v>
      </c>
      <c r="B1075" s="253">
        <v>4368</v>
      </c>
      <c r="C1075" s="237" t="s">
        <v>542</v>
      </c>
      <c r="D1075" s="254">
        <v>40908</v>
      </c>
    </row>
    <row r="1076" spans="1:4" ht="16.5" customHeight="1">
      <c r="A1076" s="251" t="s">
        <v>445</v>
      </c>
      <c r="B1076" s="253">
        <v>4369</v>
      </c>
      <c r="C1076" s="237" t="s">
        <v>542</v>
      </c>
      <c r="D1076" s="254">
        <v>7442</v>
      </c>
    </row>
    <row r="1077" spans="1:4" ht="16.5" customHeight="1">
      <c r="A1077" s="251" t="s">
        <v>445</v>
      </c>
      <c r="B1077" s="253">
        <v>4380</v>
      </c>
      <c r="C1077" s="237" t="s">
        <v>543</v>
      </c>
      <c r="D1077" s="254">
        <v>1000</v>
      </c>
    </row>
    <row r="1078" spans="1:4" ht="16.5" customHeight="1">
      <c r="A1078" s="251" t="s">
        <v>445</v>
      </c>
      <c r="B1078" s="253">
        <v>4400</v>
      </c>
      <c r="C1078" s="237" t="s">
        <v>544</v>
      </c>
      <c r="D1078" s="254">
        <v>440000</v>
      </c>
    </row>
    <row r="1079" spans="1:4" ht="16.5" customHeight="1">
      <c r="A1079" s="251" t="s">
        <v>445</v>
      </c>
      <c r="B1079" s="253">
        <v>4408</v>
      </c>
      <c r="C1079" s="237" t="s">
        <v>544</v>
      </c>
      <c r="D1079" s="254">
        <v>77529</v>
      </c>
    </row>
    <row r="1080" spans="1:4" ht="16.5" customHeight="1">
      <c r="A1080" s="251" t="s">
        <v>445</v>
      </c>
      <c r="B1080" s="253">
        <v>4409</v>
      </c>
      <c r="C1080" s="237" t="s">
        <v>544</v>
      </c>
      <c r="D1080" s="254">
        <v>14071</v>
      </c>
    </row>
    <row r="1081" spans="1:4" ht="16.5" customHeight="1">
      <c r="A1081" s="251" t="s">
        <v>445</v>
      </c>
      <c r="B1081" s="253">
        <v>4410</v>
      </c>
      <c r="C1081" s="237" t="s">
        <v>545</v>
      </c>
      <c r="D1081" s="254">
        <v>14000</v>
      </c>
    </row>
    <row r="1082" spans="1:4" ht="16.5" customHeight="1">
      <c r="A1082" s="251" t="s">
        <v>445</v>
      </c>
      <c r="B1082" s="253">
        <v>4418</v>
      </c>
      <c r="C1082" s="237" t="s">
        <v>545</v>
      </c>
      <c r="D1082" s="254">
        <v>7189</v>
      </c>
    </row>
    <row r="1083" spans="1:4" ht="16.5" customHeight="1">
      <c r="A1083" s="251" t="s">
        <v>445</v>
      </c>
      <c r="B1083" s="253">
        <v>4419</v>
      </c>
      <c r="C1083" s="237" t="s">
        <v>545</v>
      </c>
      <c r="D1083" s="254">
        <v>1311</v>
      </c>
    </row>
    <row r="1084" spans="1:4" ht="16.5" customHeight="1">
      <c r="A1084" s="251" t="s">
        <v>445</v>
      </c>
      <c r="B1084" s="253">
        <v>4420</v>
      </c>
      <c r="C1084" s="237" t="s">
        <v>546</v>
      </c>
      <c r="D1084" s="254">
        <v>3000</v>
      </c>
    </row>
    <row r="1085" spans="1:4" ht="16.5" customHeight="1">
      <c r="A1085" s="251" t="s">
        <v>445</v>
      </c>
      <c r="B1085" s="253">
        <v>4430</v>
      </c>
      <c r="C1085" s="237" t="s">
        <v>547</v>
      </c>
      <c r="D1085" s="254">
        <v>10000</v>
      </c>
    </row>
    <row r="1086" spans="1:4" ht="16.5" customHeight="1">
      <c r="A1086" s="251" t="s">
        <v>445</v>
      </c>
      <c r="B1086" s="253">
        <v>4438</v>
      </c>
      <c r="C1086" s="237" t="s">
        <v>547</v>
      </c>
      <c r="D1086" s="254">
        <v>5078</v>
      </c>
    </row>
    <row r="1087" spans="1:4" ht="16.5" customHeight="1">
      <c r="A1087" s="251" t="s">
        <v>445</v>
      </c>
      <c r="B1087" s="253">
        <v>4439</v>
      </c>
      <c r="C1087" s="237" t="s">
        <v>547</v>
      </c>
      <c r="D1087" s="254">
        <v>922</v>
      </c>
    </row>
    <row r="1088" spans="1:4" ht="16.5" customHeight="1">
      <c r="A1088" s="251" t="s">
        <v>445</v>
      </c>
      <c r="B1088" s="253">
        <v>4440</v>
      </c>
      <c r="C1088" s="237" t="s">
        <v>564</v>
      </c>
      <c r="D1088" s="254">
        <v>208077</v>
      </c>
    </row>
    <row r="1089" spans="1:4" ht="16.5" customHeight="1">
      <c r="A1089" s="251" t="s">
        <v>445</v>
      </c>
      <c r="B1089" s="253">
        <v>4480</v>
      </c>
      <c r="C1089" s="237" t="s">
        <v>565</v>
      </c>
      <c r="D1089" s="254">
        <v>28000</v>
      </c>
    </row>
    <row r="1090" spans="1:4" ht="16.5" customHeight="1">
      <c r="A1090" s="251" t="s">
        <v>445</v>
      </c>
      <c r="B1090" s="253">
        <v>4520</v>
      </c>
      <c r="C1090" s="237" t="s">
        <v>568</v>
      </c>
      <c r="D1090" s="254">
        <v>42000</v>
      </c>
    </row>
    <row r="1091" spans="1:4" ht="16.5" customHeight="1">
      <c r="A1091" s="251" t="s">
        <v>445</v>
      </c>
      <c r="B1091" s="253">
        <v>4700</v>
      </c>
      <c r="C1091" s="237" t="s">
        <v>548</v>
      </c>
      <c r="D1091" s="254">
        <v>6000</v>
      </c>
    </row>
    <row r="1092" spans="1:4" ht="16.5" customHeight="1">
      <c r="A1092" s="251" t="s">
        <v>445</v>
      </c>
      <c r="B1092" s="253">
        <v>4708</v>
      </c>
      <c r="C1092" s="237" t="s">
        <v>548</v>
      </c>
      <c r="D1092" s="254">
        <v>35667</v>
      </c>
    </row>
    <row r="1093" spans="1:4" ht="16.5" customHeight="1">
      <c r="A1093" s="251" t="s">
        <v>445</v>
      </c>
      <c r="B1093" s="253">
        <v>4709</v>
      </c>
      <c r="C1093" s="237" t="s">
        <v>548</v>
      </c>
      <c r="D1093" s="254">
        <v>6533</v>
      </c>
    </row>
    <row r="1094" spans="1:4" ht="16.5" customHeight="1">
      <c r="A1094" s="251" t="s">
        <v>445</v>
      </c>
      <c r="B1094" s="253">
        <v>6057</v>
      </c>
      <c r="C1094" s="237" t="s">
        <v>560</v>
      </c>
      <c r="D1094" s="254">
        <v>17895</v>
      </c>
    </row>
    <row r="1095" spans="1:4" ht="16.5" customHeight="1">
      <c r="A1095" s="251" t="s">
        <v>445</v>
      </c>
      <c r="B1095" s="253">
        <v>6059</v>
      </c>
      <c r="C1095" s="237" t="s">
        <v>560</v>
      </c>
      <c r="D1095" s="254">
        <v>2105</v>
      </c>
    </row>
    <row r="1096" spans="1:4" ht="16.5" customHeight="1">
      <c r="A1096" s="251" t="s">
        <v>445</v>
      </c>
      <c r="B1096" s="253">
        <v>6060</v>
      </c>
      <c r="C1096" s="237" t="s">
        <v>569</v>
      </c>
      <c r="D1096" s="254">
        <v>60000</v>
      </c>
    </row>
    <row r="1097" spans="1:4" ht="16.5" customHeight="1">
      <c r="A1097" s="255" t="s">
        <v>445</v>
      </c>
      <c r="B1097" s="256">
        <v>6068</v>
      </c>
      <c r="C1097" s="239" t="s">
        <v>569</v>
      </c>
      <c r="D1097" s="257">
        <v>23598</v>
      </c>
    </row>
    <row r="1098" spans="1:4" ht="16.5" customHeight="1">
      <c r="A1098" s="258" t="s">
        <v>445</v>
      </c>
      <c r="B1098" s="259">
        <v>6069</v>
      </c>
      <c r="C1098" s="240" t="s">
        <v>569</v>
      </c>
      <c r="D1098" s="260">
        <v>4402</v>
      </c>
    </row>
    <row r="1099" spans="1:4" s="235" customFormat="1" ht="14.25">
      <c r="A1099" s="251">
        <v>85395</v>
      </c>
      <c r="B1099" s="251" t="s">
        <v>445</v>
      </c>
      <c r="C1099" s="236" t="s">
        <v>73</v>
      </c>
      <c r="D1099" s="252">
        <f>SUM(D1100:D1106)</f>
        <v>3290000</v>
      </c>
    </row>
    <row r="1100" spans="1:4" ht="60">
      <c r="A1100" s="251" t="s">
        <v>445</v>
      </c>
      <c r="B1100" s="253">
        <v>2009</v>
      </c>
      <c r="C1100" s="237" t="s">
        <v>529</v>
      </c>
      <c r="D1100" s="254">
        <v>2928464</v>
      </c>
    </row>
    <row r="1101" spans="1:4" ht="60">
      <c r="A1101" s="251" t="s">
        <v>445</v>
      </c>
      <c r="B1101" s="253">
        <v>2059</v>
      </c>
      <c r="C1101" s="237" t="s">
        <v>511</v>
      </c>
      <c r="D1101" s="254">
        <v>78536</v>
      </c>
    </row>
    <row r="1102" spans="1:4" ht="45">
      <c r="A1102" s="251" t="s">
        <v>445</v>
      </c>
      <c r="B1102" s="253">
        <v>2360</v>
      </c>
      <c r="C1102" s="237" t="s">
        <v>572</v>
      </c>
      <c r="D1102" s="254">
        <v>100000</v>
      </c>
    </row>
    <row r="1103" spans="1:4" ht="15">
      <c r="A1103" s="251" t="s">
        <v>445</v>
      </c>
      <c r="B1103" s="253">
        <v>3040</v>
      </c>
      <c r="C1103" s="237" t="s">
        <v>577</v>
      </c>
      <c r="D1103" s="254">
        <v>21000</v>
      </c>
    </row>
    <row r="1104" spans="1:4" ht="15">
      <c r="A1104" s="251" t="s">
        <v>445</v>
      </c>
      <c r="B1104" s="253">
        <v>4210</v>
      </c>
      <c r="C1104" s="237" t="s">
        <v>537</v>
      </c>
      <c r="D1104" s="254">
        <v>3500</v>
      </c>
    </row>
    <row r="1105" spans="1:4" ht="15">
      <c r="A1105" s="251" t="s">
        <v>445</v>
      </c>
      <c r="B1105" s="253">
        <v>4220</v>
      </c>
      <c r="C1105" s="237" t="s">
        <v>538</v>
      </c>
      <c r="D1105" s="254">
        <v>3500</v>
      </c>
    </row>
    <row r="1106" spans="1:4" ht="15">
      <c r="A1106" s="251" t="s">
        <v>445</v>
      </c>
      <c r="B1106" s="253">
        <v>4300</v>
      </c>
      <c r="C1106" s="237" t="s">
        <v>541</v>
      </c>
      <c r="D1106" s="254">
        <v>155000</v>
      </c>
    </row>
    <row r="1107" spans="1:4" ht="15">
      <c r="A1107" s="261" t="s">
        <v>9</v>
      </c>
      <c r="B1107" s="261" t="s">
        <v>445</v>
      </c>
      <c r="C1107" s="238" t="s">
        <v>10</v>
      </c>
      <c r="D1107" s="262">
        <f>D1108+D1149+D1164+D1179+D1194+D1196+D1213+D1215</f>
        <v>62154421</v>
      </c>
    </row>
    <row r="1108" spans="1:4" s="235" customFormat="1" ht="14.25">
      <c r="A1108" s="251">
        <v>85403</v>
      </c>
      <c r="B1108" s="251" t="s">
        <v>445</v>
      </c>
      <c r="C1108" s="236" t="s">
        <v>64</v>
      </c>
      <c r="D1108" s="252">
        <f>SUM(D1109:D1148)</f>
        <v>48609856</v>
      </c>
    </row>
    <row r="1109" spans="1:4" ht="15">
      <c r="A1109" s="251" t="s">
        <v>445</v>
      </c>
      <c r="B1109" s="253">
        <v>3020</v>
      </c>
      <c r="C1109" s="237" t="s">
        <v>561</v>
      </c>
      <c r="D1109" s="254">
        <v>8500</v>
      </c>
    </row>
    <row r="1110" spans="1:4" ht="15">
      <c r="A1110" s="251" t="s">
        <v>445</v>
      </c>
      <c r="B1110" s="253">
        <v>4010</v>
      </c>
      <c r="C1110" s="237" t="s">
        <v>531</v>
      </c>
      <c r="D1110" s="254">
        <v>12669716</v>
      </c>
    </row>
    <row r="1111" spans="1:4" ht="15">
      <c r="A1111" s="251" t="s">
        <v>445</v>
      </c>
      <c r="B1111" s="253">
        <v>4017</v>
      </c>
      <c r="C1111" s="237" t="s">
        <v>531</v>
      </c>
      <c r="D1111" s="254">
        <v>473158</v>
      </c>
    </row>
    <row r="1112" spans="1:4" ht="15">
      <c r="A1112" s="251" t="s">
        <v>445</v>
      </c>
      <c r="B1112" s="253">
        <v>4019</v>
      </c>
      <c r="C1112" s="237" t="s">
        <v>531</v>
      </c>
      <c r="D1112" s="254">
        <v>83498</v>
      </c>
    </row>
    <row r="1113" spans="1:4" ht="15">
      <c r="A1113" s="251" t="s">
        <v>445</v>
      </c>
      <c r="B1113" s="253">
        <v>4040</v>
      </c>
      <c r="C1113" s="237" t="s">
        <v>532</v>
      </c>
      <c r="D1113" s="254">
        <v>945128</v>
      </c>
    </row>
    <row r="1114" spans="1:4" ht="15">
      <c r="A1114" s="251" t="s">
        <v>445</v>
      </c>
      <c r="B1114" s="253">
        <v>4047</v>
      </c>
      <c r="C1114" s="237" t="s">
        <v>532</v>
      </c>
      <c r="D1114" s="254">
        <v>21777</v>
      </c>
    </row>
    <row r="1115" spans="1:4" ht="15">
      <c r="A1115" s="251" t="s">
        <v>445</v>
      </c>
      <c r="B1115" s="253">
        <v>4049</v>
      </c>
      <c r="C1115" s="237" t="s">
        <v>532</v>
      </c>
      <c r="D1115" s="254">
        <v>3845</v>
      </c>
    </row>
    <row r="1116" spans="1:4" ht="15">
      <c r="A1116" s="251" t="s">
        <v>445</v>
      </c>
      <c r="B1116" s="253">
        <v>4110</v>
      </c>
      <c r="C1116" s="237" t="s">
        <v>533</v>
      </c>
      <c r="D1116" s="254">
        <v>2281846</v>
      </c>
    </row>
    <row r="1117" spans="1:4" ht="15">
      <c r="A1117" s="251" t="s">
        <v>445</v>
      </c>
      <c r="B1117" s="253">
        <v>4117</v>
      </c>
      <c r="C1117" s="237" t="s">
        <v>533</v>
      </c>
      <c r="D1117" s="254">
        <v>85078</v>
      </c>
    </row>
    <row r="1118" spans="1:4" ht="15">
      <c r="A1118" s="251" t="s">
        <v>445</v>
      </c>
      <c r="B1118" s="253">
        <v>4119</v>
      </c>
      <c r="C1118" s="237" t="s">
        <v>533</v>
      </c>
      <c r="D1118" s="254">
        <v>15014</v>
      </c>
    </row>
    <row r="1119" spans="1:4" ht="31.5" customHeight="1">
      <c r="A1119" s="251" t="s">
        <v>445</v>
      </c>
      <c r="B1119" s="253">
        <v>4120</v>
      </c>
      <c r="C1119" s="237" t="s">
        <v>534</v>
      </c>
      <c r="D1119" s="254">
        <v>295892</v>
      </c>
    </row>
    <row r="1120" spans="1:4" ht="31.5" customHeight="1">
      <c r="A1120" s="251" t="s">
        <v>445</v>
      </c>
      <c r="B1120" s="253">
        <v>4127</v>
      </c>
      <c r="C1120" s="237" t="s">
        <v>534</v>
      </c>
      <c r="D1120" s="254">
        <v>11816</v>
      </c>
    </row>
    <row r="1121" spans="1:4" ht="31.5" customHeight="1">
      <c r="A1121" s="251" t="s">
        <v>445</v>
      </c>
      <c r="B1121" s="253">
        <v>4129</v>
      </c>
      <c r="C1121" s="237" t="s">
        <v>534</v>
      </c>
      <c r="D1121" s="254">
        <v>2084</v>
      </c>
    </row>
    <row r="1122" spans="1:4" ht="15.75" customHeight="1">
      <c r="A1122" s="251" t="s">
        <v>445</v>
      </c>
      <c r="B1122" s="253">
        <v>4170</v>
      </c>
      <c r="C1122" s="237" t="s">
        <v>535</v>
      </c>
      <c r="D1122" s="254">
        <v>2000</v>
      </c>
    </row>
    <row r="1123" spans="1:4" ht="15.75" customHeight="1">
      <c r="A1123" s="251" t="s">
        <v>445</v>
      </c>
      <c r="B1123" s="253">
        <v>4210</v>
      </c>
      <c r="C1123" s="237" t="s">
        <v>537</v>
      </c>
      <c r="D1123" s="254">
        <v>198100</v>
      </c>
    </row>
    <row r="1124" spans="1:4" ht="15.75" customHeight="1">
      <c r="A1124" s="251" t="s">
        <v>445</v>
      </c>
      <c r="B1124" s="253">
        <v>4217</v>
      </c>
      <c r="C1124" s="237" t="s">
        <v>537</v>
      </c>
      <c r="D1124" s="254">
        <v>32415</v>
      </c>
    </row>
    <row r="1125" spans="1:4" ht="15.75" customHeight="1">
      <c r="A1125" s="251" t="s">
        <v>445</v>
      </c>
      <c r="B1125" s="253">
        <v>4219</v>
      </c>
      <c r="C1125" s="237" t="s">
        <v>537</v>
      </c>
      <c r="D1125" s="254">
        <v>5720</v>
      </c>
    </row>
    <row r="1126" spans="1:4" ht="15.75" customHeight="1">
      <c r="A1126" s="251" t="s">
        <v>445</v>
      </c>
      <c r="B1126" s="253">
        <v>4220</v>
      </c>
      <c r="C1126" s="237" t="s">
        <v>538</v>
      </c>
      <c r="D1126" s="254">
        <v>471000</v>
      </c>
    </row>
    <row r="1127" spans="1:4" ht="15.75" customHeight="1">
      <c r="A1127" s="251" t="s">
        <v>445</v>
      </c>
      <c r="B1127" s="253">
        <v>4240</v>
      </c>
      <c r="C1127" s="237" t="s">
        <v>584</v>
      </c>
      <c r="D1127" s="254">
        <v>21500</v>
      </c>
    </row>
    <row r="1128" spans="1:4" ht="15.75" customHeight="1">
      <c r="A1128" s="251" t="s">
        <v>445</v>
      </c>
      <c r="B1128" s="253">
        <v>4260</v>
      </c>
      <c r="C1128" s="237" t="s">
        <v>539</v>
      </c>
      <c r="D1128" s="254">
        <v>393000</v>
      </c>
    </row>
    <row r="1129" spans="1:4" ht="15.75" customHeight="1">
      <c r="A1129" s="251" t="s">
        <v>445</v>
      </c>
      <c r="B1129" s="253">
        <v>4267</v>
      </c>
      <c r="C1129" s="237" t="s">
        <v>539</v>
      </c>
      <c r="D1129" s="254">
        <v>23553</v>
      </c>
    </row>
    <row r="1130" spans="1:4" ht="15.75" customHeight="1">
      <c r="A1130" s="251" t="s">
        <v>445</v>
      </c>
      <c r="B1130" s="253">
        <v>4269</v>
      </c>
      <c r="C1130" s="237" t="s">
        <v>539</v>
      </c>
      <c r="D1130" s="254">
        <v>4157</v>
      </c>
    </row>
    <row r="1131" spans="1:4" ht="15.75" customHeight="1">
      <c r="A1131" s="251" t="s">
        <v>445</v>
      </c>
      <c r="B1131" s="253">
        <v>4270</v>
      </c>
      <c r="C1131" s="237" t="s">
        <v>540</v>
      </c>
      <c r="D1131" s="254">
        <v>830000</v>
      </c>
    </row>
    <row r="1132" spans="1:4" ht="15.75" customHeight="1">
      <c r="A1132" s="251" t="s">
        <v>445</v>
      </c>
      <c r="B1132" s="253">
        <v>4280</v>
      </c>
      <c r="C1132" s="237" t="s">
        <v>563</v>
      </c>
      <c r="D1132" s="254">
        <v>8300</v>
      </c>
    </row>
    <row r="1133" spans="1:4" ht="15.75" customHeight="1">
      <c r="A1133" s="251" t="s">
        <v>445</v>
      </c>
      <c r="B1133" s="253">
        <v>4300</v>
      </c>
      <c r="C1133" s="237" t="s">
        <v>541</v>
      </c>
      <c r="D1133" s="254">
        <v>404334</v>
      </c>
    </row>
    <row r="1134" spans="1:4" ht="15.75" customHeight="1">
      <c r="A1134" s="251" t="s">
        <v>445</v>
      </c>
      <c r="B1134" s="253">
        <v>4307</v>
      </c>
      <c r="C1134" s="237" t="s">
        <v>541</v>
      </c>
      <c r="D1134" s="254">
        <v>224969</v>
      </c>
    </row>
    <row r="1135" spans="1:4" ht="15.75" customHeight="1">
      <c r="A1135" s="251" t="s">
        <v>445</v>
      </c>
      <c r="B1135" s="253">
        <v>4309</v>
      </c>
      <c r="C1135" s="237" t="s">
        <v>541</v>
      </c>
      <c r="D1135" s="254">
        <v>39700</v>
      </c>
    </row>
    <row r="1136" spans="1:4" ht="15.75" customHeight="1">
      <c r="A1136" s="251" t="s">
        <v>445</v>
      </c>
      <c r="B1136" s="253">
        <v>4360</v>
      </c>
      <c r="C1136" s="237" t="s">
        <v>542</v>
      </c>
      <c r="D1136" s="254">
        <v>15900</v>
      </c>
    </row>
    <row r="1137" spans="1:4" ht="15.75" customHeight="1">
      <c r="A1137" s="251" t="s">
        <v>445</v>
      </c>
      <c r="B1137" s="253">
        <v>4390</v>
      </c>
      <c r="C1137" s="237" t="s">
        <v>557</v>
      </c>
      <c r="D1137" s="254">
        <v>1000</v>
      </c>
    </row>
    <row r="1138" spans="1:4" ht="15.75" customHeight="1">
      <c r="A1138" s="251" t="s">
        <v>445</v>
      </c>
      <c r="B1138" s="253">
        <v>4410</v>
      </c>
      <c r="C1138" s="237" t="s">
        <v>545</v>
      </c>
      <c r="D1138" s="254">
        <v>2600</v>
      </c>
    </row>
    <row r="1139" spans="1:4" ht="15.75" customHeight="1">
      <c r="A1139" s="251" t="s">
        <v>445</v>
      </c>
      <c r="B1139" s="253">
        <v>4430</v>
      </c>
      <c r="C1139" s="237" t="s">
        <v>547</v>
      </c>
      <c r="D1139" s="254">
        <v>33000</v>
      </c>
    </row>
    <row r="1140" spans="1:4" ht="15.75" customHeight="1">
      <c r="A1140" s="251" t="s">
        <v>445</v>
      </c>
      <c r="B1140" s="253">
        <v>4440</v>
      </c>
      <c r="C1140" s="237" t="s">
        <v>564</v>
      </c>
      <c r="D1140" s="254">
        <v>440204</v>
      </c>
    </row>
    <row r="1141" spans="1:4" ht="15.75" customHeight="1">
      <c r="A1141" s="251" t="s">
        <v>445</v>
      </c>
      <c r="B1141" s="253">
        <v>4480</v>
      </c>
      <c r="C1141" s="237" t="s">
        <v>565</v>
      </c>
      <c r="D1141" s="254">
        <v>100</v>
      </c>
    </row>
    <row r="1142" spans="1:4" ht="15.75" customHeight="1">
      <c r="A1142" s="251" t="s">
        <v>445</v>
      </c>
      <c r="B1142" s="253">
        <v>4500</v>
      </c>
      <c r="C1142" s="237" t="s">
        <v>566</v>
      </c>
      <c r="D1142" s="254">
        <v>1500</v>
      </c>
    </row>
    <row r="1143" spans="1:4" ht="15.75" customHeight="1">
      <c r="A1143" s="251" t="s">
        <v>445</v>
      </c>
      <c r="B1143" s="253">
        <v>4520</v>
      </c>
      <c r="C1143" s="237" t="s">
        <v>568</v>
      </c>
      <c r="D1143" s="254">
        <v>242</v>
      </c>
    </row>
    <row r="1144" spans="1:4" ht="15.75" customHeight="1">
      <c r="A1144" s="251" t="s">
        <v>445</v>
      </c>
      <c r="B1144" s="253">
        <v>4700</v>
      </c>
      <c r="C1144" s="237" t="s">
        <v>548</v>
      </c>
      <c r="D1144" s="254">
        <v>8000</v>
      </c>
    </row>
    <row r="1145" spans="1:4" ht="15.75" customHeight="1">
      <c r="A1145" s="251" t="s">
        <v>445</v>
      </c>
      <c r="B1145" s="253">
        <v>6050</v>
      </c>
      <c r="C1145" s="237" t="s">
        <v>560</v>
      </c>
      <c r="D1145" s="254">
        <v>13802230</v>
      </c>
    </row>
    <row r="1146" spans="1:4" ht="15.75" customHeight="1">
      <c r="A1146" s="251" t="s">
        <v>445</v>
      </c>
      <c r="B1146" s="253">
        <v>6057</v>
      </c>
      <c r="C1146" s="237" t="s">
        <v>560</v>
      </c>
      <c r="D1146" s="254">
        <v>12502634</v>
      </c>
    </row>
    <row r="1147" spans="1:4" ht="15.75" customHeight="1">
      <c r="A1147" s="255" t="s">
        <v>445</v>
      </c>
      <c r="B1147" s="256">
        <v>6059</v>
      </c>
      <c r="C1147" s="239" t="s">
        <v>560</v>
      </c>
      <c r="D1147" s="257">
        <v>2206346</v>
      </c>
    </row>
    <row r="1148" spans="1:4" ht="15.75" customHeight="1">
      <c r="A1148" s="258" t="s">
        <v>445</v>
      </c>
      <c r="B1148" s="259">
        <v>6060</v>
      </c>
      <c r="C1148" s="240" t="s">
        <v>569</v>
      </c>
      <c r="D1148" s="260">
        <v>40000</v>
      </c>
    </row>
    <row r="1149" spans="1:4" s="235" customFormat="1" ht="14.25">
      <c r="A1149" s="251">
        <v>85404</v>
      </c>
      <c r="B1149" s="251" t="s">
        <v>445</v>
      </c>
      <c r="C1149" s="236" t="s">
        <v>87</v>
      </c>
      <c r="D1149" s="252">
        <f>SUM(D1150:D1163)</f>
        <v>1404716</v>
      </c>
    </row>
    <row r="1150" spans="1:4" ht="15">
      <c r="A1150" s="251" t="s">
        <v>445</v>
      </c>
      <c r="B1150" s="253">
        <v>4010</v>
      </c>
      <c r="C1150" s="237" t="s">
        <v>531</v>
      </c>
      <c r="D1150" s="254">
        <v>1011565</v>
      </c>
    </row>
    <row r="1151" spans="1:4" ht="15">
      <c r="A1151" s="251" t="s">
        <v>445</v>
      </c>
      <c r="B1151" s="253">
        <v>4040</v>
      </c>
      <c r="C1151" s="237" t="s">
        <v>532</v>
      </c>
      <c r="D1151" s="254">
        <v>71527</v>
      </c>
    </row>
    <row r="1152" spans="1:4" ht="15">
      <c r="A1152" s="251" t="s">
        <v>445</v>
      </c>
      <c r="B1152" s="253">
        <v>4110</v>
      </c>
      <c r="C1152" s="237" t="s">
        <v>533</v>
      </c>
      <c r="D1152" s="254">
        <v>189108</v>
      </c>
    </row>
    <row r="1153" spans="1:4" ht="30">
      <c r="A1153" s="251" t="s">
        <v>445</v>
      </c>
      <c r="B1153" s="253">
        <v>4120</v>
      </c>
      <c r="C1153" s="237" t="s">
        <v>534</v>
      </c>
      <c r="D1153" s="254">
        <v>28154</v>
      </c>
    </row>
    <row r="1154" spans="1:4" ht="15">
      <c r="A1154" s="251" t="s">
        <v>445</v>
      </c>
      <c r="B1154" s="253">
        <v>4210</v>
      </c>
      <c r="C1154" s="237" t="s">
        <v>537</v>
      </c>
      <c r="D1154" s="254">
        <v>9000</v>
      </c>
    </row>
    <row r="1155" spans="1:4" ht="15">
      <c r="A1155" s="251" t="s">
        <v>445</v>
      </c>
      <c r="B1155" s="253">
        <v>4240</v>
      </c>
      <c r="C1155" s="237" t="s">
        <v>584</v>
      </c>
      <c r="D1155" s="254">
        <v>14000</v>
      </c>
    </row>
    <row r="1156" spans="1:4" ht="15">
      <c r="A1156" s="251" t="s">
        <v>445</v>
      </c>
      <c r="B1156" s="253">
        <v>4260</v>
      </c>
      <c r="C1156" s="237" t="s">
        <v>539</v>
      </c>
      <c r="D1156" s="254">
        <v>27000</v>
      </c>
    </row>
    <row r="1157" spans="1:4" ht="15">
      <c r="A1157" s="251" t="s">
        <v>445</v>
      </c>
      <c r="B1157" s="253">
        <v>4270</v>
      </c>
      <c r="C1157" s="237" t="s">
        <v>540</v>
      </c>
      <c r="D1157" s="254">
        <v>2500</v>
      </c>
    </row>
    <row r="1158" spans="1:4" ht="15">
      <c r="A1158" s="251" t="s">
        <v>445</v>
      </c>
      <c r="B1158" s="253">
        <v>4280</v>
      </c>
      <c r="C1158" s="237" t="s">
        <v>563</v>
      </c>
      <c r="D1158" s="254">
        <v>500</v>
      </c>
    </row>
    <row r="1159" spans="1:4" ht="15">
      <c r="A1159" s="251" t="s">
        <v>445</v>
      </c>
      <c r="B1159" s="253">
        <v>4300</v>
      </c>
      <c r="C1159" s="237" t="s">
        <v>541</v>
      </c>
      <c r="D1159" s="254">
        <v>13000</v>
      </c>
    </row>
    <row r="1160" spans="1:4" ht="15">
      <c r="A1160" s="251" t="s">
        <v>445</v>
      </c>
      <c r="B1160" s="253">
        <v>4410</v>
      </c>
      <c r="C1160" s="237" t="s">
        <v>545</v>
      </c>
      <c r="D1160" s="254">
        <v>500</v>
      </c>
    </row>
    <row r="1161" spans="1:4" ht="15">
      <c r="A1161" s="251" t="s">
        <v>445</v>
      </c>
      <c r="B1161" s="253">
        <v>4430</v>
      </c>
      <c r="C1161" s="237" t="s">
        <v>547</v>
      </c>
      <c r="D1161" s="254">
        <v>1100</v>
      </c>
    </row>
    <row r="1162" spans="1:4" ht="15">
      <c r="A1162" s="251" t="s">
        <v>445</v>
      </c>
      <c r="B1162" s="253">
        <v>4440</v>
      </c>
      <c r="C1162" s="237" t="s">
        <v>564</v>
      </c>
      <c r="D1162" s="254">
        <v>36262</v>
      </c>
    </row>
    <row r="1163" spans="1:4" ht="15">
      <c r="A1163" s="251" t="s">
        <v>445</v>
      </c>
      <c r="B1163" s="253">
        <v>4700</v>
      </c>
      <c r="C1163" s="237" t="s">
        <v>548</v>
      </c>
      <c r="D1163" s="254">
        <v>500</v>
      </c>
    </row>
    <row r="1164" spans="1:4" s="235" customFormat="1" ht="14.25">
      <c r="A1164" s="251">
        <v>85407</v>
      </c>
      <c r="B1164" s="251" t="s">
        <v>445</v>
      </c>
      <c r="C1164" s="236" t="s">
        <v>65</v>
      </c>
      <c r="D1164" s="252">
        <f>SUM(D1165:D1178)</f>
        <v>4056505</v>
      </c>
    </row>
    <row r="1165" spans="1:4" ht="15">
      <c r="A1165" s="251" t="s">
        <v>445</v>
      </c>
      <c r="B1165" s="253">
        <v>3020</v>
      </c>
      <c r="C1165" s="237" t="s">
        <v>561</v>
      </c>
      <c r="D1165" s="254">
        <v>8893</v>
      </c>
    </row>
    <row r="1166" spans="1:4" ht="15">
      <c r="A1166" s="251" t="s">
        <v>445</v>
      </c>
      <c r="B1166" s="253">
        <v>4010</v>
      </c>
      <c r="C1166" s="237" t="s">
        <v>531</v>
      </c>
      <c r="D1166" s="254">
        <v>3059818</v>
      </c>
    </row>
    <row r="1167" spans="1:4" ht="15">
      <c r="A1167" s="251" t="s">
        <v>445</v>
      </c>
      <c r="B1167" s="253">
        <v>4040</v>
      </c>
      <c r="C1167" s="237" t="s">
        <v>532</v>
      </c>
      <c r="D1167" s="254">
        <v>252656</v>
      </c>
    </row>
    <row r="1168" spans="1:4" ht="15">
      <c r="A1168" s="251" t="s">
        <v>445</v>
      </c>
      <c r="B1168" s="253">
        <v>4110</v>
      </c>
      <c r="C1168" s="237" t="s">
        <v>533</v>
      </c>
      <c r="D1168" s="254">
        <v>527030</v>
      </c>
    </row>
    <row r="1169" spans="1:4" ht="30">
      <c r="A1169" s="251" t="s">
        <v>445</v>
      </c>
      <c r="B1169" s="253">
        <v>4120</v>
      </c>
      <c r="C1169" s="237" t="s">
        <v>534</v>
      </c>
      <c r="D1169" s="254">
        <v>54253</v>
      </c>
    </row>
    <row r="1170" spans="1:4" ht="15">
      <c r="A1170" s="251" t="s">
        <v>445</v>
      </c>
      <c r="B1170" s="253">
        <v>4210</v>
      </c>
      <c r="C1170" s="237" t="s">
        <v>537</v>
      </c>
      <c r="D1170" s="254">
        <v>16782</v>
      </c>
    </row>
    <row r="1171" spans="1:4" ht="15">
      <c r="A1171" s="251" t="s">
        <v>445</v>
      </c>
      <c r="B1171" s="253">
        <v>4240</v>
      </c>
      <c r="C1171" s="237" t="s">
        <v>584</v>
      </c>
      <c r="D1171" s="254">
        <v>7800</v>
      </c>
    </row>
    <row r="1172" spans="1:4" ht="15">
      <c r="A1172" s="251" t="s">
        <v>445</v>
      </c>
      <c r="B1172" s="253">
        <v>4270</v>
      </c>
      <c r="C1172" s="237" t="s">
        <v>540</v>
      </c>
      <c r="D1172" s="254">
        <v>3106</v>
      </c>
    </row>
    <row r="1173" spans="1:4" ht="15">
      <c r="A1173" s="251" t="s">
        <v>445</v>
      </c>
      <c r="B1173" s="253">
        <v>4280</v>
      </c>
      <c r="C1173" s="237" t="s">
        <v>563</v>
      </c>
      <c r="D1173" s="254">
        <v>860</v>
      </c>
    </row>
    <row r="1174" spans="1:4" ht="15">
      <c r="A1174" s="251" t="s">
        <v>445</v>
      </c>
      <c r="B1174" s="253">
        <v>4300</v>
      </c>
      <c r="C1174" s="237" t="s">
        <v>541</v>
      </c>
      <c r="D1174" s="254">
        <v>829</v>
      </c>
    </row>
    <row r="1175" spans="1:4" ht="15">
      <c r="A1175" s="251" t="s">
        <v>445</v>
      </c>
      <c r="B1175" s="253">
        <v>4360</v>
      </c>
      <c r="C1175" s="237" t="s">
        <v>542</v>
      </c>
      <c r="D1175" s="254">
        <v>486</v>
      </c>
    </row>
    <row r="1176" spans="1:4" ht="15">
      <c r="A1176" s="251" t="s">
        <v>445</v>
      </c>
      <c r="B1176" s="253">
        <v>4410</v>
      </c>
      <c r="C1176" s="237" t="s">
        <v>545</v>
      </c>
      <c r="D1176" s="254">
        <v>1191</v>
      </c>
    </row>
    <row r="1177" spans="1:4" ht="15">
      <c r="A1177" s="251" t="s">
        <v>445</v>
      </c>
      <c r="B1177" s="253">
        <v>4440</v>
      </c>
      <c r="C1177" s="237" t="s">
        <v>564</v>
      </c>
      <c r="D1177" s="254">
        <v>120801</v>
      </c>
    </row>
    <row r="1178" spans="1:4" ht="15">
      <c r="A1178" s="251" t="s">
        <v>445</v>
      </c>
      <c r="B1178" s="253">
        <v>4700</v>
      </c>
      <c r="C1178" s="237" t="s">
        <v>548</v>
      </c>
      <c r="D1178" s="254">
        <v>2000</v>
      </c>
    </row>
    <row r="1179" spans="1:4" s="235" customFormat="1" ht="14.25">
      <c r="A1179" s="251">
        <v>85410</v>
      </c>
      <c r="B1179" s="251" t="s">
        <v>445</v>
      </c>
      <c r="C1179" s="236" t="s">
        <v>199</v>
      </c>
      <c r="D1179" s="252">
        <f>SUM(D1180:D1193)</f>
        <v>1551067</v>
      </c>
    </row>
    <row r="1180" spans="1:4" ht="15">
      <c r="A1180" s="251" t="s">
        <v>445</v>
      </c>
      <c r="B1180" s="253">
        <v>3020</v>
      </c>
      <c r="C1180" s="237" t="s">
        <v>561</v>
      </c>
      <c r="D1180" s="254">
        <v>2500</v>
      </c>
    </row>
    <row r="1181" spans="1:4" ht="15">
      <c r="A1181" s="251" t="s">
        <v>445</v>
      </c>
      <c r="B1181" s="253">
        <v>4010</v>
      </c>
      <c r="C1181" s="237" t="s">
        <v>531</v>
      </c>
      <c r="D1181" s="254">
        <v>988333</v>
      </c>
    </row>
    <row r="1182" spans="1:4" ht="15">
      <c r="A1182" s="251" t="s">
        <v>445</v>
      </c>
      <c r="B1182" s="253">
        <v>4040</v>
      </c>
      <c r="C1182" s="237" t="s">
        <v>532</v>
      </c>
      <c r="D1182" s="254">
        <v>74421</v>
      </c>
    </row>
    <row r="1183" spans="1:4" ht="15">
      <c r="A1183" s="251" t="s">
        <v>445</v>
      </c>
      <c r="B1183" s="253">
        <v>4110</v>
      </c>
      <c r="C1183" s="237" t="s">
        <v>533</v>
      </c>
      <c r="D1183" s="254">
        <v>180380</v>
      </c>
    </row>
    <row r="1184" spans="1:4" ht="30">
      <c r="A1184" s="251" t="s">
        <v>445</v>
      </c>
      <c r="B1184" s="253">
        <v>4120</v>
      </c>
      <c r="C1184" s="237" t="s">
        <v>534</v>
      </c>
      <c r="D1184" s="254">
        <v>21531</v>
      </c>
    </row>
    <row r="1185" spans="1:4" ht="15">
      <c r="A1185" s="251" t="s">
        <v>445</v>
      </c>
      <c r="B1185" s="253">
        <v>4210</v>
      </c>
      <c r="C1185" s="237" t="s">
        <v>537</v>
      </c>
      <c r="D1185" s="254">
        <v>180000</v>
      </c>
    </row>
    <row r="1186" spans="1:4" ht="15">
      <c r="A1186" s="251" t="s">
        <v>445</v>
      </c>
      <c r="B1186" s="253">
        <v>4260</v>
      </c>
      <c r="C1186" s="237" t="s">
        <v>539</v>
      </c>
      <c r="D1186" s="254">
        <v>27500</v>
      </c>
    </row>
    <row r="1187" spans="1:4" ht="15">
      <c r="A1187" s="251" t="s">
        <v>445</v>
      </c>
      <c r="B1187" s="253">
        <v>4270</v>
      </c>
      <c r="C1187" s="237" t="s">
        <v>540</v>
      </c>
      <c r="D1187" s="254">
        <v>1600</v>
      </c>
    </row>
    <row r="1188" spans="1:4" ht="15">
      <c r="A1188" s="251" t="s">
        <v>445</v>
      </c>
      <c r="B1188" s="253">
        <v>4280</v>
      </c>
      <c r="C1188" s="237" t="s">
        <v>563</v>
      </c>
      <c r="D1188" s="254">
        <v>400</v>
      </c>
    </row>
    <row r="1189" spans="1:4" ht="15">
      <c r="A1189" s="251" t="s">
        <v>445</v>
      </c>
      <c r="B1189" s="253">
        <v>4300</v>
      </c>
      <c r="C1189" s="237" t="s">
        <v>541</v>
      </c>
      <c r="D1189" s="254">
        <v>20000</v>
      </c>
    </row>
    <row r="1190" spans="1:4" ht="15">
      <c r="A1190" s="251" t="s">
        <v>445</v>
      </c>
      <c r="B1190" s="253">
        <v>4360</v>
      </c>
      <c r="C1190" s="237" t="s">
        <v>542</v>
      </c>
      <c r="D1190" s="254">
        <v>1500</v>
      </c>
    </row>
    <row r="1191" spans="1:4" ht="15">
      <c r="A1191" s="251" t="s">
        <v>445</v>
      </c>
      <c r="B1191" s="253">
        <v>4440</v>
      </c>
      <c r="C1191" s="237" t="s">
        <v>564</v>
      </c>
      <c r="D1191" s="254">
        <v>39170</v>
      </c>
    </row>
    <row r="1192" spans="1:4" ht="15">
      <c r="A1192" s="251" t="s">
        <v>445</v>
      </c>
      <c r="B1192" s="253">
        <v>4520</v>
      </c>
      <c r="C1192" s="237" t="s">
        <v>568</v>
      </c>
      <c r="D1192" s="254">
        <v>13232</v>
      </c>
    </row>
    <row r="1193" spans="1:4" ht="15">
      <c r="A1193" s="251" t="s">
        <v>445</v>
      </c>
      <c r="B1193" s="253">
        <v>4700</v>
      </c>
      <c r="C1193" s="237" t="s">
        <v>548</v>
      </c>
      <c r="D1193" s="254">
        <v>500</v>
      </c>
    </row>
    <row r="1194" spans="1:4" s="235" customFormat="1" ht="14.25">
      <c r="A1194" s="251">
        <v>85415</v>
      </c>
      <c r="B1194" s="251" t="s">
        <v>445</v>
      </c>
      <c r="C1194" s="236" t="s">
        <v>200</v>
      </c>
      <c r="D1194" s="252">
        <f>D1195</f>
        <v>219000</v>
      </c>
    </row>
    <row r="1195" spans="1:4" ht="30">
      <c r="A1195" s="251" t="s">
        <v>445</v>
      </c>
      <c r="B1195" s="253">
        <v>2320</v>
      </c>
      <c r="C1195" s="237" t="s">
        <v>588</v>
      </c>
      <c r="D1195" s="254">
        <v>219000</v>
      </c>
    </row>
    <row r="1196" spans="1:4" s="235" customFormat="1" ht="14.25">
      <c r="A1196" s="251">
        <v>85416</v>
      </c>
      <c r="B1196" s="251" t="s">
        <v>445</v>
      </c>
      <c r="C1196" s="236" t="s">
        <v>201</v>
      </c>
      <c r="D1196" s="252">
        <f>SUM(D1197:D1212)</f>
        <v>5867450</v>
      </c>
    </row>
    <row r="1197" spans="1:4" ht="15">
      <c r="A1197" s="251" t="s">
        <v>445</v>
      </c>
      <c r="B1197" s="253">
        <v>3247</v>
      </c>
      <c r="C1197" s="237" t="s">
        <v>590</v>
      </c>
      <c r="D1197" s="254">
        <v>4520725</v>
      </c>
    </row>
    <row r="1198" spans="1:4" ht="15">
      <c r="A1198" s="251" t="s">
        <v>445</v>
      </c>
      <c r="B1198" s="253">
        <v>3249</v>
      </c>
      <c r="C1198" s="237" t="s">
        <v>590</v>
      </c>
      <c r="D1198" s="254">
        <v>797775</v>
      </c>
    </row>
    <row r="1199" spans="1:4" ht="15">
      <c r="A1199" s="251" t="s">
        <v>445</v>
      </c>
      <c r="B1199" s="253">
        <v>4017</v>
      </c>
      <c r="C1199" s="237" t="s">
        <v>531</v>
      </c>
      <c r="D1199" s="254">
        <v>275834</v>
      </c>
    </row>
    <row r="1200" spans="1:4" ht="15">
      <c r="A1200" s="251" t="s">
        <v>445</v>
      </c>
      <c r="B1200" s="253">
        <v>4019</v>
      </c>
      <c r="C1200" s="237" t="s">
        <v>531</v>
      </c>
      <c r="D1200" s="254">
        <v>48676</v>
      </c>
    </row>
    <row r="1201" spans="1:4" ht="15">
      <c r="A1201" s="251" t="s">
        <v>445</v>
      </c>
      <c r="B1201" s="253">
        <v>4047</v>
      </c>
      <c r="C1201" s="237" t="s">
        <v>532</v>
      </c>
      <c r="D1201" s="254">
        <v>6800</v>
      </c>
    </row>
    <row r="1202" spans="1:4" ht="15">
      <c r="A1202" s="251" t="s">
        <v>445</v>
      </c>
      <c r="B1202" s="253">
        <v>4049</v>
      </c>
      <c r="C1202" s="237" t="s">
        <v>532</v>
      </c>
      <c r="D1202" s="254">
        <v>1200</v>
      </c>
    </row>
    <row r="1203" spans="1:4" ht="15">
      <c r="A1203" s="251" t="s">
        <v>445</v>
      </c>
      <c r="B1203" s="253">
        <v>4117</v>
      </c>
      <c r="C1203" s="237" t="s">
        <v>533</v>
      </c>
      <c r="D1203" s="254">
        <v>48586</v>
      </c>
    </row>
    <row r="1204" spans="1:4" ht="15">
      <c r="A1204" s="251" t="s">
        <v>445</v>
      </c>
      <c r="B1204" s="253">
        <v>4119</v>
      </c>
      <c r="C1204" s="237" t="s">
        <v>533</v>
      </c>
      <c r="D1204" s="254">
        <v>8575</v>
      </c>
    </row>
    <row r="1205" spans="1:4" ht="30">
      <c r="A1205" s="255" t="s">
        <v>445</v>
      </c>
      <c r="B1205" s="256">
        <v>4127</v>
      </c>
      <c r="C1205" s="239" t="s">
        <v>534</v>
      </c>
      <c r="D1205" s="257">
        <v>6925</v>
      </c>
    </row>
    <row r="1206" spans="1:4" ht="30">
      <c r="A1206" s="258" t="s">
        <v>445</v>
      </c>
      <c r="B1206" s="259">
        <v>4129</v>
      </c>
      <c r="C1206" s="240" t="s">
        <v>534</v>
      </c>
      <c r="D1206" s="260">
        <v>1222</v>
      </c>
    </row>
    <row r="1207" spans="1:4" ht="15">
      <c r="A1207" s="251" t="s">
        <v>445</v>
      </c>
      <c r="B1207" s="253">
        <v>4217</v>
      </c>
      <c r="C1207" s="237" t="s">
        <v>537</v>
      </c>
      <c r="D1207" s="254">
        <v>55150</v>
      </c>
    </row>
    <row r="1208" spans="1:4" ht="15">
      <c r="A1208" s="251" t="s">
        <v>445</v>
      </c>
      <c r="B1208" s="253">
        <v>4219</v>
      </c>
      <c r="C1208" s="237" t="s">
        <v>537</v>
      </c>
      <c r="D1208" s="254">
        <v>9732</v>
      </c>
    </row>
    <row r="1209" spans="1:4" ht="15">
      <c r="A1209" s="251" t="s">
        <v>445</v>
      </c>
      <c r="B1209" s="253">
        <v>4267</v>
      </c>
      <c r="C1209" s="237" t="s">
        <v>539</v>
      </c>
      <c r="D1209" s="254">
        <v>3613</v>
      </c>
    </row>
    <row r="1210" spans="1:4" ht="15">
      <c r="A1210" s="251" t="s">
        <v>445</v>
      </c>
      <c r="B1210" s="253">
        <v>4269</v>
      </c>
      <c r="C1210" s="237" t="s">
        <v>539</v>
      </c>
      <c r="D1210" s="254">
        <v>637</v>
      </c>
    </row>
    <row r="1211" spans="1:4" ht="15">
      <c r="A1211" s="251" t="s">
        <v>445</v>
      </c>
      <c r="B1211" s="253">
        <v>4307</v>
      </c>
      <c r="C1211" s="237" t="s">
        <v>541</v>
      </c>
      <c r="D1211" s="254">
        <v>69700</v>
      </c>
    </row>
    <row r="1212" spans="1:4" ht="15">
      <c r="A1212" s="251" t="s">
        <v>445</v>
      </c>
      <c r="B1212" s="253">
        <v>4309</v>
      </c>
      <c r="C1212" s="237" t="s">
        <v>541</v>
      </c>
      <c r="D1212" s="254">
        <v>12300</v>
      </c>
    </row>
    <row r="1213" spans="1:4" s="235" customFormat="1" ht="14.25">
      <c r="A1213" s="251">
        <v>85446</v>
      </c>
      <c r="B1213" s="251" t="s">
        <v>445</v>
      </c>
      <c r="C1213" s="236" t="s">
        <v>57</v>
      </c>
      <c r="D1213" s="252">
        <f>D1214</f>
        <v>91170</v>
      </c>
    </row>
    <row r="1214" spans="1:4" ht="15">
      <c r="A1214" s="251" t="s">
        <v>445</v>
      </c>
      <c r="B1214" s="253">
        <v>4300</v>
      </c>
      <c r="C1214" s="237" t="s">
        <v>541</v>
      </c>
      <c r="D1214" s="254">
        <v>91170</v>
      </c>
    </row>
    <row r="1215" spans="1:4" s="235" customFormat="1" ht="14.25">
      <c r="A1215" s="251">
        <v>85495</v>
      </c>
      <c r="B1215" s="251" t="s">
        <v>445</v>
      </c>
      <c r="C1215" s="236" t="s">
        <v>73</v>
      </c>
      <c r="D1215" s="252">
        <f>SUM(D1216:D1220)</f>
        <v>354657</v>
      </c>
    </row>
    <row r="1216" spans="1:4" ht="15">
      <c r="A1216" s="251" t="s">
        <v>445</v>
      </c>
      <c r="B1216" s="253">
        <v>3020</v>
      </c>
      <c r="C1216" s="237" t="s">
        <v>561</v>
      </c>
      <c r="D1216" s="254">
        <v>40000</v>
      </c>
    </row>
    <row r="1217" spans="1:4" ht="15">
      <c r="A1217" s="251" t="s">
        <v>445</v>
      </c>
      <c r="B1217" s="253">
        <v>4190</v>
      </c>
      <c r="C1217" s="237" t="s">
        <v>536</v>
      </c>
      <c r="D1217" s="254">
        <v>10000</v>
      </c>
    </row>
    <row r="1218" spans="1:4" ht="15">
      <c r="A1218" s="251" t="s">
        <v>445</v>
      </c>
      <c r="B1218" s="253">
        <v>4210</v>
      </c>
      <c r="C1218" s="237" t="s">
        <v>537</v>
      </c>
      <c r="D1218" s="254">
        <v>10000</v>
      </c>
    </row>
    <row r="1219" spans="1:4" ht="15">
      <c r="A1219" s="251" t="s">
        <v>445</v>
      </c>
      <c r="B1219" s="253">
        <v>4300</v>
      </c>
      <c r="C1219" s="237" t="s">
        <v>541</v>
      </c>
      <c r="D1219" s="254">
        <v>80000</v>
      </c>
    </row>
    <row r="1220" spans="1:4" ht="15">
      <c r="A1220" s="251" t="s">
        <v>445</v>
      </c>
      <c r="B1220" s="253">
        <v>4440</v>
      </c>
      <c r="C1220" s="237" t="s">
        <v>564</v>
      </c>
      <c r="D1220" s="254">
        <v>214657</v>
      </c>
    </row>
    <row r="1221" spans="1:4" ht="15">
      <c r="A1221" s="261" t="s">
        <v>89</v>
      </c>
      <c r="B1221" s="261" t="s">
        <v>445</v>
      </c>
      <c r="C1221" s="238" t="s">
        <v>90</v>
      </c>
      <c r="D1221" s="262">
        <f>D1222+D1242</f>
        <v>6078936</v>
      </c>
    </row>
    <row r="1222" spans="1:4" s="235" customFormat="1" ht="14.25">
      <c r="A1222" s="251">
        <v>85509</v>
      </c>
      <c r="B1222" s="251" t="s">
        <v>445</v>
      </c>
      <c r="C1222" s="236" t="s">
        <v>96</v>
      </c>
      <c r="D1222" s="252">
        <f>SUM(D1223:D1241)</f>
        <v>1852000</v>
      </c>
    </row>
    <row r="1223" spans="1:4" ht="45">
      <c r="A1223" s="251" t="s">
        <v>445</v>
      </c>
      <c r="B1223" s="253">
        <v>2360</v>
      </c>
      <c r="C1223" s="237" t="s">
        <v>572</v>
      </c>
      <c r="D1223" s="254">
        <v>430000</v>
      </c>
    </row>
    <row r="1224" spans="1:4" ht="15">
      <c r="A1224" s="251" t="s">
        <v>445</v>
      </c>
      <c r="B1224" s="253">
        <v>3020</v>
      </c>
      <c r="C1224" s="237" t="s">
        <v>561</v>
      </c>
      <c r="D1224" s="254">
        <v>1000</v>
      </c>
    </row>
    <row r="1225" spans="1:4" ht="15">
      <c r="A1225" s="251" t="s">
        <v>445</v>
      </c>
      <c r="B1225" s="253">
        <v>4010</v>
      </c>
      <c r="C1225" s="237" t="s">
        <v>531</v>
      </c>
      <c r="D1225" s="254">
        <v>929275</v>
      </c>
    </row>
    <row r="1226" spans="1:4" ht="15">
      <c r="A1226" s="251" t="s">
        <v>445</v>
      </c>
      <c r="B1226" s="253">
        <v>4040</v>
      </c>
      <c r="C1226" s="237" t="s">
        <v>532</v>
      </c>
      <c r="D1226" s="254">
        <v>142000</v>
      </c>
    </row>
    <row r="1227" spans="1:4" ht="15">
      <c r="A1227" s="251" t="s">
        <v>445</v>
      </c>
      <c r="B1227" s="253">
        <v>4110</v>
      </c>
      <c r="C1227" s="237" t="s">
        <v>533</v>
      </c>
      <c r="D1227" s="254">
        <v>175000</v>
      </c>
    </row>
    <row r="1228" spans="1:4" ht="30">
      <c r="A1228" s="251" t="s">
        <v>445</v>
      </c>
      <c r="B1228" s="253">
        <v>4120</v>
      </c>
      <c r="C1228" s="237" t="s">
        <v>534</v>
      </c>
      <c r="D1228" s="254">
        <v>16000</v>
      </c>
    </row>
    <row r="1229" spans="1:4" ht="15">
      <c r="A1229" s="251" t="s">
        <v>445</v>
      </c>
      <c r="B1229" s="253">
        <v>4210</v>
      </c>
      <c r="C1229" s="237" t="s">
        <v>537</v>
      </c>
      <c r="D1229" s="254">
        <v>7820</v>
      </c>
    </row>
    <row r="1230" spans="1:4" ht="15">
      <c r="A1230" s="251" t="s">
        <v>445</v>
      </c>
      <c r="B1230" s="253">
        <v>4220</v>
      </c>
      <c r="C1230" s="237" t="s">
        <v>538</v>
      </c>
      <c r="D1230" s="254">
        <v>5000</v>
      </c>
    </row>
    <row r="1231" spans="1:4" ht="15">
      <c r="A1231" s="251" t="s">
        <v>445</v>
      </c>
      <c r="B1231" s="253">
        <v>4260</v>
      </c>
      <c r="C1231" s="237" t="s">
        <v>539</v>
      </c>
      <c r="D1231" s="254">
        <v>25000</v>
      </c>
    </row>
    <row r="1232" spans="1:4" ht="15">
      <c r="A1232" s="251" t="s">
        <v>445</v>
      </c>
      <c r="B1232" s="253">
        <v>4270</v>
      </c>
      <c r="C1232" s="237" t="s">
        <v>540</v>
      </c>
      <c r="D1232" s="254">
        <v>4500</v>
      </c>
    </row>
    <row r="1233" spans="1:4" ht="15">
      <c r="A1233" s="251" t="s">
        <v>445</v>
      </c>
      <c r="B1233" s="253">
        <v>4280</v>
      </c>
      <c r="C1233" s="237" t="s">
        <v>563</v>
      </c>
      <c r="D1233" s="254">
        <v>1500</v>
      </c>
    </row>
    <row r="1234" spans="1:4" ht="15">
      <c r="A1234" s="251" t="s">
        <v>445</v>
      </c>
      <c r="B1234" s="253">
        <v>4300</v>
      </c>
      <c r="C1234" s="237" t="s">
        <v>541</v>
      </c>
      <c r="D1234" s="254">
        <v>30000</v>
      </c>
    </row>
    <row r="1235" spans="1:4" ht="15">
      <c r="A1235" s="251" t="s">
        <v>445</v>
      </c>
      <c r="B1235" s="253">
        <v>4360</v>
      </c>
      <c r="C1235" s="237" t="s">
        <v>542</v>
      </c>
      <c r="D1235" s="254">
        <v>7000</v>
      </c>
    </row>
    <row r="1236" spans="1:4" ht="15">
      <c r="A1236" s="251" t="s">
        <v>445</v>
      </c>
      <c r="B1236" s="253">
        <v>4400</v>
      </c>
      <c r="C1236" s="237" t="s">
        <v>544</v>
      </c>
      <c r="D1236" s="254">
        <v>20000</v>
      </c>
    </row>
    <row r="1237" spans="1:4" ht="15">
      <c r="A1237" s="251" t="s">
        <v>445</v>
      </c>
      <c r="B1237" s="253">
        <v>4410</v>
      </c>
      <c r="C1237" s="237" t="s">
        <v>545</v>
      </c>
      <c r="D1237" s="254">
        <v>12000</v>
      </c>
    </row>
    <row r="1238" spans="1:4" ht="15">
      <c r="A1238" s="251" t="s">
        <v>445</v>
      </c>
      <c r="B1238" s="253">
        <v>4430</v>
      </c>
      <c r="C1238" s="237" t="s">
        <v>547</v>
      </c>
      <c r="D1238" s="254">
        <v>100</v>
      </c>
    </row>
    <row r="1239" spans="1:4" ht="15">
      <c r="A1239" s="251" t="s">
        <v>445</v>
      </c>
      <c r="B1239" s="253">
        <v>4440</v>
      </c>
      <c r="C1239" s="237" t="s">
        <v>564</v>
      </c>
      <c r="D1239" s="254">
        <v>41305</v>
      </c>
    </row>
    <row r="1240" spans="1:4" ht="15">
      <c r="A1240" s="251" t="s">
        <v>445</v>
      </c>
      <c r="B1240" s="253">
        <v>4480</v>
      </c>
      <c r="C1240" s="237" t="s">
        <v>565</v>
      </c>
      <c r="D1240" s="254">
        <v>2500</v>
      </c>
    </row>
    <row r="1241" spans="1:4" ht="15">
      <c r="A1241" s="251" t="s">
        <v>445</v>
      </c>
      <c r="B1241" s="253">
        <v>4700</v>
      </c>
      <c r="C1241" s="237" t="s">
        <v>548</v>
      </c>
      <c r="D1241" s="254">
        <v>2000</v>
      </c>
    </row>
    <row r="1242" spans="1:4" s="235" customFormat="1" ht="14.25">
      <c r="A1242" s="251">
        <v>85595</v>
      </c>
      <c r="B1242" s="251" t="s">
        <v>445</v>
      </c>
      <c r="C1242" s="236" t="s">
        <v>73</v>
      </c>
      <c r="D1242" s="252">
        <f>SUM(D1243:D1278)</f>
        <v>4226936</v>
      </c>
    </row>
    <row r="1243" spans="1:4" ht="60">
      <c r="A1243" s="251" t="s">
        <v>445</v>
      </c>
      <c r="B1243" s="253">
        <v>2057</v>
      </c>
      <c r="C1243" s="237" t="s">
        <v>511</v>
      </c>
      <c r="D1243" s="254">
        <v>2381375</v>
      </c>
    </row>
    <row r="1244" spans="1:4" ht="60">
      <c r="A1244" s="251" t="s">
        <v>445</v>
      </c>
      <c r="B1244" s="253">
        <v>2059</v>
      </c>
      <c r="C1244" s="237" t="s">
        <v>511</v>
      </c>
      <c r="D1244" s="254">
        <v>196113</v>
      </c>
    </row>
    <row r="1245" spans="1:4" ht="45">
      <c r="A1245" s="251" t="s">
        <v>445</v>
      </c>
      <c r="B1245" s="253">
        <v>2360</v>
      </c>
      <c r="C1245" s="237" t="s">
        <v>572</v>
      </c>
      <c r="D1245" s="254">
        <v>1050000</v>
      </c>
    </row>
    <row r="1246" spans="1:4" ht="15">
      <c r="A1246" s="251" t="s">
        <v>445</v>
      </c>
      <c r="B1246" s="253">
        <v>4017</v>
      </c>
      <c r="C1246" s="237" t="s">
        <v>531</v>
      </c>
      <c r="D1246" s="254">
        <v>143018</v>
      </c>
    </row>
    <row r="1247" spans="1:4" ht="15">
      <c r="A1247" s="251" t="s">
        <v>445</v>
      </c>
      <c r="B1247" s="253">
        <v>4019</v>
      </c>
      <c r="C1247" s="237" t="s">
        <v>531</v>
      </c>
      <c r="D1247" s="254">
        <v>11778</v>
      </c>
    </row>
    <row r="1248" spans="1:4" ht="15">
      <c r="A1248" s="251" t="s">
        <v>445</v>
      </c>
      <c r="B1248" s="253">
        <v>4047</v>
      </c>
      <c r="C1248" s="237" t="s">
        <v>532</v>
      </c>
      <c r="D1248" s="254">
        <v>21932</v>
      </c>
    </row>
    <row r="1249" spans="1:4" ht="15">
      <c r="A1249" s="251" t="s">
        <v>445</v>
      </c>
      <c r="B1249" s="253">
        <v>4049</v>
      </c>
      <c r="C1249" s="237" t="s">
        <v>532</v>
      </c>
      <c r="D1249" s="254">
        <v>1806</v>
      </c>
    </row>
    <row r="1250" spans="1:4" ht="15">
      <c r="A1250" s="251" t="s">
        <v>445</v>
      </c>
      <c r="B1250" s="253">
        <v>4117</v>
      </c>
      <c r="C1250" s="237" t="s">
        <v>533</v>
      </c>
      <c r="D1250" s="254">
        <v>28356</v>
      </c>
    </row>
    <row r="1251" spans="1:4" ht="15">
      <c r="A1251" s="251" t="s">
        <v>445</v>
      </c>
      <c r="B1251" s="253">
        <v>4119</v>
      </c>
      <c r="C1251" s="237" t="s">
        <v>533</v>
      </c>
      <c r="D1251" s="254">
        <v>2335</v>
      </c>
    </row>
    <row r="1252" spans="1:4" ht="30">
      <c r="A1252" s="251" t="s">
        <v>445</v>
      </c>
      <c r="B1252" s="253">
        <v>4127</v>
      </c>
      <c r="C1252" s="237" t="s">
        <v>534</v>
      </c>
      <c r="D1252" s="254">
        <v>4042</v>
      </c>
    </row>
    <row r="1253" spans="1:4" ht="30">
      <c r="A1253" s="251" t="s">
        <v>445</v>
      </c>
      <c r="B1253" s="253">
        <v>4129</v>
      </c>
      <c r="C1253" s="237" t="s">
        <v>534</v>
      </c>
      <c r="D1253" s="254">
        <v>333</v>
      </c>
    </row>
    <row r="1254" spans="1:4" ht="15">
      <c r="A1254" s="255" t="s">
        <v>445</v>
      </c>
      <c r="B1254" s="256">
        <v>4170</v>
      </c>
      <c r="C1254" s="239" t="s">
        <v>535</v>
      </c>
      <c r="D1254" s="257">
        <v>2000</v>
      </c>
    </row>
    <row r="1255" spans="1:4" ht="15">
      <c r="A1255" s="258" t="s">
        <v>445</v>
      </c>
      <c r="B1255" s="259">
        <v>4177</v>
      </c>
      <c r="C1255" s="240" t="s">
        <v>535</v>
      </c>
      <c r="D1255" s="260">
        <v>4620</v>
      </c>
    </row>
    <row r="1256" spans="1:4" ht="15">
      <c r="A1256" s="251" t="s">
        <v>445</v>
      </c>
      <c r="B1256" s="253">
        <v>4179</v>
      </c>
      <c r="C1256" s="237" t="s">
        <v>535</v>
      </c>
      <c r="D1256" s="254">
        <v>380</v>
      </c>
    </row>
    <row r="1257" spans="1:4" ht="15">
      <c r="A1257" s="251" t="s">
        <v>445</v>
      </c>
      <c r="B1257" s="253">
        <v>4190</v>
      </c>
      <c r="C1257" s="237" t="s">
        <v>536</v>
      </c>
      <c r="D1257" s="254">
        <v>4000</v>
      </c>
    </row>
    <row r="1258" spans="1:4" ht="15">
      <c r="A1258" s="251" t="s">
        <v>445</v>
      </c>
      <c r="B1258" s="253">
        <v>4210</v>
      </c>
      <c r="C1258" s="237" t="s">
        <v>537</v>
      </c>
      <c r="D1258" s="254">
        <v>3400</v>
      </c>
    </row>
    <row r="1259" spans="1:4" ht="15">
      <c r="A1259" s="251" t="s">
        <v>445</v>
      </c>
      <c r="B1259" s="253">
        <v>4217</v>
      </c>
      <c r="C1259" s="237" t="s">
        <v>537</v>
      </c>
      <c r="D1259" s="254">
        <v>6468</v>
      </c>
    </row>
    <row r="1260" spans="1:4" ht="15">
      <c r="A1260" s="251" t="s">
        <v>445</v>
      </c>
      <c r="B1260" s="253">
        <v>4219</v>
      </c>
      <c r="C1260" s="237" t="s">
        <v>537</v>
      </c>
      <c r="D1260" s="254">
        <v>532</v>
      </c>
    </row>
    <row r="1261" spans="1:4" ht="15">
      <c r="A1261" s="251" t="s">
        <v>445</v>
      </c>
      <c r="B1261" s="253">
        <v>4220</v>
      </c>
      <c r="C1261" s="237" t="s">
        <v>538</v>
      </c>
      <c r="D1261" s="254">
        <v>2600</v>
      </c>
    </row>
    <row r="1262" spans="1:4" ht="15">
      <c r="A1262" s="251" t="s">
        <v>445</v>
      </c>
      <c r="B1262" s="253">
        <v>4227</v>
      </c>
      <c r="C1262" s="237" t="s">
        <v>538</v>
      </c>
      <c r="D1262" s="254">
        <v>1848</v>
      </c>
    </row>
    <row r="1263" spans="1:4" ht="15">
      <c r="A1263" s="251" t="s">
        <v>445</v>
      </c>
      <c r="B1263" s="253">
        <v>4229</v>
      </c>
      <c r="C1263" s="237" t="s">
        <v>538</v>
      </c>
      <c r="D1263" s="254">
        <v>152</v>
      </c>
    </row>
    <row r="1264" spans="1:4" ht="15">
      <c r="A1264" s="251" t="s">
        <v>445</v>
      </c>
      <c r="B1264" s="253">
        <v>4267</v>
      </c>
      <c r="C1264" s="237" t="s">
        <v>539</v>
      </c>
      <c r="D1264" s="254">
        <v>1848</v>
      </c>
    </row>
    <row r="1265" spans="1:4" ht="15">
      <c r="A1265" s="251" t="s">
        <v>445</v>
      </c>
      <c r="B1265" s="253">
        <v>4269</v>
      </c>
      <c r="C1265" s="237" t="s">
        <v>539</v>
      </c>
      <c r="D1265" s="254">
        <v>152</v>
      </c>
    </row>
    <row r="1266" spans="1:4" ht="15">
      <c r="A1266" s="251" t="s">
        <v>445</v>
      </c>
      <c r="B1266" s="253">
        <v>4277</v>
      </c>
      <c r="C1266" s="237" t="s">
        <v>540</v>
      </c>
      <c r="D1266" s="254">
        <v>924</v>
      </c>
    </row>
    <row r="1267" spans="1:4" ht="15">
      <c r="A1267" s="251" t="s">
        <v>445</v>
      </c>
      <c r="B1267" s="253">
        <v>4279</v>
      </c>
      <c r="C1267" s="237" t="s">
        <v>540</v>
      </c>
      <c r="D1267" s="254">
        <v>76</v>
      </c>
    </row>
    <row r="1268" spans="1:4" ht="15">
      <c r="A1268" s="251" t="s">
        <v>445</v>
      </c>
      <c r="B1268" s="253">
        <v>4287</v>
      </c>
      <c r="C1268" s="237" t="s">
        <v>563</v>
      </c>
      <c r="D1268" s="254">
        <v>185</v>
      </c>
    </row>
    <row r="1269" spans="1:4" ht="15">
      <c r="A1269" s="251" t="s">
        <v>445</v>
      </c>
      <c r="B1269" s="253">
        <v>4289</v>
      </c>
      <c r="C1269" s="237" t="s">
        <v>563</v>
      </c>
      <c r="D1269" s="254">
        <v>15</v>
      </c>
    </row>
    <row r="1270" spans="1:4" ht="15">
      <c r="A1270" s="251" t="s">
        <v>445</v>
      </c>
      <c r="B1270" s="253">
        <v>4300</v>
      </c>
      <c r="C1270" s="237" t="s">
        <v>541</v>
      </c>
      <c r="D1270" s="254">
        <v>164000</v>
      </c>
    </row>
    <row r="1271" spans="1:4" ht="15">
      <c r="A1271" s="251" t="s">
        <v>445</v>
      </c>
      <c r="B1271" s="253">
        <v>4307</v>
      </c>
      <c r="C1271" s="237" t="s">
        <v>541</v>
      </c>
      <c r="D1271" s="254">
        <v>173091</v>
      </c>
    </row>
    <row r="1272" spans="1:4" ht="15">
      <c r="A1272" s="251" t="s">
        <v>445</v>
      </c>
      <c r="B1272" s="253">
        <v>4309</v>
      </c>
      <c r="C1272" s="237" t="s">
        <v>541</v>
      </c>
      <c r="D1272" s="254">
        <v>14257</v>
      </c>
    </row>
    <row r="1273" spans="1:4" ht="15">
      <c r="A1273" s="251" t="s">
        <v>445</v>
      </c>
      <c r="B1273" s="253">
        <v>4367</v>
      </c>
      <c r="C1273" s="237" t="s">
        <v>542</v>
      </c>
      <c r="D1273" s="254">
        <v>924</v>
      </c>
    </row>
    <row r="1274" spans="1:4" ht="15">
      <c r="A1274" s="251" t="s">
        <v>445</v>
      </c>
      <c r="B1274" s="253">
        <v>4369</v>
      </c>
      <c r="C1274" s="237" t="s">
        <v>542</v>
      </c>
      <c r="D1274" s="254">
        <v>76</v>
      </c>
    </row>
    <row r="1275" spans="1:4" ht="15">
      <c r="A1275" s="251" t="s">
        <v>445</v>
      </c>
      <c r="B1275" s="253">
        <v>4417</v>
      </c>
      <c r="C1275" s="237" t="s">
        <v>545</v>
      </c>
      <c r="D1275" s="254">
        <v>3049</v>
      </c>
    </row>
    <row r="1276" spans="1:4" ht="15">
      <c r="A1276" s="251" t="s">
        <v>445</v>
      </c>
      <c r="B1276" s="253">
        <v>4419</v>
      </c>
      <c r="C1276" s="237" t="s">
        <v>545</v>
      </c>
      <c r="D1276" s="254">
        <v>251</v>
      </c>
    </row>
    <row r="1277" spans="1:4" ht="15">
      <c r="A1277" s="251" t="s">
        <v>445</v>
      </c>
      <c r="B1277" s="253">
        <v>4707</v>
      </c>
      <c r="C1277" s="237" t="s">
        <v>548</v>
      </c>
      <c r="D1277" s="254">
        <v>924</v>
      </c>
    </row>
    <row r="1278" spans="1:4" ht="15">
      <c r="A1278" s="251" t="s">
        <v>445</v>
      </c>
      <c r="B1278" s="253">
        <v>4709</v>
      </c>
      <c r="C1278" s="237" t="s">
        <v>548</v>
      </c>
      <c r="D1278" s="254">
        <v>76</v>
      </c>
    </row>
    <row r="1279" spans="1:4" s="235" customFormat="1" ht="14.25">
      <c r="A1279" s="261" t="s">
        <v>47</v>
      </c>
      <c r="B1279" s="261" t="s">
        <v>445</v>
      </c>
      <c r="C1279" s="238" t="s">
        <v>48</v>
      </c>
      <c r="D1279" s="262">
        <f>D1280+D1282+D1284+D1293+D1301+D1304+D1321</f>
        <v>24762944</v>
      </c>
    </row>
    <row r="1280" spans="1:4" s="235" customFormat="1" ht="14.25">
      <c r="A1280" s="251">
        <v>90005</v>
      </c>
      <c r="B1280" s="251" t="s">
        <v>445</v>
      </c>
      <c r="C1280" s="236" t="s">
        <v>66</v>
      </c>
      <c r="D1280" s="252">
        <f>D1281</f>
        <v>295000</v>
      </c>
    </row>
    <row r="1281" spans="1:4" ht="15">
      <c r="A1281" s="251" t="s">
        <v>445</v>
      </c>
      <c r="B1281" s="253">
        <v>4300</v>
      </c>
      <c r="C1281" s="237" t="s">
        <v>541</v>
      </c>
      <c r="D1281" s="254">
        <v>295000</v>
      </c>
    </row>
    <row r="1282" spans="1:4" s="235" customFormat="1" ht="14.25">
      <c r="A1282" s="251">
        <v>90007</v>
      </c>
      <c r="B1282" s="251" t="s">
        <v>445</v>
      </c>
      <c r="C1282" s="236" t="s">
        <v>67</v>
      </c>
      <c r="D1282" s="252">
        <f>D1283</f>
        <v>59000</v>
      </c>
    </row>
    <row r="1283" spans="1:4" ht="15">
      <c r="A1283" s="251" t="s">
        <v>445</v>
      </c>
      <c r="B1283" s="253">
        <v>4300</v>
      </c>
      <c r="C1283" s="237" t="s">
        <v>541</v>
      </c>
      <c r="D1283" s="254">
        <v>59000</v>
      </c>
    </row>
    <row r="1284" spans="1:4" s="235" customFormat="1" ht="28.5">
      <c r="A1284" s="251">
        <v>90019</v>
      </c>
      <c r="B1284" s="251" t="s">
        <v>445</v>
      </c>
      <c r="C1284" s="236" t="s">
        <v>102</v>
      </c>
      <c r="D1284" s="252">
        <f>SUM(D1285:D1292)</f>
        <v>869873</v>
      </c>
    </row>
    <row r="1285" spans="1:4" ht="15">
      <c r="A1285" s="251" t="s">
        <v>445</v>
      </c>
      <c r="B1285" s="253">
        <v>4010</v>
      </c>
      <c r="C1285" s="237" t="s">
        <v>531</v>
      </c>
      <c r="D1285" s="254">
        <v>458255</v>
      </c>
    </row>
    <row r="1286" spans="1:4" ht="15">
      <c r="A1286" s="251" t="s">
        <v>445</v>
      </c>
      <c r="B1286" s="253">
        <v>4040</v>
      </c>
      <c r="C1286" s="237" t="s">
        <v>532</v>
      </c>
      <c r="D1286" s="254">
        <v>86000</v>
      </c>
    </row>
    <row r="1287" spans="1:4" ht="15">
      <c r="A1287" s="251" t="s">
        <v>445</v>
      </c>
      <c r="B1287" s="253">
        <v>4110</v>
      </c>
      <c r="C1287" s="237" t="s">
        <v>533</v>
      </c>
      <c r="D1287" s="254">
        <v>92998</v>
      </c>
    </row>
    <row r="1288" spans="1:4" ht="30">
      <c r="A1288" s="251" t="s">
        <v>445</v>
      </c>
      <c r="B1288" s="253">
        <v>4120</v>
      </c>
      <c r="C1288" s="237" t="s">
        <v>534</v>
      </c>
      <c r="D1288" s="254">
        <v>10000</v>
      </c>
    </row>
    <row r="1289" spans="1:4" ht="15">
      <c r="A1289" s="251" t="s">
        <v>445</v>
      </c>
      <c r="B1289" s="253">
        <v>4210</v>
      </c>
      <c r="C1289" s="237" t="s">
        <v>537</v>
      </c>
      <c r="D1289" s="254">
        <v>15000</v>
      </c>
    </row>
    <row r="1290" spans="1:4" ht="15">
      <c r="A1290" s="251" t="s">
        <v>445</v>
      </c>
      <c r="B1290" s="253">
        <v>4300</v>
      </c>
      <c r="C1290" s="237" t="s">
        <v>541</v>
      </c>
      <c r="D1290" s="254">
        <v>194120</v>
      </c>
    </row>
    <row r="1291" spans="1:4" ht="15">
      <c r="A1291" s="251" t="s">
        <v>445</v>
      </c>
      <c r="B1291" s="253">
        <v>4410</v>
      </c>
      <c r="C1291" s="237" t="s">
        <v>545</v>
      </c>
      <c r="D1291" s="254">
        <v>2500</v>
      </c>
    </row>
    <row r="1292" spans="1:4" ht="15">
      <c r="A1292" s="251" t="s">
        <v>445</v>
      </c>
      <c r="B1292" s="253">
        <v>4700</v>
      </c>
      <c r="C1292" s="237" t="s">
        <v>548</v>
      </c>
      <c r="D1292" s="254">
        <v>11000</v>
      </c>
    </row>
    <row r="1293" spans="1:4" s="235" customFormat="1" ht="18" customHeight="1">
      <c r="A1293" s="251">
        <v>90020</v>
      </c>
      <c r="B1293" s="251" t="s">
        <v>445</v>
      </c>
      <c r="C1293" s="236" t="s">
        <v>68</v>
      </c>
      <c r="D1293" s="252">
        <f>SUM(D1294:D1300)</f>
        <v>22480</v>
      </c>
    </row>
    <row r="1294" spans="1:4" ht="15">
      <c r="A1294" s="251" t="s">
        <v>445</v>
      </c>
      <c r="B1294" s="253">
        <v>4010</v>
      </c>
      <c r="C1294" s="237" t="s">
        <v>531</v>
      </c>
      <c r="D1294" s="254">
        <v>10000</v>
      </c>
    </row>
    <row r="1295" spans="1:4" ht="15">
      <c r="A1295" s="251" t="s">
        <v>445</v>
      </c>
      <c r="B1295" s="253">
        <v>4040</v>
      </c>
      <c r="C1295" s="237" t="s">
        <v>532</v>
      </c>
      <c r="D1295" s="254">
        <v>2000</v>
      </c>
    </row>
    <row r="1296" spans="1:4" ht="15">
      <c r="A1296" s="251" t="s">
        <v>445</v>
      </c>
      <c r="B1296" s="253">
        <v>4110</v>
      </c>
      <c r="C1296" s="237" t="s">
        <v>533</v>
      </c>
      <c r="D1296" s="254">
        <v>3500</v>
      </c>
    </row>
    <row r="1297" spans="1:4" ht="30">
      <c r="A1297" s="251" t="s">
        <v>445</v>
      </c>
      <c r="B1297" s="253">
        <v>4120</v>
      </c>
      <c r="C1297" s="237" t="s">
        <v>534</v>
      </c>
      <c r="D1297" s="254">
        <v>1000</v>
      </c>
    </row>
    <row r="1298" spans="1:4" ht="15">
      <c r="A1298" s="251" t="s">
        <v>445</v>
      </c>
      <c r="B1298" s="253">
        <v>4210</v>
      </c>
      <c r="C1298" s="237" t="s">
        <v>537</v>
      </c>
      <c r="D1298" s="254">
        <v>450</v>
      </c>
    </row>
    <row r="1299" spans="1:4" ht="15">
      <c r="A1299" s="251" t="s">
        <v>445</v>
      </c>
      <c r="B1299" s="253">
        <v>4300</v>
      </c>
      <c r="C1299" s="237" t="s">
        <v>541</v>
      </c>
      <c r="D1299" s="254">
        <v>2000</v>
      </c>
    </row>
    <row r="1300" spans="1:4" ht="15">
      <c r="A1300" s="251" t="s">
        <v>445</v>
      </c>
      <c r="B1300" s="253">
        <v>4700</v>
      </c>
      <c r="C1300" s="237" t="s">
        <v>548</v>
      </c>
      <c r="D1300" s="254">
        <v>3530</v>
      </c>
    </row>
    <row r="1301" spans="1:4" s="235" customFormat="1" ht="28.5">
      <c r="A1301" s="251">
        <v>90024</v>
      </c>
      <c r="B1301" s="251" t="s">
        <v>445</v>
      </c>
      <c r="C1301" s="236" t="s">
        <v>517</v>
      </c>
      <c r="D1301" s="252">
        <f>SUM(D1302:D1303)</f>
        <v>3510</v>
      </c>
    </row>
    <row r="1302" spans="1:4" ht="15">
      <c r="A1302" s="251" t="s">
        <v>445</v>
      </c>
      <c r="B1302" s="253">
        <v>4210</v>
      </c>
      <c r="C1302" s="237" t="s">
        <v>537</v>
      </c>
      <c r="D1302" s="254">
        <v>2000</v>
      </c>
    </row>
    <row r="1303" spans="1:4" ht="15">
      <c r="A1303" s="251" t="s">
        <v>445</v>
      </c>
      <c r="B1303" s="253">
        <v>4300</v>
      </c>
      <c r="C1303" s="237" t="s">
        <v>541</v>
      </c>
      <c r="D1303" s="254">
        <v>1510</v>
      </c>
    </row>
    <row r="1304" spans="1:4" s="235" customFormat="1" ht="14.25">
      <c r="A1304" s="251">
        <v>90026</v>
      </c>
      <c r="B1304" s="251" t="s">
        <v>445</v>
      </c>
      <c r="C1304" s="236" t="s">
        <v>106</v>
      </c>
      <c r="D1304" s="252">
        <f>SUM(D1305:D1320)</f>
        <v>13324414</v>
      </c>
    </row>
    <row r="1305" spans="1:4" ht="15">
      <c r="A1305" s="251" t="s">
        <v>445</v>
      </c>
      <c r="B1305" s="253">
        <v>4010</v>
      </c>
      <c r="C1305" s="237" t="s">
        <v>531</v>
      </c>
      <c r="D1305" s="254">
        <v>145480</v>
      </c>
    </row>
    <row r="1306" spans="1:4" ht="15">
      <c r="A1306" s="251" t="s">
        <v>445</v>
      </c>
      <c r="B1306" s="253">
        <v>4017</v>
      </c>
      <c r="C1306" s="237" t="s">
        <v>531</v>
      </c>
      <c r="D1306" s="254">
        <v>690000</v>
      </c>
    </row>
    <row r="1307" spans="1:4" ht="15">
      <c r="A1307" s="251" t="s">
        <v>445</v>
      </c>
      <c r="B1307" s="253">
        <v>4040</v>
      </c>
      <c r="C1307" s="237" t="s">
        <v>532</v>
      </c>
      <c r="D1307" s="254">
        <v>11700</v>
      </c>
    </row>
    <row r="1308" spans="1:4" ht="15">
      <c r="A1308" s="251" t="s">
        <v>445</v>
      </c>
      <c r="B1308" s="253">
        <v>4047</v>
      </c>
      <c r="C1308" s="237" t="s">
        <v>532</v>
      </c>
      <c r="D1308" s="254">
        <v>52734</v>
      </c>
    </row>
    <row r="1309" spans="1:4" ht="15">
      <c r="A1309" s="251" t="s">
        <v>445</v>
      </c>
      <c r="B1309" s="253">
        <v>4110</v>
      </c>
      <c r="C1309" s="237" t="s">
        <v>533</v>
      </c>
      <c r="D1309" s="254">
        <v>20000</v>
      </c>
    </row>
    <row r="1310" spans="1:4" ht="15">
      <c r="A1310" s="251" t="s">
        <v>445</v>
      </c>
      <c r="B1310" s="253">
        <v>4117</v>
      </c>
      <c r="C1310" s="237" t="s">
        <v>533</v>
      </c>
      <c r="D1310" s="254">
        <v>140000</v>
      </c>
    </row>
    <row r="1311" spans="1:4" ht="30">
      <c r="A1311" s="255" t="s">
        <v>445</v>
      </c>
      <c r="B1311" s="256">
        <v>4120</v>
      </c>
      <c r="C1311" s="239" t="s">
        <v>534</v>
      </c>
      <c r="D1311" s="257">
        <v>2820</v>
      </c>
    </row>
    <row r="1312" spans="1:4" ht="30">
      <c r="A1312" s="258" t="s">
        <v>445</v>
      </c>
      <c r="B1312" s="259">
        <v>4127</v>
      </c>
      <c r="C1312" s="240" t="s">
        <v>534</v>
      </c>
      <c r="D1312" s="260">
        <v>27600</v>
      </c>
    </row>
    <row r="1313" spans="1:4" ht="15">
      <c r="A1313" s="251" t="s">
        <v>445</v>
      </c>
      <c r="B1313" s="253">
        <v>4210</v>
      </c>
      <c r="C1313" s="237" t="s">
        <v>537</v>
      </c>
      <c r="D1313" s="254">
        <v>8300</v>
      </c>
    </row>
    <row r="1314" spans="1:4" ht="15">
      <c r="A1314" s="251" t="s">
        <v>445</v>
      </c>
      <c r="B1314" s="253">
        <v>4217</v>
      </c>
      <c r="C1314" s="237" t="s">
        <v>537</v>
      </c>
      <c r="D1314" s="254">
        <v>200598</v>
      </c>
    </row>
    <row r="1315" spans="1:4" ht="15">
      <c r="A1315" s="251" t="s">
        <v>445</v>
      </c>
      <c r="B1315" s="253">
        <v>4300</v>
      </c>
      <c r="C1315" s="237" t="s">
        <v>541</v>
      </c>
      <c r="D1315" s="254">
        <v>6000</v>
      </c>
    </row>
    <row r="1316" spans="1:4" ht="15">
      <c r="A1316" s="251" t="s">
        <v>445</v>
      </c>
      <c r="B1316" s="253">
        <v>4307</v>
      </c>
      <c r="C1316" s="237" t="s">
        <v>541</v>
      </c>
      <c r="D1316" s="254">
        <v>2135289</v>
      </c>
    </row>
    <row r="1317" spans="1:4" ht="15">
      <c r="A1317" s="251" t="s">
        <v>445</v>
      </c>
      <c r="B1317" s="253">
        <v>4417</v>
      </c>
      <c r="C1317" s="237" t="s">
        <v>545</v>
      </c>
      <c r="D1317" s="254">
        <v>10000</v>
      </c>
    </row>
    <row r="1318" spans="1:4" ht="15">
      <c r="A1318" s="251" t="s">
        <v>445</v>
      </c>
      <c r="B1318" s="253">
        <v>4700</v>
      </c>
      <c r="C1318" s="237" t="s">
        <v>548</v>
      </c>
      <c r="D1318" s="254">
        <v>6000</v>
      </c>
    </row>
    <row r="1319" spans="1:4" ht="15">
      <c r="A1319" s="251" t="s">
        <v>445</v>
      </c>
      <c r="B1319" s="253">
        <v>4707</v>
      </c>
      <c r="C1319" s="237" t="s">
        <v>548</v>
      </c>
      <c r="D1319" s="254">
        <v>10000</v>
      </c>
    </row>
    <row r="1320" spans="1:4" ht="30" customHeight="1">
      <c r="A1320" s="251" t="s">
        <v>445</v>
      </c>
      <c r="B1320" s="253">
        <v>6617</v>
      </c>
      <c r="C1320" s="237" t="s">
        <v>551</v>
      </c>
      <c r="D1320" s="254">
        <v>9857893</v>
      </c>
    </row>
    <row r="1321" spans="1:4" s="235" customFormat="1" ht="14.25">
      <c r="A1321" s="251">
        <v>90095</v>
      </c>
      <c r="B1321" s="251" t="s">
        <v>445</v>
      </c>
      <c r="C1321" s="236" t="s">
        <v>73</v>
      </c>
      <c r="D1321" s="252">
        <f>SUM(D1322:D1383)</f>
        <v>10188667</v>
      </c>
    </row>
    <row r="1322" spans="1:4" ht="30">
      <c r="A1322" s="251" t="s">
        <v>445</v>
      </c>
      <c r="B1322" s="253">
        <v>2317</v>
      </c>
      <c r="C1322" s="237" t="s">
        <v>552</v>
      </c>
      <c r="D1322" s="254">
        <v>26325</v>
      </c>
    </row>
    <row r="1323" spans="1:4" ht="30">
      <c r="A1323" s="251" t="s">
        <v>445</v>
      </c>
      <c r="B1323" s="253">
        <v>2319</v>
      </c>
      <c r="C1323" s="237" t="s">
        <v>552</v>
      </c>
      <c r="D1323" s="254">
        <v>32175</v>
      </c>
    </row>
    <row r="1324" spans="1:4" ht="29.25" customHeight="1">
      <c r="A1324" s="251" t="s">
        <v>445</v>
      </c>
      <c r="B1324" s="253">
        <v>2817</v>
      </c>
      <c r="C1324" s="237" t="s">
        <v>591</v>
      </c>
      <c r="D1324" s="254">
        <v>585</v>
      </c>
    </row>
    <row r="1325" spans="1:4" ht="29.25" customHeight="1">
      <c r="A1325" s="251" t="s">
        <v>445</v>
      </c>
      <c r="B1325" s="253">
        <v>2819</v>
      </c>
      <c r="C1325" s="237" t="s">
        <v>591</v>
      </c>
      <c r="D1325" s="254">
        <v>715</v>
      </c>
    </row>
    <row r="1326" spans="1:4" ht="29.25" customHeight="1">
      <c r="A1326" s="251" t="s">
        <v>445</v>
      </c>
      <c r="B1326" s="253">
        <v>2827</v>
      </c>
      <c r="C1326" s="237" t="s">
        <v>589</v>
      </c>
      <c r="D1326" s="254">
        <v>585</v>
      </c>
    </row>
    <row r="1327" spans="1:4" ht="29.25" customHeight="1">
      <c r="A1327" s="251" t="s">
        <v>445</v>
      </c>
      <c r="B1327" s="253">
        <v>2829</v>
      </c>
      <c r="C1327" s="237" t="s">
        <v>589</v>
      </c>
      <c r="D1327" s="254">
        <v>715</v>
      </c>
    </row>
    <row r="1328" spans="1:4" ht="29.25" customHeight="1">
      <c r="A1328" s="251" t="s">
        <v>445</v>
      </c>
      <c r="B1328" s="253">
        <v>2837</v>
      </c>
      <c r="C1328" s="237" t="s">
        <v>528</v>
      </c>
      <c r="D1328" s="254">
        <v>1755</v>
      </c>
    </row>
    <row r="1329" spans="1:4" ht="29.25" customHeight="1">
      <c r="A1329" s="251" t="s">
        <v>445</v>
      </c>
      <c r="B1329" s="253">
        <v>2839</v>
      </c>
      <c r="C1329" s="237" t="s">
        <v>528</v>
      </c>
      <c r="D1329" s="254">
        <v>2145</v>
      </c>
    </row>
    <row r="1330" spans="1:4" ht="15">
      <c r="A1330" s="251" t="s">
        <v>445</v>
      </c>
      <c r="B1330" s="253">
        <v>4010</v>
      </c>
      <c r="C1330" s="237" t="s">
        <v>531</v>
      </c>
      <c r="D1330" s="254">
        <v>485508</v>
      </c>
    </row>
    <row r="1331" spans="1:4" ht="15">
      <c r="A1331" s="251" t="s">
        <v>445</v>
      </c>
      <c r="B1331" s="253">
        <v>4017</v>
      </c>
      <c r="C1331" s="237" t="s">
        <v>531</v>
      </c>
      <c r="D1331" s="254">
        <v>209475</v>
      </c>
    </row>
    <row r="1332" spans="1:4" ht="15">
      <c r="A1332" s="251" t="s">
        <v>445</v>
      </c>
      <c r="B1332" s="253">
        <v>4018</v>
      </c>
      <c r="C1332" s="237" t="s">
        <v>531</v>
      </c>
      <c r="D1332" s="254">
        <v>83291</v>
      </c>
    </row>
    <row r="1333" spans="1:4" ht="15">
      <c r="A1333" s="251" t="s">
        <v>445</v>
      </c>
      <c r="B1333" s="253">
        <v>4019</v>
      </c>
      <c r="C1333" s="237" t="s">
        <v>531</v>
      </c>
      <c r="D1333" s="254">
        <v>270724</v>
      </c>
    </row>
    <row r="1334" spans="1:4" ht="15">
      <c r="A1334" s="251" t="s">
        <v>445</v>
      </c>
      <c r="B1334" s="253">
        <v>4040</v>
      </c>
      <c r="C1334" s="237" t="s">
        <v>532</v>
      </c>
      <c r="D1334" s="254">
        <v>39400</v>
      </c>
    </row>
    <row r="1335" spans="1:4" ht="15">
      <c r="A1335" s="251" t="s">
        <v>445</v>
      </c>
      <c r="B1335" s="253">
        <v>4047</v>
      </c>
      <c r="C1335" s="237" t="s">
        <v>532</v>
      </c>
      <c r="D1335" s="254">
        <v>21600</v>
      </c>
    </row>
    <row r="1336" spans="1:4" ht="15">
      <c r="A1336" s="251" t="s">
        <v>445</v>
      </c>
      <c r="B1336" s="253">
        <v>4048</v>
      </c>
      <c r="C1336" s="237" t="s">
        <v>532</v>
      </c>
      <c r="D1336" s="254">
        <v>7959</v>
      </c>
    </row>
    <row r="1337" spans="1:4" ht="15">
      <c r="A1337" s="251" t="s">
        <v>445</v>
      </c>
      <c r="B1337" s="253">
        <v>4049</v>
      </c>
      <c r="C1337" s="237" t="s">
        <v>532</v>
      </c>
      <c r="D1337" s="254">
        <v>27804</v>
      </c>
    </row>
    <row r="1338" spans="1:4" ht="15">
      <c r="A1338" s="251" t="s">
        <v>445</v>
      </c>
      <c r="B1338" s="253">
        <v>4110</v>
      </c>
      <c r="C1338" s="237" t="s">
        <v>533</v>
      </c>
      <c r="D1338" s="254">
        <v>100232</v>
      </c>
    </row>
    <row r="1339" spans="1:4" ht="15">
      <c r="A1339" s="251" t="s">
        <v>445</v>
      </c>
      <c r="B1339" s="253">
        <v>4117</v>
      </c>
      <c r="C1339" s="237" t="s">
        <v>533</v>
      </c>
      <c r="D1339" s="254">
        <v>45000</v>
      </c>
    </row>
    <row r="1340" spans="1:4" ht="15">
      <c r="A1340" s="251" t="s">
        <v>445</v>
      </c>
      <c r="B1340" s="253">
        <v>4118</v>
      </c>
      <c r="C1340" s="237" t="s">
        <v>533</v>
      </c>
      <c r="D1340" s="254">
        <v>15686</v>
      </c>
    </row>
    <row r="1341" spans="1:4" ht="15">
      <c r="A1341" s="251" t="s">
        <v>445</v>
      </c>
      <c r="B1341" s="253">
        <v>4119</v>
      </c>
      <c r="C1341" s="237" t="s">
        <v>533</v>
      </c>
      <c r="D1341" s="254">
        <v>57768</v>
      </c>
    </row>
    <row r="1342" spans="1:4" ht="29.25" customHeight="1">
      <c r="A1342" s="251" t="s">
        <v>445</v>
      </c>
      <c r="B1342" s="253">
        <v>4120</v>
      </c>
      <c r="C1342" s="237" t="s">
        <v>534</v>
      </c>
      <c r="D1342" s="254">
        <v>12860</v>
      </c>
    </row>
    <row r="1343" spans="1:4" ht="29.25" customHeight="1">
      <c r="A1343" s="251" t="s">
        <v>445</v>
      </c>
      <c r="B1343" s="253">
        <v>4127</v>
      </c>
      <c r="C1343" s="237" t="s">
        <v>534</v>
      </c>
      <c r="D1343" s="254">
        <v>5715</v>
      </c>
    </row>
    <row r="1344" spans="1:4" ht="29.25" customHeight="1">
      <c r="A1344" s="251" t="s">
        <v>445</v>
      </c>
      <c r="B1344" s="253">
        <v>4128</v>
      </c>
      <c r="C1344" s="237" t="s">
        <v>534</v>
      </c>
      <c r="D1344" s="254">
        <v>2236</v>
      </c>
    </row>
    <row r="1345" spans="1:4" ht="29.25" customHeight="1">
      <c r="A1345" s="251" t="s">
        <v>445</v>
      </c>
      <c r="B1345" s="253">
        <v>4129</v>
      </c>
      <c r="C1345" s="237" t="s">
        <v>534</v>
      </c>
      <c r="D1345" s="254">
        <v>7380</v>
      </c>
    </row>
    <row r="1346" spans="1:4" ht="14.25" customHeight="1">
      <c r="A1346" s="251" t="s">
        <v>445</v>
      </c>
      <c r="B1346" s="253">
        <v>4170</v>
      </c>
      <c r="C1346" s="237" t="s">
        <v>535</v>
      </c>
      <c r="D1346" s="254">
        <v>65000</v>
      </c>
    </row>
    <row r="1347" spans="1:4" ht="14.25" customHeight="1">
      <c r="A1347" s="251" t="s">
        <v>445</v>
      </c>
      <c r="B1347" s="253">
        <v>4190</v>
      </c>
      <c r="C1347" s="237" t="s">
        <v>536</v>
      </c>
      <c r="D1347" s="254">
        <v>5000</v>
      </c>
    </row>
    <row r="1348" spans="1:4" ht="14.25" customHeight="1">
      <c r="A1348" s="251" t="s">
        <v>445</v>
      </c>
      <c r="B1348" s="253">
        <v>4197</v>
      </c>
      <c r="C1348" s="237" t="s">
        <v>536</v>
      </c>
      <c r="D1348" s="254">
        <v>9000</v>
      </c>
    </row>
    <row r="1349" spans="1:4" ht="14.25" customHeight="1">
      <c r="A1349" s="251" t="s">
        <v>445</v>
      </c>
      <c r="B1349" s="253">
        <v>4199</v>
      </c>
      <c r="C1349" s="237" t="s">
        <v>536</v>
      </c>
      <c r="D1349" s="254">
        <v>11000</v>
      </c>
    </row>
    <row r="1350" spans="1:4" ht="14.25" customHeight="1">
      <c r="A1350" s="251" t="s">
        <v>445</v>
      </c>
      <c r="B1350" s="253">
        <v>4210</v>
      </c>
      <c r="C1350" s="237" t="s">
        <v>537</v>
      </c>
      <c r="D1350" s="254">
        <v>25150</v>
      </c>
    </row>
    <row r="1351" spans="1:4" ht="14.25" customHeight="1">
      <c r="A1351" s="251" t="s">
        <v>445</v>
      </c>
      <c r="B1351" s="253">
        <v>4217</v>
      </c>
      <c r="C1351" s="237" t="s">
        <v>537</v>
      </c>
      <c r="D1351" s="254">
        <v>4725</v>
      </c>
    </row>
    <row r="1352" spans="1:4" ht="14.25" customHeight="1">
      <c r="A1352" s="251" t="s">
        <v>445</v>
      </c>
      <c r="B1352" s="253">
        <v>4218</v>
      </c>
      <c r="C1352" s="237" t="s">
        <v>537</v>
      </c>
      <c r="D1352" s="254">
        <v>2550</v>
      </c>
    </row>
    <row r="1353" spans="1:4" ht="14.25" customHeight="1">
      <c r="A1353" s="251" t="s">
        <v>445</v>
      </c>
      <c r="B1353" s="253">
        <v>4219</v>
      </c>
      <c r="C1353" s="237" t="s">
        <v>537</v>
      </c>
      <c r="D1353" s="254">
        <v>6225</v>
      </c>
    </row>
    <row r="1354" spans="1:4" ht="14.25" customHeight="1">
      <c r="A1354" s="251" t="s">
        <v>445</v>
      </c>
      <c r="B1354" s="253">
        <v>4228</v>
      </c>
      <c r="C1354" s="237" t="s">
        <v>538</v>
      </c>
      <c r="D1354" s="254">
        <v>1700</v>
      </c>
    </row>
    <row r="1355" spans="1:4" ht="14.25" customHeight="1">
      <c r="A1355" s="251" t="s">
        <v>445</v>
      </c>
      <c r="B1355" s="253">
        <v>4229</v>
      </c>
      <c r="C1355" s="237" t="s">
        <v>538</v>
      </c>
      <c r="D1355" s="254">
        <v>300</v>
      </c>
    </row>
    <row r="1356" spans="1:4" ht="14.25" customHeight="1">
      <c r="A1356" s="251" t="s">
        <v>445</v>
      </c>
      <c r="B1356" s="253">
        <v>4267</v>
      </c>
      <c r="C1356" s="237" t="s">
        <v>539</v>
      </c>
      <c r="D1356" s="254">
        <v>3375</v>
      </c>
    </row>
    <row r="1357" spans="1:4" ht="14.25" customHeight="1">
      <c r="A1357" s="251" t="s">
        <v>445</v>
      </c>
      <c r="B1357" s="253">
        <v>4269</v>
      </c>
      <c r="C1357" s="237" t="s">
        <v>539</v>
      </c>
      <c r="D1357" s="254">
        <v>4125</v>
      </c>
    </row>
    <row r="1358" spans="1:4" ht="14.25" customHeight="1">
      <c r="A1358" s="251" t="s">
        <v>445</v>
      </c>
      <c r="B1358" s="253">
        <v>4300</v>
      </c>
      <c r="C1358" s="237" t="s">
        <v>541</v>
      </c>
      <c r="D1358" s="254">
        <v>234000</v>
      </c>
    </row>
    <row r="1359" spans="1:4" ht="14.25" customHeight="1">
      <c r="A1359" s="251" t="s">
        <v>445</v>
      </c>
      <c r="B1359" s="253">
        <v>4307</v>
      </c>
      <c r="C1359" s="237" t="s">
        <v>541</v>
      </c>
      <c r="D1359" s="254">
        <v>253733</v>
      </c>
    </row>
    <row r="1360" spans="1:4" ht="14.25" customHeight="1">
      <c r="A1360" s="251" t="s">
        <v>445</v>
      </c>
      <c r="B1360" s="253">
        <v>4308</v>
      </c>
      <c r="C1360" s="237" t="s">
        <v>541</v>
      </c>
      <c r="D1360" s="254">
        <v>162743</v>
      </c>
    </row>
    <row r="1361" spans="1:4" ht="14.25" customHeight="1">
      <c r="A1361" s="255" t="s">
        <v>445</v>
      </c>
      <c r="B1361" s="256">
        <v>4309</v>
      </c>
      <c r="C1361" s="239" t="s">
        <v>541</v>
      </c>
      <c r="D1361" s="257">
        <v>338802</v>
      </c>
    </row>
    <row r="1362" spans="1:4" ht="14.25" customHeight="1">
      <c r="A1362" s="258" t="s">
        <v>445</v>
      </c>
      <c r="B1362" s="259">
        <v>4367</v>
      </c>
      <c r="C1362" s="240" t="s">
        <v>542</v>
      </c>
      <c r="D1362" s="260">
        <v>3150</v>
      </c>
    </row>
    <row r="1363" spans="1:4" ht="14.25" customHeight="1">
      <c r="A1363" s="251" t="s">
        <v>445</v>
      </c>
      <c r="B1363" s="253">
        <v>4369</v>
      </c>
      <c r="C1363" s="237" t="s">
        <v>542</v>
      </c>
      <c r="D1363" s="254">
        <v>3850</v>
      </c>
    </row>
    <row r="1364" spans="1:4" ht="14.25" customHeight="1">
      <c r="A1364" s="251" t="s">
        <v>445</v>
      </c>
      <c r="B1364" s="253">
        <v>4388</v>
      </c>
      <c r="C1364" s="237" t="s">
        <v>543</v>
      </c>
      <c r="D1364" s="254">
        <v>4250</v>
      </c>
    </row>
    <row r="1365" spans="1:4" ht="14.25" customHeight="1">
      <c r="A1365" s="251" t="s">
        <v>445</v>
      </c>
      <c r="B1365" s="253">
        <v>4389</v>
      </c>
      <c r="C1365" s="237" t="s">
        <v>543</v>
      </c>
      <c r="D1365" s="254">
        <v>750</v>
      </c>
    </row>
    <row r="1366" spans="1:4" ht="14.25" customHeight="1">
      <c r="A1366" s="251" t="s">
        <v>445</v>
      </c>
      <c r="B1366" s="253">
        <v>4390</v>
      </c>
      <c r="C1366" s="237" t="s">
        <v>557</v>
      </c>
      <c r="D1366" s="254">
        <v>93000</v>
      </c>
    </row>
    <row r="1367" spans="1:4" ht="14.25" customHeight="1">
      <c r="A1367" s="251" t="s">
        <v>445</v>
      </c>
      <c r="B1367" s="253">
        <v>4397</v>
      </c>
      <c r="C1367" s="237" t="s">
        <v>557</v>
      </c>
      <c r="D1367" s="254">
        <v>5985</v>
      </c>
    </row>
    <row r="1368" spans="1:4" ht="14.25" customHeight="1">
      <c r="A1368" s="251" t="s">
        <v>445</v>
      </c>
      <c r="B1368" s="253">
        <v>4399</v>
      </c>
      <c r="C1368" s="237" t="s">
        <v>557</v>
      </c>
      <c r="D1368" s="254">
        <v>7315</v>
      </c>
    </row>
    <row r="1369" spans="1:4" ht="14.25" customHeight="1">
      <c r="A1369" s="251" t="s">
        <v>445</v>
      </c>
      <c r="B1369" s="253">
        <v>4407</v>
      </c>
      <c r="C1369" s="237" t="s">
        <v>544</v>
      </c>
      <c r="D1369" s="254">
        <v>4500</v>
      </c>
    </row>
    <row r="1370" spans="1:4" ht="14.25" customHeight="1">
      <c r="A1370" s="251" t="s">
        <v>445</v>
      </c>
      <c r="B1370" s="253">
        <v>4409</v>
      </c>
      <c r="C1370" s="237" t="s">
        <v>544</v>
      </c>
      <c r="D1370" s="254">
        <v>5500</v>
      </c>
    </row>
    <row r="1371" spans="1:4" ht="14.25" customHeight="1">
      <c r="A1371" s="251" t="s">
        <v>445</v>
      </c>
      <c r="B1371" s="253">
        <v>4417</v>
      </c>
      <c r="C1371" s="237" t="s">
        <v>545</v>
      </c>
      <c r="D1371" s="254">
        <v>22950</v>
      </c>
    </row>
    <row r="1372" spans="1:4" ht="14.25" customHeight="1">
      <c r="A1372" s="251" t="s">
        <v>445</v>
      </c>
      <c r="B1372" s="253">
        <v>4418</v>
      </c>
      <c r="C1372" s="237" t="s">
        <v>545</v>
      </c>
      <c r="D1372" s="254">
        <v>850</v>
      </c>
    </row>
    <row r="1373" spans="1:4" ht="14.25" customHeight="1">
      <c r="A1373" s="251" t="s">
        <v>445</v>
      </c>
      <c r="B1373" s="253">
        <v>4419</v>
      </c>
      <c r="C1373" s="237" t="s">
        <v>545</v>
      </c>
      <c r="D1373" s="254">
        <v>28200</v>
      </c>
    </row>
    <row r="1374" spans="1:4" ht="14.25" customHeight="1">
      <c r="A1374" s="251" t="s">
        <v>445</v>
      </c>
      <c r="B1374" s="253">
        <v>4428</v>
      </c>
      <c r="C1374" s="237" t="s">
        <v>546</v>
      </c>
      <c r="D1374" s="254">
        <v>34609</v>
      </c>
    </row>
    <row r="1375" spans="1:4" ht="14.25" customHeight="1">
      <c r="A1375" s="251" t="s">
        <v>445</v>
      </c>
      <c r="B1375" s="253">
        <v>4429</v>
      </c>
      <c r="C1375" s="237" t="s">
        <v>546</v>
      </c>
      <c r="D1375" s="254">
        <v>6107</v>
      </c>
    </row>
    <row r="1376" spans="1:4" ht="14.25" customHeight="1">
      <c r="A1376" s="251" t="s">
        <v>445</v>
      </c>
      <c r="B1376" s="253">
        <v>4437</v>
      </c>
      <c r="C1376" s="237" t="s">
        <v>547</v>
      </c>
      <c r="D1376" s="254">
        <v>900</v>
      </c>
    </row>
    <row r="1377" spans="1:4" ht="14.25" customHeight="1">
      <c r="A1377" s="251" t="s">
        <v>445</v>
      </c>
      <c r="B1377" s="253">
        <v>4438</v>
      </c>
      <c r="C1377" s="237" t="s">
        <v>547</v>
      </c>
      <c r="D1377" s="254">
        <v>425</v>
      </c>
    </row>
    <row r="1378" spans="1:4" ht="14.25" customHeight="1">
      <c r="A1378" s="251" t="s">
        <v>445</v>
      </c>
      <c r="B1378" s="253">
        <v>4439</v>
      </c>
      <c r="C1378" s="237" t="s">
        <v>547</v>
      </c>
      <c r="D1378" s="254">
        <v>1175</v>
      </c>
    </row>
    <row r="1379" spans="1:4" ht="14.25" customHeight="1">
      <c r="A1379" s="251" t="s">
        <v>445</v>
      </c>
      <c r="B1379" s="253">
        <v>4700</v>
      </c>
      <c r="C1379" s="237" t="s">
        <v>548</v>
      </c>
      <c r="D1379" s="254">
        <v>9950</v>
      </c>
    </row>
    <row r="1380" spans="1:4" ht="14.25" customHeight="1">
      <c r="A1380" s="251" t="s">
        <v>445</v>
      </c>
      <c r="B1380" s="253">
        <v>4707</v>
      </c>
      <c r="C1380" s="237" t="s">
        <v>548</v>
      </c>
      <c r="D1380" s="254">
        <v>7020</v>
      </c>
    </row>
    <row r="1381" spans="1:4" ht="14.25" customHeight="1">
      <c r="A1381" s="251" t="s">
        <v>445</v>
      </c>
      <c r="B1381" s="253">
        <v>4709</v>
      </c>
      <c r="C1381" s="237" t="s">
        <v>548</v>
      </c>
      <c r="D1381" s="254">
        <v>8580</v>
      </c>
    </row>
    <row r="1382" spans="1:4" ht="14.25" customHeight="1">
      <c r="A1382" s="251" t="s">
        <v>445</v>
      </c>
      <c r="B1382" s="253">
        <v>6010</v>
      </c>
      <c r="C1382" s="237" t="s">
        <v>573</v>
      </c>
      <c r="D1382" s="254">
        <v>3000000</v>
      </c>
    </row>
    <row r="1383" spans="1:4" ht="60">
      <c r="A1383" s="251" t="s">
        <v>445</v>
      </c>
      <c r="B1383" s="253">
        <v>6259</v>
      </c>
      <c r="C1383" s="237" t="s">
        <v>448</v>
      </c>
      <c r="D1383" s="254">
        <v>4354535</v>
      </c>
    </row>
    <row r="1384" spans="1:4" ht="15">
      <c r="A1384" s="261" t="s">
        <v>49</v>
      </c>
      <c r="B1384" s="261" t="s">
        <v>445</v>
      </c>
      <c r="C1384" s="238" t="s">
        <v>50</v>
      </c>
      <c r="D1384" s="262">
        <f>D1385+D1387+D1390+D1392+D1396+D1399+D1401+D1405+D1409+D1418</f>
        <v>133576604</v>
      </c>
    </row>
    <row r="1385" spans="1:4" s="235" customFormat="1" ht="14.25">
      <c r="A1385" s="251">
        <v>92105</v>
      </c>
      <c r="B1385" s="251" t="s">
        <v>445</v>
      </c>
      <c r="C1385" s="236" t="s">
        <v>107</v>
      </c>
      <c r="D1385" s="252">
        <f>D1386</f>
        <v>470000</v>
      </c>
    </row>
    <row r="1386" spans="1:4" ht="30">
      <c r="A1386" s="251" t="s">
        <v>445</v>
      </c>
      <c r="B1386" s="253">
        <v>2800</v>
      </c>
      <c r="C1386" s="237" t="s">
        <v>555</v>
      </c>
      <c r="D1386" s="254">
        <v>470000</v>
      </c>
    </row>
    <row r="1387" spans="1:4" s="235" customFormat="1" ht="14.25">
      <c r="A1387" s="251">
        <v>92106</v>
      </c>
      <c r="B1387" s="251" t="s">
        <v>445</v>
      </c>
      <c r="C1387" s="236" t="s">
        <v>203</v>
      </c>
      <c r="D1387" s="252">
        <f>SUM(D1388:D1389)</f>
        <v>40538825</v>
      </c>
    </row>
    <row r="1388" spans="1:4" ht="15">
      <c r="A1388" s="251" t="s">
        <v>445</v>
      </c>
      <c r="B1388" s="253">
        <v>2480</v>
      </c>
      <c r="C1388" s="237" t="s">
        <v>592</v>
      </c>
      <c r="D1388" s="254">
        <v>30050000</v>
      </c>
    </row>
    <row r="1389" spans="1:4" ht="30.75" customHeight="1">
      <c r="A1389" s="251" t="s">
        <v>445</v>
      </c>
      <c r="B1389" s="253">
        <v>6220</v>
      </c>
      <c r="C1389" s="237" t="s">
        <v>576</v>
      </c>
      <c r="D1389" s="254">
        <v>10488825</v>
      </c>
    </row>
    <row r="1390" spans="1:4" s="235" customFormat="1" ht="14.25">
      <c r="A1390" s="251">
        <v>92108</v>
      </c>
      <c r="B1390" s="251" t="s">
        <v>445</v>
      </c>
      <c r="C1390" s="236" t="s">
        <v>204</v>
      </c>
      <c r="D1390" s="252">
        <f>D1391</f>
        <v>9934500</v>
      </c>
    </row>
    <row r="1391" spans="1:4" ht="15">
      <c r="A1391" s="251" t="s">
        <v>445</v>
      </c>
      <c r="B1391" s="253">
        <v>2480</v>
      </c>
      <c r="C1391" s="237" t="s">
        <v>592</v>
      </c>
      <c r="D1391" s="254">
        <v>9934500</v>
      </c>
    </row>
    <row r="1392" spans="1:4" s="235" customFormat="1" ht="14.25">
      <c r="A1392" s="251">
        <v>92109</v>
      </c>
      <c r="B1392" s="251" t="s">
        <v>445</v>
      </c>
      <c r="C1392" s="236" t="s">
        <v>69</v>
      </c>
      <c r="D1392" s="252">
        <f>SUM(D1393:D1395)</f>
        <v>7246474</v>
      </c>
    </row>
    <row r="1393" spans="1:4" ht="15">
      <c r="A1393" s="251" t="s">
        <v>445</v>
      </c>
      <c r="B1393" s="253">
        <v>2480</v>
      </c>
      <c r="C1393" s="237" t="s">
        <v>592</v>
      </c>
      <c r="D1393" s="254">
        <v>7005794</v>
      </c>
    </row>
    <row r="1394" spans="1:4" ht="30">
      <c r="A1394" s="251" t="s">
        <v>445</v>
      </c>
      <c r="B1394" s="253">
        <v>2800</v>
      </c>
      <c r="C1394" s="237" t="s">
        <v>555</v>
      </c>
      <c r="D1394" s="254">
        <v>51000</v>
      </c>
    </row>
    <row r="1395" spans="1:4" ht="30" customHeight="1">
      <c r="A1395" s="251" t="s">
        <v>445</v>
      </c>
      <c r="B1395" s="253">
        <v>6220</v>
      </c>
      <c r="C1395" s="237" t="s">
        <v>576</v>
      </c>
      <c r="D1395" s="254">
        <v>189680</v>
      </c>
    </row>
    <row r="1396" spans="1:4" s="235" customFormat="1" ht="14.25">
      <c r="A1396" s="251">
        <v>92110</v>
      </c>
      <c r="B1396" s="251" t="s">
        <v>445</v>
      </c>
      <c r="C1396" s="236" t="s">
        <v>205</v>
      </c>
      <c r="D1396" s="252">
        <f>SUM(D1397:D1398)</f>
        <v>2499300</v>
      </c>
    </row>
    <row r="1397" spans="1:4" ht="15">
      <c r="A1397" s="251" t="s">
        <v>445</v>
      </c>
      <c r="B1397" s="253">
        <v>2480</v>
      </c>
      <c r="C1397" s="237" t="s">
        <v>592</v>
      </c>
      <c r="D1397" s="254">
        <v>2454300</v>
      </c>
    </row>
    <row r="1398" spans="1:4" ht="30" customHeight="1">
      <c r="A1398" s="251" t="s">
        <v>445</v>
      </c>
      <c r="B1398" s="253">
        <v>6220</v>
      </c>
      <c r="C1398" s="237" t="s">
        <v>576</v>
      </c>
      <c r="D1398" s="254">
        <v>45000</v>
      </c>
    </row>
    <row r="1399" spans="1:4" s="235" customFormat="1" ht="14.25">
      <c r="A1399" s="251">
        <v>92113</v>
      </c>
      <c r="B1399" s="251" t="s">
        <v>445</v>
      </c>
      <c r="C1399" s="236" t="s">
        <v>206</v>
      </c>
      <c r="D1399" s="252">
        <f>D1400</f>
        <v>1299500</v>
      </c>
    </row>
    <row r="1400" spans="1:4" ht="15">
      <c r="A1400" s="251" t="s">
        <v>445</v>
      </c>
      <c r="B1400" s="253">
        <v>2480</v>
      </c>
      <c r="C1400" s="237" t="s">
        <v>592</v>
      </c>
      <c r="D1400" s="254">
        <v>1299500</v>
      </c>
    </row>
    <row r="1401" spans="1:4" s="235" customFormat="1" ht="14.25">
      <c r="A1401" s="251">
        <v>92116</v>
      </c>
      <c r="B1401" s="251" t="s">
        <v>445</v>
      </c>
      <c r="C1401" s="236" t="s">
        <v>70</v>
      </c>
      <c r="D1401" s="252">
        <f>SUM(D1402:D1404)</f>
        <v>21532300</v>
      </c>
    </row>
    <row r="1402" spans="1:4" ht="15">
      <c r="A1402" s="251" t="s">
        <v>445</v>
      </c>
      <c r="B1402" s="253">
        <v>2480</v>
      </c>
      <c r="C1402" s="237" t="s">
        <v>592</v>
      </c>
      <c r="D1402" s="254">
        <v>21227300</v>
      </c>
    </row>
    <row r="1403" spans="1:4" ht="29.25" customHeight="1">
      <c r="A1403" s="251" t="s">
        <v>445</v>
      </c>
      <c r="B1403" s="253">
        <v>2800</v>
      </c>
      <c r="C1403" s="237" t="s">
        <v>555</v>
      </c>
      <c r="D1403" s="254">
        <v>45000</v>
      </c>
    </row>
    <row r="1404" spans="1:4" ht="29.25" customHeight="1">
      <c r="A1404" s="251" t="s">
        <v>445</v>
      </c>
      <c r="B1404" s="253">
        <v>6220</v>
      </c>
      <c r="C1404" s="237" t="s">
        <v>576</v>
      </c>
      <c r="D1404" s="254">
        <v>260000</v>
      </c>
    </row>
    <row r="1405" spans="1:4" s="235" customFormat="1" ht="14.25">
      <c r="A1405" s="251">
        <v>92118</v>
      </c>
      <c r="B1405" s="251" t="s">
        <v>445</v>
      </c>
      <c r="C1405" s="236" t="s">
        <v>207</v>
      </c>
      <c r="D1405" s="252">
        <f>SUM(D1406:D1408)</f>
        <v>15782299</v>
      </c>
    </row>
    <row r="1406" spans="1:4" ht="15">
      <c r="A1406" s="251" t="s">
        <v>445</v>
      </c>
      <c r="B1406" s="253">
        <v>2480</v>
      </c>
      <c r="C1406" s="237" t="s">
        <v>592</v>
      </c>
      <c r="D1406" s="254">
        <v>14471950</v>
      </c>
    </row>
    <row r="1407" spans="1:4" ht="30">
      <c r="A1407" s="251" t="s">
        <v>445</v>
      </c>
      <c r="B1407" s="253">
        <v>2710</v>
      </c>
      <c r="C1407" s="237" t="s">
        <v>593</v>
      </c>
      <c r="D1407" s="254">
        <v>74000</v>
      </c>
    </row>
    <row r="1408" spans="1:4" ht="31.5" customHeight="1">
      <c r="A1408" s="251" t="s">
        <v>445</v>
      </c>
      <c r="B1408" s="253">
        <v>6220</v>
      </c>
      <c r="C1408" s="237" t="s">
        <v>576</v>
      </c>
      <c r="D1408" s="254">
        <v>1236349</v>
      </c>
    </row>
    <row r="1409" spans="1:4" s="235" customFormat="1" ht="14.25">
      <c r="A1409" s="251">
        <v>92120</v>
      </c>
      <c r="B1409" s="251" t="s">
        <v>445</v>
      </c>
      <c r="C1409" s="236" t="s">
        <v>208</v>
      </c>
      <c r="D1409" s="252">
        <f>SUM(D1410:D1417)</f>
        <v>4200000</v>
      </c>
    </row>
    <row r="1410" spans="1:4" ht="45">
      <c r="A1410" s="255" t="s">
        <v>445</v>
      </c>
      <c r="B1410" s="256">
        <v>2720</v>
      </c>
      <c r="C1410" s="239" t="s">
        <v>594</v>
      </c>
      <c r="D1410" s="257">
        <v>900000</v>
      </c>
    </row>
    <row r="1411" spans="1:4" ht="44.25" customHeight="1">
      <c r="A1411" s="258" t="s">
        <v>445</v>
      </c>
      <c r="B1411" s="259">
        <v>2727</v>
      </c>
      <c r="C1411" s="240" t="s">
        <v>594</v>
      </c>
      <c r="D1411" s="260">
        <v>2957143</v>
      </c>
    </row>
    <row r="1412" spans="1:4" ht="44.25" customHeight="1">
      <c r="A1412" s="251" t="s">
        <v>445</v>
      </c>
      <c r="B1412" s="253">
        <v>2729</v>
      </c>
      <c r="C1412" s="237" t="s">
        <v>594</v>
      </c>
      <c r="D1412" s="254">
        <v>42857</v>
      </c>
    </row>
    <row r="1413" spans="1:4" ht="44.25" customHeight="1">
      <c r="A1413" s="251" t="s">
        <v>445</v>
      </c>
      <c r="B1413" s="253">
        <v>2730</v>
      </c>
      <c r="C1413" s="237" t="s">
        <v>595</v>
      </c>
      <c r="D1413" s="254">
        <v>225000</v>
      </c>
    </row>
    <row r="1414" spans="1:4" ht="14.25" customHeight="1">
      <c r="A1414" s="251" t="s">
        <v>445</v>
      </c>
      <c r="B1414" s="253">
        <v>4170</v>
      </c>
      <c r="C1414" s="237" t="s">
        <v>535</v>
      </c>
      <c r="D1414" s="254">
        <v>19000</v>
      </c>
    </row>
    <row r="1415" spans="1:4" ht="14.25" customHeight="1">
      <c r="A1415" s="251" t="s">
        <v>445</v>
      </c>
      <c r="B1415" s="253">
        <v>4190</v>
      </c>
      <c r="C1415" s="237" t="s">
        <v>536</v>
      </c>
      <c r="D1415" s="254">
        <v>2000</v>
      </c>
    </row>
    <row r="1416" spans="1:4" ht="14.25" customHeight="1">
      <c r="A1416" s="251" t="s">
        <v>445</v>
      </c>
      <c r="B1416" s="253">
        <v>4210</v>
      </c>
      <c r="C1416" s="237" t="s">
        <v>537</v>
      </c>
      <c r="D1416" s="254">
        <v>4000</v>
      </c>
    </row>
    <row r="1417" spans="1:4" ht="14.25" customHeight="1">
      <c r="A1417" s="251" t="s">
        <v>445</v>
      </c>
      <c r="B1417" s="253">
        <v>4300</v>
      </c>
      <c r="C1417" s="237" t="s">
        <v>541</v>
      </c>
      <c r="D1417" s="254">
        <v>50000</v>
      </c>
    </row>
    <row r="1418" spans="1:4" s="235" customFormat="1" ht="14.25">
      <c r="A1418" s="251">
        <v>92195</v>
      </c>
      <c r="B1418" s="251" t="s">
        <v>445</v>
      </c>
      <c r="C1418" s="236" t="s">
        <v>73</v>
      </c>
      <c r="D1418" s="252">
        <f>SUM(D1419:D1462)</f>
        <v>30073406</v>
      </c>
    </row>
    <row r="1419" spans="1:4" ht="45">
      <c r="A1419" s="251" t="s">
        <v>445</v>
      </c>
      <c r="B1419" s="253">
        <v>2360</v>
      </c>
      <c r="C1419" s="237" t="s">
        <v>572</v>
      </c>
      <c r="D1419" s="254">
        <v>1100000</v>
      </c>
    </row>
    <row r="1420" spans="1:4" ht="30">
      <c r="A1420" s="251" t="s">
        <v>445</v>
      </c>
      <c r="B1420" s="253">
        <v>2710</v>
      </c>
      <c r="C1420" s="237" t="s">
        <v>593</v>
      </c>
      <c r="D1420" s="254">
        <v>210000</v>
      </c>
    </row>
    <row r="1421" spans="1:4" ht="30">
      <c r="A1421" s="251" t="s">
        <v>445</v>
      </c>
      <c r="B1421" s="253">
        <v>2800</v>
      </c>
      <c r="C1421" s="237" t="s">
        <v>555</v>
      </c>
      <c r="D1421" s="254">
        <v>1870000</v>
      </c>
    </row>
    <row r="1422" spans="1:4" ht="15">
      <c r="A1422" s="251" t="s">
        <v>445</v>
      </c>
      <c r="B1422" s="253">
        <v>3040</v>
      </c>
      <c r="C1422" s="237" t="s">
        <v>577</v>
      </c>
      <c r="D1422" s="254">
        <v>300000</v>
      </c>
    </row>
    <row r="1423" spans="1:4" ht="15">
      <c r="A1423" s="251" t="s">
        <v>445</v>
      </c>
      <c r="B1423" s="253">
        <v>3250</v>
      </c>
      <c r="C1423" s="237" t="s">
        <v>596</v>
      </c>
      <c r="D1423" s="254">
        <v>150000</v>
      </c>
    </row>
    <row r="1424" spans="1:4" ht="15">
      <c r="A1424" s="251" t="s">
        <v>445</v>
      </c>
      <c r="B1424" s="253">
        <v>4017</v>
      </c>
      <c r="C1424" s="237" t="s">
        <v>531</v>
      </c>
      <c r="D1424" s="254">
        <v>19720</v>
      </c>
    </row>
    <row r="1425" spans="1:4" ht="15">
      <c r="A1425" s="251" t="s">
        <v>445</v>
      </c>
      <c r="B1425" s="253">
        <v>4018</v>
      </c>
      <c r="C1425" s="237" t="s">
        <v>531</v>
      </c>
      <c r="D1425" s="254">
        <v>34034</v>
      </c>
    </row>
    <row r="1426" spans="1:4" ht="15">
      <c r="A1426" s="251" t="s">
        <v>445</v>
      </c>
      <c r="B1426" s="253">
        <v>4019</v>
      </c>
      <c r="C1426" s="237" t="s">
        <v>531</v>
      </c>
      <c r="D1426" s="254">
        <v>9486</v>
      </c>
    </row>
    <row r="1427" spans="1:4" ht="15">
      <c r="A1427" s="251" t="s">
        <v>445</v>
      </c>
      <c r="B1427" s="253">
        <v>4048</v>
      </c>
      <c r="C1427" s="237" t="s">
        <v>532</v>
      </c>
      <c r="D1427" s="254">
        <v>7206</v>
      </c>
    </row>
    <row r="1428" spans="1:4" ht="15">
      <c r="A1428" s="251" t="s">
        <v>445</v>
      </c>
      <c r="B1428" s="253">
        <v>4049</v>
      </c>
      <c r="C1428" s="237" t="s">
        <v>532</v>
      </c>
      <c r="D1428" s="254">
        <v>1272</v>
      </c>
    </row>
    <row r="1429" spans="1:4" ht="15">
      <c r="A1429" s="251" t="s">
        <v>445</v>
      </c>
      <c r="B1429" s="253">
        <v>4110</v>
      </c>
      <c r="C1429" s="237" t="s">
        <v>533</v>
      </c>
      <c r="D1429" s="254">
        <v>3500</v>
      </c>
    </row>
    <row r="1430" spans="1:4" ht="15">
      <c r="A1430" s="251" t="s">
        <v>445</v>
      </c>
      <c r="B1430" s="253">
        <v>4117</v>
      </c>
      <c r="C1430" s="237" t="s">
        <v>533</v>
      </c>
      <c r="D1430" s="254">
        <v>4420</v>
      </c>
    </row>
    <row r="1431" spans="1:4" ht="15">
      <c r="A1431" s="251" t="s">
        <v>445</v>
      </c>
      <c r="B1431" s="253">
        <v>4118</v>
      </c>
      <c r="C1431" s="237" t="s">
        <v>533</v>
      </c>
      <c r="D1431" s="254">
        <v>7089</v>
      </c>
    </row>
    <row r="1432" spans="1:4" ht="15">
      <c r="A1432" s="251" t="s">
        <v>445</v>
      </c>
      <c r="B1432" s="253">
        <v>4119</v>
      </c>
      <c r="C1432" s="237" t="s">
        <v>533</v>
      </c>
      <c r="D1432" s="254">
        <v>2031</v>
      </c>
    </row>
    <row r="1433" spans="1:4" ht="29.25" customHeight="1">
      <c r="A1433" s="251" t="s">
        <v>445</v>
      </c>
      <c r="B1433" s="253">
        <v>4120</v>
      </c>
      <c r="C1433" s="237" t="s">
        <v>534</v>
      </c>
      <c r="D1433" s="254">
        <v>500</v>
      </c>
    </row>
    <row r="1434" spans="1:4" ht="29.25" customHeight="1">
      <c r="A1434" s="251" t="s">
        <v>445</v>
      </c>
      <c r="B1434" s="253">
        <v>4127</v>
      </c>
      <c r="C1434" s="237" t="s">
        <v>534</v>
      </c>
      <c r="D1434" s="254">
        <v>680</v>
      </c>
    </row>
    <row r="1435" spans="1:4" ht="29.25" customHeight="1">
      <c r="A1435" s="251" t="s">
        <v>445</v>
      </c>
      <c r="B1435" s="253">
        <v>4128</v>
      </c>
      <c r="C1435" s="237" t="s">
        <v>534</v>
      </c>
      <c r="D1435" s="254">
        <v>1010</v>
      </c>
    </row>
    <row r="1436" spans="1:4" ht="29.25" customHeight="1">
      <c r="A1436" s="251" t="s">
        <v>445</v>
      </c>
      <c r="B1436" s="253">
        <v>4129</v>
      </c>
      <c r="C1436" s="237" t="s">
        <v>534</v>
      </c>
      <c r="D1436" s="254">
        <v>298</v>
      </c>
    </row>
    <row r="1437" spans="1:4" ht="14.25" customHeight="1">
      <c r="A1437" s="251" t="s">
        <v>445</v>
      </c>
      <c r="B1437" s="253">
        <v>4170</v>
      </c>
      <c r="C1437" s="237" t="s">
        <v>535</v>
      </c>
      <c r="D1437" s="254">
        <v>26000</v>
      </c>
    </row>
    <row r="1438" spans="1:4" ht="14.25" customHeight="1">
      <c r="A1438" s="251" t="s">
        <v>445</v>
      </c>
      <c r="B1438" s="253">
        <v>4177</v>
      </c>
      <c r="C1438" s="237" t="s">
        <v>535</v>
      </c>
      <c r="D1438" s="254">
        <v>5100</v>
      </c>
    </row>
    <row r="1439" spans="1:4" ht="14.25" customHeight="1">
      <c r="A1439" s="251" t="s">
        <v>445</v>
      </c>
      <c r="B1439" s="253">
        <v>4179</v>
      </c>
      <c r="C1439" s="237" t="s">
        <v>535</v>
      </c>
      <c r="D1439" s="254">
        <v>900</v>
      </c>
    </row>
    <row r="1440" spans="1:4" ht="14.25" customHeight="1">
      <c r="A1440" s="251" t="s">
        <v>445</v>
      </c>
      <c r="B1440" s="253">
        <v>4190</v>
      </c>
      <c r="C1440" s="237" t="s">
        <v>536</v>
      </c>
      <c r="D1440" s="254">
        <v>87000</v>
      </c>
    </row>
    <row r="1441" spans="1:4" ht="14.25" customHeight="1">
      <c r="A1441" s="251" t="s">
        <v>445</v>
      </c>
      <c r="B1441" s="253">
        <v>4210</v>
      </c>
      <c r="C1441" s="237" t="s">
        <v>537</v>
      </c>
      <c r="D1441" s="254">
        <v>23500</v>
      </c>
    </row>
    <row r="1442" spans="1:4" ht="14.25" customHeight="1">
      <c r="A1442" s="251" t="s">
        <v>445</v>
      </c>
      <c r="B1442" s="253">
        <v>4218</v>
      </c>
      <c r="C1442" s="237" t="s">
        <v>537</v>
      </c>
      <c r="D1442" s="254">
        <v>3400</v>
      </c>
    </row>
    <row r="1443" spans="1:4" ht="14.25" customHeight="1">
      <c r="A1443" s="251" t="s">
        <v>445</v>
      </c>
      <c r="B1443" s="253">
        <v>4219</v>
      </c>
      <c r="C1443" s="237" t="s">
        <v>537</v>
      </c>
      <c r="D1443" s="254">
        <v>600</v>
      </c>
    </row>
    <row r="1444" spans="1:4" ht="14.25" customHeight="1">
      <c r="A1444" s="251" t="s">
        <v>445</v>
      </c>
      <c r="B1444" s="253">
        <v>4267</v>
      </c>
      <c r="C1444" s="237" t="s">
        <v>539</v>
      </c>
      <c r="D1444" s="254">
        <v>1020</v>
      </c>
    </row>
    <row r="1445" spans="1:4" ht="14.25" customHeight="1">
      <c r="A1445" s="251" t="s">
        <v>445</v>
      </c>
      <c r="B1445" s="253">
        <v>4269</v>
      </c>
      <c r="C1445" s="237" t="s">
        <v>539</v>
      </c>
      <c r="D1445" s="254">
        <v>180</v>
      </c>
    </row>
    <row r="1446" spans="1:4" ht="14.25" customHeight="1">
      <c r="A1446" s="251" t="s">
        <v>445</v>
      </c>
      <c r="B1446" s="253">
        <v>4300</v>
      </c>
      <c r="C1446" s="237" t="s">
        <v>541</v>
      </c>
      <c r="D1446" s="254">
        <v>3187543</v>
      </c>
    </row>
    <row r="1447" spans="1:4" ht="14.25" customHeight="1">
      <c r="A1447" s="251" t="s">
        <v>445</v>
      </c>
      <c r="B1447" s="253">
        <v>4307</v>
      </c>
      <c r="C1447" s="237" t="s">
        <v>541</v>
      </c>
      <c r="D1447" s="254">
        <v>515379</v>
      </c>
    </row>
    <row r="1448" spans="1:4" ht="14.25" customHeight="1">
      <c r="A1448" s="251" t="s">
        <v>445</v>
      </c>
      <c r="B1448" s="253">
        <v>4308</v>
      </c>
      <c r="C1448" s="237" t="s">
        <v>541</v>
      </c>
      <c r="D1448" s="254">
        <v>50534</v>
      </c>
    </row>
    <row r="1449" spans="1:4" ht="14.25" customHeight="1">
      <c r="A1449" s="251" t="s">
        <v>445</v>
      </c>
      <c r="B1449" s="253">
        <v>4309</v>
      </c>
      <c r="C1449" s="237" t="s">
        <v>541</v>
      </c>
      <c r="D1449" s="254">
        <v>99866</v>
      </c>
    </row>
    <row r="1450" spans="1:4" ht="14.25" customHeight="1">
      <c r="A1450" s="251" t="s">
        <v>445</v>
      </c>
      <c r="B1450" s="253">
        <v>4388</v>
      </c>
      <c r="C1450" s="237" t="s">
        <v>543</v>
      </c>
      <c r="D1450" s="254">
        <v>4001</v>
      </c>
    </row>
    <row r="1451" spans="1:4" ht="14.25" customHeight="1">
      <c r="A1451" s="251" t="s">
        <v>445</v>
      </c>
      <c r="B1451" s="253">
        <v>4389</v>
      </c>
      <c r="C1451" s="237" t="s">
        <v>543</v>
      </c>
      <c r="D1451" s="254">
        <v>706</v>
      </c>
    </row>
    <row r="1452" spans="1:4" ht="14.25" customHeight="1">
      <c r="A1452" s="251" t="s">
        <v>445</v>
      </c>
      <c r="B1452" s="253">
        <v>4397</v>
      </c>
      <c r="C1452" s="237" t="s">
        <v>557</v>
      </c>
      <c r="D1452" s="254">
        <v>42500</v>
      </c>
    </row>
    <row r="1453" spans="1:4" ht="14.25" customHeight="1">
      <c r="A1453" s="251" t="s">
        <v>445</v>
      </c>
      <c r="B1453" s="253">
        <v>4399</v>
      </c>
      <c r="C1453" s="237" t="s">
        <v>557</v>
      </c>
      <c r="D1453" s="254">
        <v>7500</v>
      </c>
    </row>
    <row r="1454" spans="1:4" ht="14.25" customHeight="1">
      <c r="A1454" s="251" t="s">
        <v>445</v>
      </c>
      <c r="B1454" s="253">
        <v>4418</v>
      </c>
      <c r="C1454" s="237" t="s">
        <v>545</v>
      </c>
      <c r="D1454" s="254">
        <v>1700</v>
      </c>
    </row>
    <row r="1455" spans="1:4" ht="14.25" customHeight="1">
      <c r="A1455" s="251" t="s">
        <v>445</v>
      </c>
      <c r="B1455" s="253">
        <v>4419</v>
      </c>
      <c r="C1455" s="237" t="s">
        <v>545</v>
      </c>
      <c r="D1455" s="254">
        <v>300</v>
      </c>
    </row>
    <row r="1456" spans="1:4" ht="14.25" customHeight="1">
      <c r="A1456" s="251" t="s">
        <v>445</v>
      </c>
      <c r="B1456" s="253">
        <v>4428</v>
      </c>
      <c r="C1456" s="237" t="s">
        <v>546</v>
      </c>
      <c r="D1456" s="254">
        <v>30340</v>
      </c>
    </row>
    <row r="1457" spans="1:4" ht="14.25" customHeight="1">
      <c r="A1457" s="251" t="s">
        <v>445</v>
      </c>
      <c r="B1457" s="253">
        <v>4429</v>
      </c>
      <c r="C1457" s="237" t="s">
        <v>546</v>
      </c>
      <c r="D1457" s="254">
        <v>5354</v>
      </c>
    </row>
    <row r="1458" spans="1:4" ht="14.25" customHeight="1">
      <c r="A1458" s="251" t="s">
        <v>445</v>
      </c>
      <c r="B1458" s="253">
        <v>4438</v>
      </c>
      <c r="C1458" s="237" t="s">
        <v>547</v>
      </c>
      <c r="D1458" s="254">
        <v>255</v>
      </c>
    </row>
    <row r="1459" spans="1:4" ht="14.25" customHeight="1">
      <c r="A1459" s="251" t="s">
        <v>445</v>
      </c>
      <c r="B1459" s="253">
        <v>4439</v>
      </c>
      <c r="C1459" s="237" t="s">
        <v>547</v>
      </c>
      <c r="D1459" s="254">
        <v>45</v>
      </c>
    </row>
    <row r="1460" spans="1:4" ht="14.25" customHeight="1">
      <c r="A1460" s="251" t="s">
        <v>445</v>
      </c>
      <c r="B1460" s="253">
        <v>6050</v>
      </c>
      <c r="C1460" s="237" t="s">
        <v>560</v>
      </c>
      <c r="D1460" s="254">
        <v>10896816</v>
      </c>
    </row>
    <row r="1461" spans="1:4" ht="14.25" customHeight="1">
      <c r="A1461" s="255" t="s">
        <v>445</v>
      </c>
      <c r="B1461" s="256">
        <v>6057</v>
      </c>
      <c r="C1461" s="239" t="s">
        <v>560</v>
      </c>
      <c r="D1461" s="257">
        <v>10843744</v>
      </c>
    </row>
    <row r="1462" spans="1:4" ht="14.25" customHeight="1">
      <c r="A1462" s="261" t="s">
        <v>445</v>
      </c>
      <c r="B1462" s="263">
        <v>6059</v>
      </c>
      <c r="C1462" s="268" t="s">
        <v>560</v>
      </c>
      <c r="D1462" s="269">
        <v>517877</v>
      </c>
    </row>
    <row r="1463" spans="1:4" s="235" customFormat="1" ht="28.5">
      <c r="A1463" s="261" t="s">
        <v>376</v>
      </c>
      <c r="B1463" s="261" t="s">
        <v>445</v>
      </c>
      <c r="C1463" s="238" t="s">
        <v>51</v>
      </c>
      <c r="D1463" s="262">
        <f>D1464</f>
        <v>10732858</v>
      </c>
    </row>
    <row r="1464" spans="1:4" s="235" customFormat="1" ht="14.25">
      <c r="A1464" s="251">
        <v>92502</v>
      </c>
      <c r="B1464" s="251" t="s">
        <v>445</v>
      </c>
      <c r="C1464" s="236" t="s">
        <v>71</v>
      </c>
      <c r="D1464" s="252">
        <f>SUM(D1465:D1503)</f>
        <v>10732858</v>
      </c>
    </row>
    <row r="1465" spans="1:4" ht="14.25" customHeight="1">
      <c r="A1465" s="251" t="s">
        <v>445</v>
      </c>
      <c r="B1465" s="253">
        <v>3020</v>
      </c>
      <c r="C1465" s="237" t="s">
        <v>561</v>
      </c>
      <c r="D1465" s="254">
        <v>93300</v>
      </c>
    </row>
    <row r="1466" spans="1:4" ht="14.25" customHeight="1">
      <c r="A1466" s="251" t="s">
        <v>445</v>
      </c>
      <c r="B1466" s="253">
        <v>4010</v>
      </c>
      <c r="C1466" s="237" t="s">
        <v>531</v>
      </c>
      <c r="D1466" s="254">
        <v>2670618</v>
      </c>
    </row>
    <row r="1467" spans="1:4" ht="14.25" customHeight="1">
      <c r="A1467" s="251" t="s">
        <v>445</v>
      </c>
      <c r="B1467" s="253">
        <v>4017</v>
      </c>
      <c r="C1467" s="237" t="s">
        <v>531</v>
      </c>
      <c r="D1467" s="254">
        <v>3302</v>
      </c>
    </row>
    <row r="1468" spans="1:4" ht="14.25" customHeight="1">
      <c r="A1468" s="251" t="s">
        <v>445</v>
      </c>
      <c r="B1468" s="253">
        <v>4019</v>
      </c>
      <c r="C1468" s="237" t="s">
        <v>531</v>
      </c>
      <c r="D1468" s="254">
        <v>4091</v>
      </c>
    </row>
    <row r="1469" spans="1:4" ht="14.25" customHeight="1">
      <c r="A1469" s="251" t="s">
        <v>445</v>
      </c>
      <c r="B1469" s="253">
        <v>4040</v>
      </c>
      <c r="C1469" s="237" t="s">
        <v>532</v>
      </c>
      <c r="D1469" s="254">
        <v>221188</v>
      </c>
    </row>
    <row r="1470" spans="1:4" ht="14.25" customHeight="1">
      <c r="A1470" s="251" t="s">
        <v>445</v>
      </c>
      <c r="B1470" s="253">
        <v>4110</v>
      </c>
      <c r="C1470" s="237" t="s">
        <v>533</v>
      </c>
      <c r="D1470" s="254">
        <v>509552</v>
      </c>
    </row>
    <row r="1471" spans="1:4" ht="14.25" customHeight="1">
      <c r="A1471" s="251" t="s">
        <v>445</v>
      </c>
      <c r="B1471" s="253">
        <v>4117</v>
      </c>
      <c r="C1471" s="237" t="s">
        <v>533</v>
      </c>
      <c r="D1471" s="254">
        <v>598</v>
      </c>
    </row>
    <row r="1472" spans="1:4" ht="14.25" customHeight="1">
      <c r="A1472" s="251" t="s">
        <v>445</v>
      </c>
      <c r="B1472" s="253">
        <v>4119</v>
      </c>
      <c r="C1472" s="237" t="s">
        <v>533</v>
      </c>
      <c r="D1472" s="254">
        <v>742</v>
      </c>
    </row>
    <row r="1473" spans="1:4" ht="30" customHeight="1">
      <c r="A1473" s="251" t="s">
        <v>445</v>
      </c>
      <c r="B1473" s="253">
        <v>4120</v>
      </c>
      <c r="C1473" s="237" t="s">
        <v>534</v>
      </c>
      <c r="D1473" s="254">
        <v>65977</v>
      </c>
    </row>
    <row r="1474" spans="1:4" ht="30" customHeight="1">
      <c r="A1474" s="251" t="s">
        <v>445</v>
      </c>
      <c r="B1474" s="253">
        <v>4127</v>
      </c>
      <c r="C1474" s="237" t="s">
        <v>534</v>
      </c>
      <c r="D1474" s="254">
        <v>82</v>
      </c>
    </row>
    <row r="1475" spans="1:4" ht="30" customHeight="1">
      <c r="A1475" s="251" t="s">
        <v>445</v>
      </c>
      <c r="B1475" s="253">
        <v>4129</v>
      </c>
      <c r="C1475" s="237" t="s">
        <v>534</v>
      </c>
      <c r="D1475" s="254">
        <v>101</v>
      </c>
    </row>
    <row r="1476" spans="1:4" ht="14.25" customHeight="1">
      <c r="A1476" s="251" t="s">
        <v>445</v>
      </c>
      <c r="B1476" s="253">
        <v>4170</v>
      </c>
      <c r="C1476" s="237" t="s">
        <v>535</v>
      </c>
      <c r="D1476" s="254">
        <v>90120</v>
      </c>
    </row>
    <row r="1477" spans="1:4" ht="14.25" customHeight="1">
      <c r="A1477" s="251" t="s">
        <v>445</v>
      </c>
      <c r="B1477" s="253">
        <v>4177</v>
      </c>
      <c r="C1477" s="237" t="s">
        <v>535</v>
      </c>
      <c r="D1477" s="254">
        <v>5100</v>
      </c>
    </row>
    <row r="1478" spans="1:4" ht="14.25" customHeight="1">
      <c r="A1478" s="251" t="s">
        <v>445</v>
      </c>
      <c r="B1478" s="253">
        <v>4179</v>
      </c>
      <c r="C1478" s="237" t="s">
        <v>535</v>
      </c>
      <c r="D1478" s="254">
        <v>900</v>
      </c>
    </row>
    <row r="1479" spans="1:4" ht="14.25" customHeight="1">
      <c r="A1479" s="251" t="s">
        <v>445</v>
      </c>
      <c r="B1479" s="253">
        <v>4210</v>
      </c>
      <c r="C1479" s="237" t="s">
        <v>537</v>
      </c>
      <c r="D1479" s="254">
        <v>247184</v>
      </c>
    </row>
    <row r="1480" spans="1:4" ht="14.25" customHeight="1">
      <c r="A1480" s="251" t="s">
        <v>445</v>
      </c>
      <c r="B1480" s="253">
        <v>4220</v>
      </c>
      <c r="C1480" s="237" t="s">
        <v>538</v>
      </c>
      <c r="D1480" s="254">
        <v>1242</v>
      </c>
    </row>
    <row r="1481" spans="1:4" ht="14.25" customHeight="1">
      <c r="A1481" s="251" t="s">
        <v>445</v>
      </c>
      <c r="B1481" s="253">
        <v>4260</v>
      </c>
      <c r="C1481" s="237" t="s">
        <v>539</v>
      </c>
      <c r="D1481" s="254">
        <v>120000</v>
      </c>
    </row>
    <row r="1482" spans="1:4" ht="14.25" customHeight="1">
      <c r="A1482" s="251" t="s">
        <v>445</v>
      </c>
      <c r="B1482" s="253">
        <v>4270</v>
      </c>
      <c r="C1482" s="237" t="s">
        <v>540</v>
      </c>
      <c r="D1482" s="254">
        <v>54586</v>
      </c>
    </row>
    <row r="1483" spans="1:4" ht="14.25" customHeight="1">
      <c r="A1483" s="251" t="s">
        <v>445</v>
      </c>
      <c r="B1483" s="253">
        <v>4280</v>
      </c>
      <c r="C1483" s="237" t="s">
        <v>563</v>
      </c>
      <c r="D1483" s="254">
        <v>2950</v>
      </c>
    </row>
    <row r="1484" spans="1:4" ht="14.25" customHeight="1">
      <c r="A1484" s="251" t="s">
        <v>445</v>
      </c>
      <c r="B1484" s="253">
        <v>4300</v>
      </c>
      <c r="C1484" s="237" t="s">
        <v>541</v>
      </c>
      <c r="D1484" s="254">
        <v>283700</v>
      </c>
    </row>
    <row r="1485" spans="1:4" ht="14.25" customHeight="1">
      <c r="A1485" s="251" t="s">
        <v>445</v>
      </c>
      <c r="B1485" s="253">
        <v>4307</v>
      </c>
      <c r="C1485" s="237" t="s">
        <v>541</v>
      </c>
      <c r="D1485" s="254">
        <v>384670</v>
      </c>
    </row>
    <row r="1486" spans="1:4" ht="14.25" customHeight="1">
      <c r="A1486" s="251" t="s">
        <v>445</v>
      </c>
      <c r="B1486" s="253">
        <v>4309</v>
      </c>
      <c r="C1486" s="237" t="s">
        <v>541</v>
      </c>
      <c r="D1486" s="254">
        <v>132502</v>
      </c>
    </row>
    <row r="1487" spans="1:4" ht="14.25" customHeight="1">
      <c r="A1487" s="251" t="s">
        <v>445</v>
      </c>
      <c r="B1487" s="253">
        <v>4360</v>
      </c>
      <c r="C1487" s="237" t="s">
        <v>542</v>
      </c>
      <c r="D1487" s="254">
        <v>47300</v>
      </c>
    </row>
    <row r="1488" spans="1:4" ht="14.25" customHeight="1">
      <c r="A1488" s="251" t="s">
        <v>445</v>
      </c>
      <c r="B1488" s="253">
        <v>4390</v>
      </c>
      <c r="C1488" s="237" t="s">
        <v>557</v>
      </c>
      <c r="D1488" s="254">
        <v>2500</v>
      </c>
    </row>
    <row r="1489" spans="1:4" ht="14.25" customHeight="1">
      <c r="A1489" s="251" t="s">
        <v>445</v>
      </c>
      <c r="B1489" s="253">
        <v>4400</v>
      </c>
      <c r="C1489" s="237" t="s">
        <v>544</v>
      </c>
      <c r="D1489" s="254">
        <v>50172</v>
      </c>
    </row>
    <row r="1490" spans="1:4" ht="14.25" customHeight="1">
      <c r="A1490" s="251" t="s">
        <v>445</v>
      </c>
      <c r="B1490" s="253">
        <v>4410</v>
      </c>
      <c r="C1490" s="237" t="s">
        <v>545</v>
      </c>
      <c r="D1490" s="254">
        <v>2300</v>
      </c>
    </row>
    <row r="1491" spans="1:4" ht="14.25" customHeight="1">
      <c r="A1491" s="251" t="s">
        <v>445</v>
      </c>
      <c r="B1491" s="253">
        <v>4420</v>
      </c>
      <c r="C1491" s="237" t="s">
        <v>546</v>
      </c>
      <c r="D1491" s="254">
        <v>1300</v>
      </c>
    </row>
    <row r="1492" spans="1:4" ht="14.25" customHeight="1">
      <c r="A1492" s="251" t="s">
        <v>445</v>
      </c>
      <c r="B1492" s="253">
        <v>4430</v>
      </c>
      <c r="C1492" s="237" t="s">
        <v>547</v>
      </c>
      <c r="D1492" s="254">
        <v>70348</v>
      </c>
    </row>
    <row r="1493" spans="1:4" ht="14.25" customHeight="1">
      <c r="A1493" s="251" t="s">
        <v>445</v>
      </c>
      <c r="B1493" s="253">
        <v>4440</v>
      </c>
      <c r="C1493" s="237" t="s">
        <v>564</v>
      </c>
      <c r="D1493" s="254">
        <v>73588</v>
      </c>
    </row>
    <row r="1494" spans="1:4" ht="14.25" customHeight="1">
      <c r="A1494" s="251" t="s">
        <v>445</v>
      </c>
      <c r="B1494" s="253">
        <v>4480</v>
      </c>
      <c r="C1494" s="237" t="s">
        <v>565</v>
      </c>
      <c r="D1494" s="254">
        <v>23317</v>
      </c>
    </row>
    <row r="1495" spans="1:4" ht="14.25" customHeight="1">
      <c r="A1495" s="251" t="s">
        <v>445</v>
      </c>
      <c r="B1495" s="253">
        <v>4500</v>
      </c>
      <c r="C1495" s="237" t="s">
        <v>566</v>
      </c>
      <c r="D1495" s="254">
        <v>1700</v>
      </c>
    </row>
    <row r="1496" spans="1:4" ht="14.25" customHeight="1">
      <c r="A1496" s="251" t="s">
        <v>445</v>
      </c>
      <c r="B1496" s="253">
        <v>4510</v>
      </c>
      <c r="C1496" s="237" t="s">
        <v>567</v>
      </c>
      <c r="D1496" s="254">
        <v>1502</v>
      </c>
    </row>
    <row r="1497" spans="1:4" ht="14.25" customHeight="1">
      <c r="A1497" s="251" t="s">
        <v>445</v>
      </c>
      <c r="B1497" s="253">
        <v>4520</v>
      </c>
      <c r="C1497" s="237" t="s">
        <v>568</v>
      </c>
      <c r="D1497" s="254">
        <v>500</v>
      </c>
    </row>
    <row r="1498" spans="1:4" ht="14.25" customHeight="1">
      <c r="A1498" s="251" t="s">
        <v>445</v>
      </c>
      <c r="B1498" s="253">
        <v>4700</v>
      </c>
      <c r="C1498" s="237" t="s">
        <v>548</v>
      </c>
      <c r="D1498" s="254">
        <v>7450</v>
      </c>
    </row>
    <row r="1499" spans="1:4" ht="14.25" customHeight="1">
      <c r="A1499" s="251" t="s">
        <v>445</v>
      </c>
      <c r="B1499" s="253">
        <v>6050</v>
      </c>
      <c r="C1499" s="237" t="s">
        <v>560</v>
      </c>
      <c r="D1499" s="254">
        <v>452844</v>
      </c>
    </row>
    <row r="1500" spans="1:4" ht="14.25" customHeight="1">
      <c r="A1500" s="251" t="s">
        <v>445</v>
      </c>
      <c r="B1500" s="253">
        <v>6057</v>
      </c>
      <c r="C1500" s="237" t="s">
        <v>560</v>
      </c>
      <c r="D1500" s="254">
        <v>3818514</v>
      </c>
    </row>
    <row r="1501" spans="1:4" ht="14.25" customHeight="1">
      <c r="A1501" s="251" t="s">
        <v>445</v>
      </c>
      <c r="B1501" s="253">
        <v>6059</v>
      </c>
      <c r="C1501" s="237" t="s">
        <v>560</v>
      </c>
      <c r="D1501" s="254">
        <v>1249918</v>
      </c>
    </row>
    <row r="1502" spans="1:4" ht="14.25" customHeight="1">
      <c r="A1502" s="251" t="s">
        <v>445</v>
      </c>
      <c r="B1502" s="253">
        <v>6067</v>
      </c>
      <c r="C1502" s="237" t="s">
        <v>569</v>
      </c>
      <c r="D1502" s="254">
        <v>31535</v>
      </c>
    </row>
    <row r="1503" spans="1:4" ht="14.25" customHeight="1">
      <c r="A1503" s="251" t="s">
        <v>445</v>
      </c>
      <c r="B1503" s="253">
        <v>6069</v>
      </c>
      <c r="C1503" s="237" t="s">
        <v>569</v>
      </c>
      <c r="D1503" s="254">
        <v>5565</v>
      </c>
    </row>
    <row r="1504" spans="1:4" ht="15">
      <c r="A1504" s="261" t="s">
        <v>211</v>
      </c>
      <c r="B1504" s="261" t="s">
        <v>445</v>
      </c>
      <c r="C1504" s="238" t="s">
        <v>212</v>
      </c>
      <c r="D1504" s="262">
        <f>D1505</f>
        <v>7130000</v>
      </c>
    </row>
    <row r="1505" spans="1:4" s="235" customFormat="1" ht="14.25">
      <c r="A1505" s="251">
        <v>92605</v>
      </c>
      <c r="B1505" s="251" t="s">
        <v>445</v>
      </c>
      <c r="C1505" s="236" t="s">
        <v>210</v>
      </c>
      <c r="D1505" s="252">
        <f>SUM(D1506:D1516)</f>
        <v>7130000</v>
      </c>
    </row>
    <row r="1506" spans="1:4" ht="45">
      <c r="A1506" s="251" t="s">
        <v>445</v>
      </c>
      <c r="B1506" s="253">
        <v>2360</v>
      </c>
      <c r="C1506" s="237" t="s">
        <v>572</v>
      </c>
      <c r="D1506" s="254">
        <v>3900000</v>
      </c>
    </row>
    <row r="1507" spans="1:4" ht="14.25" customHeight="1">
      <c r="A1507" s="251" t="s">
        <v>445</v>
      </c>
      <c r="B1507" s="253">
        <v>3040</v>
      </c>
      <c r="C1507" s="237" t="s">
        <v>577</v>
      </c>
      <c r="D1507" s="254">
        <v>380000</v>
      </c>
    </row>
    <row r="1508" spans="1:4" ht="14.25" customHeight="1">
      <c r="A1508" s="251" t="s">
        <v>445</v>
      </c>
      <c r="B1508" s="253">
        <v>3250</v>
      </c>
      <c r="C1508" s="237" t="s">
        <v>596</v>
      </c>
      <c r="D1508" s="254">
        <v>580000</v>
      </c>
    </row>
    <row r="1509" spans="1:4" ht="14.25" customHeight="1">
      <c r="A1509" s="251" t="s">
        <v>445</v>
      </c>
      <c r="B1509" s="253">
        <v>4170</v>
      </c>
      <c r="C1509" s="237" t="s">
        <v>535</v>
      </c>
      <c r="D1509" s="254">
        <v>3000</v>
      </c>
    </row>
    <row r="1510" spans="1:4" ht="14.25" customHeight="1">
      <c r="A1510" s="251" t="s">
        <v>445</v>
      </c>
      <c r="B1510" s="253">
        <v>4190</v>
      </c>
      <c r="C1510" s="237" t="s">
        <v>536</v>
      </c>
      <c r="D1510" s="254">
        <v>23000</v>
      </c>
    </row>
    <row r="1511" spans="1:4" ht="14.25" customHeight="1">
      <c r="A1511" s="251" t="s">
        <v>445</v>
      </c>
      <c r="B1511" s="253">
        <v>4210</v>
      </c>
      <c r="C1511" s="237" t="s">
        <v>537</v>
      </c>
      <c r="D1511" s="254">
        <v>40000</v>
      </c>
    </row>
    <row r="1512" spans="1:4" ht="14.25" customHeight="1">
      <c r="A1512" s="251" t="s">
        <v>445</v>
      </c>
      <c r="B1512" s="253">
        <v>4220</v>
      </c>
      <c r="C1512" s="237" t="s">
        <v>538</v>
      </c>
      <c r="D1512" s="254">
        <v>2000</v>
      </c>
    </row>
    <row r="1513" spans="1:4" ht="14.25" customHeight="1">
      <c r="A1513" s="251" t="s">
        <v>445</v>
      </c>
      <c r="B1513" s="253">
        <v>4300</v>
      </c>
      <c r="C1513" s="237" t="s">
        <v>541</v>
      </c>
      <c r="D1513" s="254">
        <v>200000</v>
      </c>
    </row>
    <row r="1514" spans="1:4" ht="14.25" customHeight="1">
      <c r="A1514" s="251" t="s">
        <v>445</v>
      </c>
      <c r="B1514" s="253">
        <v>4700</v>
      </c>
      <c r="C1514" s="237" t="s">
        <v>548</v>
      </c>
      <c r="D1514" s="254">
        <v>2000</v>
      </c>
    </row>
    <row r="1515" spans="1:4" ht="45">
      <c r="A1515" s="251" t="s">
        <v>445</v>
      </c>
      <c r="B1515" s="253">
        <v>6230</v>
      </c>
      <c r="C1515" s="237" t="s">
        <v>597</v>
      </c>
      <c r="D1515" s="254">
        <v>50000</v>
      </c>
    </row>
    <row r="1516" spans="1:4" ht="45">
      <c r="A1516" s="255" t="s">
        <v>445</v>
      </c>
      <c r="B1516" s="256">
        <v>6300</v>
      </c>
      <c r="C1516" s="239" t="s">
        <v>571</v>
      </c>
      <c r="D1516" s="257">
        <v>1950000</v>
      </c>
    </row>
    <row r="1517" spans="1:4" ht="15">
      <c r="A1517" s="265"/>
      <c r="B1517" s="266"/>
      <c r="C1517" s="267"/>
      <c r="D1517" s="267"/>
    </row>
  </sheetData>
  <sheetProtection password="C25B" sheet="1"/>
  <mergeCells count="6">
    <mergeCell ref="C1:D1"/>
    <mergeCell ref="C2:D2"/>
    <mergeCell ref="C3:D3"/>
    <mergeCell ref="A5:D5"/>
    <mergeCell ref="A6:D6"/>
    <mergeCell ref="A7:D7"/>
  </mergeCells>
  <printOptions horizontalCentered="1"/>
  <pageMargins left="0.984251968503937" right="0.984251968503937" top="0.984251968503937" bottom="0.7480314960629921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27">
      <selection activeCell="A41" sqref="A41:C41"/>
    </sheetView>
  </sheetViews>
  <sheetFormatPr defaultColWidth="16.796875" defaultRowHeight="14.25"/>
  <cols>
    <col min="1" max="1" width="5.69921875" style="273" customWidth="1"/>
    <col min="2" max="2" width="5.8984375" style="273" customWidth="1"/>
    <col min="3" max="3" width="52.8984375" style="273" customWidth="1"/>
    <col min="4" max="4" width="32.19921875" style="270" customWidth="1"/>
    <col min="5" max="5" width="16.3984375" style="273" customWidth="1"/>
    <col min="6" max="250" width="10.3984375" style="273" customWidth="1"/>
    <col min="251" max="251" width="5.69921875" style="273" customWidth="1"/>
    <col min="252" max="252" width="5.8984375" style="273" customWidth="1"/>
    <col min="253" max="253" width="34.09765625" style="273" customWidth="1"/>
    <col min="254" max="254" width="16.19921875" style="273" customWidth="1"/>
    <col min="255" max="16384" width="16.69921875" style="273" customWidth="1"/>
  </cols>
  <sheetData>
    <row r="1" spans="1:5" ht="15" customHeight="1">
      <c r="A1" s="270"/>
      <c r="B1" s="270"/>
      <c r="C1" s="270"/>
      <c r="D1" s="271" t="s">
        <v>599</v>
      </c>
      <c r="E1" s="272"/>
    </row>
    <row r="2" spans="1:5" ht="15" customHeight="1">
      <c r="A2" s="270"/>
      <c r="B2" s="270"/>
      <c r="C2" s="270"/>
      <c r="D2" s="274" t="s">
        <v>649</v>
      </c>
      <c r="E2" s="275"/>
    </row>
    <row r="3" spans="1:5" ht="15" customHeight="1">
      <c r="A3" s="276"/>
      <c r="B3" s="276"/>
      <c r="C3" s="276"/>
      <c r="D3" s="274" t="s">
        <v>650</v>
      </c>
      <c r="E3" s="275"/>
    </row>
    <row r="4" spans="1:5" ht="6.75" customHeight="1">
      <c r="A4" s="276"/>
      <c r="B4" s="276"/>
      <c r="C4" s="276"/>
      <c r="D4" s="274"/>
      <c r="E4" s="275"/>
    </row>
    <row r="5" spans="1:4" s="277" customFormat="1" ht="20.25" customHeight="1">
      <c r="A5" s="869" t="s">
        <v>600</v>
      </c>
      <c r="B5" s="869"/>
      <c r="C5" s="869"/>
      <c r="D5" s="869"/>
    </row>
    <row r="6" spans="1:4" s="277" customFormat="1" ht="20.25" customHeight="1">
      <c r="A6" s="869" t="s">
        <v>351</v>
      </c>
      <c r="B6" s="869"/>
      <c r="C6" s="869"/>
      <c r="D6" s="869"/>
    </row>
    <row r="7" spans="1:4" s="277" customFormat="1" ht="6" customHeight="1">
      <c r="A7" s="870"/>
      <c r="B7" s="870"/>
      <c r="C7" s="870"/>
      <c r="D7" s="278"/>
    </row>
    <row r="8" spans="1:4" s="277" customFormat="1" ht="18" customHeight="1">
      <c r="A8" s="871"/>
      <c r="B8" s="871"/>
      <c r="C8" s="871"/>
      <c r="D8" s="344" t="s">
        <v>17</v>
      </c>
    </row>
    <row r="9" spans="1:4" s="279" customFormat="1" ht="18.75" customHeight="1">
      <c r="A9" s="872" t="s">
        <v>396</v>
      </c>
      <c r="B9" s="872" t="s">
        <v>442</v>
      </c>
      <c r="C9" s="872" t="s">
        <v>213</v>
      </c>
      <c r="D9" s="872" t="s">
        <v>357</v>
      </c>
    </row>
    <row r="10" spans="1:4" s="280" customFormat="1" ht="19.5" customHeight="1">
      <c r="A10" s="872"/>
      <c r="B10" s="872"/>
      <c r="C10" s="872"/>
      <c r="D10" s="872"/>
    </row>
    <row r="11" spans="1:4" s="281" customFormat="1" ht="12.75">
      <c r="A11" s="292">
        <v>1</v>
      </c>
      <c r="B11" s="292">
        <v>2</v>
      </c>
      <c r="C11" s="292">
        <v>3</v>
      </c>
      <c r="D11" s="292">
        <v>4</v>
      </c>
    </row>
    <row r="12" spans="1:4" s="281" customFormat="1" ht="15" customHeight="1">
      <c r="A12" s="300"/>
      <c r="B12" s="300"/>
      <c r="C12" s="300"/>
      <c r="D12" s="300"/>
    </row>
    <row r="13" spans="1:4" s="282" customFormat="1" ht="21.75" customHeight="1">
      <c r="A13" s="294">
        <v>1</v>
      </c>
      <c r="B13" s="294"/>
      <c r="C13" s="295" t="s">
        <v>601</v>
      </c>
      <c r="D13" s="296">
        <f>D15+D14</f>
        <v>1111200177</v>
      </c>
    </row>
    <row r="14" spans="1:4" s="283" customFormat="1" ht="21.75" customHeight="1">
      <c r="A14" s="297" t="s">
        <v>602</v>
      </c>
      <c r="B14" s="297"/>
      <c r="C14" s="298" t="s">
        <v>603</v>
      </c>
      <c r="D14" s="299">
        <v>843937081</v>
      </c>
    </row>
    <row r="15" spans="1:4" s="283" customFormat="1" ht="21.75" customHeight="1">
      <c r="A15" s="297" t="s">
        <v>604</v>
      </c>
      <c r="B15" s="297"/>
      <c r="C15" s="298" t="s">
        <v>605</v>
      </c>
      <c r="D15" s="299">
        <v>267263096</v>
      </c>
    </row>
    <row r="16" spans="1:4" s="282" customFormat="1" ht="21.75" customHeight="1">
      <c r="A16" s="294">
        <v>2</v>
      </c>
      <c r="B16" s="294"/>
      <c r="C16" s="295" t="s">
        <v>606</v>
      </c>
      <c r="D16" s="296">
        <f>D17+D20</f>
        <v>57980952</v>
      </c>
    </row>
    <row r="17" spans="1:4" s="284" customFormat="1" ht="21.75" customHeight="1">
      <c r="A17" s="301" t="s">
        <v>607</v>
      </c>
      <c r="B17" s="301">
        <v>952</v>
      </c>
      <c r="C17" s="302" t="s">
        <v>608</v>
      </c>
      <c r="D17" s="303">
        <f>D18+D19</f>
        <v>57980952</v>
      </c>
    </row>
    <row r="18" spans="1:4" s="281" customFormat="1" ht="21.75" customHeight="1">
      <c r="A18" s="292" t="s">
        <v>609</v>
      </c>
      <c r="B18" s="292"/>
      <c r="C18" s="304" t="s">
        <v>610</v>
      </c>
      <c r="D18" s="305">
        <v>35480952</v>
      </c>
    </row>
    <row r="19" spans="1:4" s="281" customFormat="1" ht="23.25" customHeight="1">
      <c r="A19" s="292" t="s">
        <v>611</v>
      </c>
      <c r="B19" s="292"/>
      <c r="C19" s="304" t="s">
        <v>612</v>
      </c>
      <c r="D19" s="305">
        <v>22500000</v>
      </c>
    </row>
    <row r="20" spans="1:4" s="284" customFormat="1" ht="21.75" customHeight="1" hidden="1" thickBot="1">
      <c r="A20" s="301" t="s">
        <v>613</v>
      </c>
      <c r="B20" s="301">
        <v>950</v>
      </c>
      <c r="C20" s="302" t="s">
        <v>614</v>
      </c>
      <c r="D20" s="303">
        <v>0</v>
      </c>
    </row>
    <row r="21" spans="1:4" s="285" customFormat="1" ht="21.75" customHeight="1">
      <c r="A21" s="306">
        <v>3</v>
      </c>
      <c r="B21" s="306"/>
      <c r="C21" s="307" t="s">
        <v>615</v>
      </c>
      <c r="D21" s="308">
        <f>D13+D16</f>
        <v>1169181129</v>
      </c>
    </row>
    <row r="22" spans="1:4" ht="15" customHeight="1">
      <c r="A22" s="339"/>
      <c r="B22" s="309"/>
      <c r="C22" s="310"/>
      <c r="D22" s="340"/>
    </row>
    <row r="23" spans="1:4" s="286" customFormat="1" ht="21.75" customHeight="1">
      <c r="A23" s="311">
        <v>4</v>
      </c>
      <c r="B23" s="311"/>
      <c r="C23" s="312" t="s">
        <v>616</v>
      </c>
      <c r="D23" s="296">
        <f>D24+D27</f>
        <v>1133700177</v>
      </c>
    </row>
    <row r="24" spans="1:4" s="283" customFormat="1" ht="21.75" customHeight="1">
      <c r="A24" s="297" t="s">
        <v>617</v>
      </c>
      <c r="B24" s="297"/>
      <c r="C24" s="298" t="s">
        <v>618</v>
      </c>
      <c r="D24" s="299">
        <f>D25+D26</f>
        <v>695163407</v>
      </c>
    </row>
    <row r="25" spans="1:4" s="287" customFormat="1" ht="21.75" customHeight="1">
      <c r="A25" s="313" t="s">
        <v>619</v>
      </c>
      <c r="B25" s="313"/>
      <c r="C25" s="314" t="s">
        <v>620</v>
      </c>
      <c r="D25" s="315">
        <v>652971249</v>
      </c>
    </row>
    <row r="26" spans="1:4" s="287" customFormat="1" ht="23.25" customHeight="1">
      <c r="A26" s="313" t="s">
        <v>621</v>
      </c>
      <c r="B26" s="313"/>
      <c r="C26" s="314" t="s">
        <v>622</v>
      </c>
      <c r="D26" s="315">
        <v>42192158</v>
      </c>
    </row>
    <row r="27" spans="1:4" s="283" customFormat="1" ht="21.75" customHeight="1">
      <c r="A27" s="297" t="s">
        <v>623</v>
      </c>
      <c r="B27" s="297"/>
      <c r="C27" s="298" t="s">
        <v>624</v>
      </c>
      <c r="D27" s="299">
        <v>438536770</v>
      </c>
    </row>
    <row r="28" spans="1:4" s="282" customFormat="1" ht="21.75" customHeight="1">
      <c r="A28" s="294">
        <v>5</v>
      </c>
      <c r="B28" s="294"/>
      <c r="C28" s="295" t="s">
        <v>625</v>
      </c>
      <c r="D28" s="296">
        <f>D29</f>
        <v>35480952</v>
      </c>
    </row>
    <row r="29" spans="1:4" ht="21.75" customHeight="1">
      <c r="A29" s="316" t="s">
        <v>626</v>
      </c>
      <c r="B29" s="316">
        <v>992</v>
      </c>
      <c r="C29" s="317" t="s">
        <v>627</v>
      </c>
      <c r="D29" s="303">
        <v>35480952</v>
      </c>
    </row>
    <row r="30" spans="1:4" s="285" customFormat="1" ht="21.75" customHeight="1">
      <c r="A30" s="306">
        <v>6</v>
      </c>
      <c r="B30" s="306"/>
      <c r="C30" s="307" t="s">
        <v>628</v>
      </c>
      <c r="D30" s="308">
        <f>D23+D28</f>
        <v>1169181129</v>
      </c>
    </row>
    <row r="31" spans="1:4" s="285" customFormat="1" ht="15" customHeight="1">
      <c r="A31" s="341"/>
      <c r="B31" s="318"/>
      <c r="C31" s="319"/>
      <c r="D31" s="342"/>
    </row>
    <row r="32" spans="1:4" s="282" customFormat="1" ht="21.75" customHeight="1">
      <c r="A32" s="294">
        <v>7</v>
      </c>
      <c r="B32" s="294"/>
      <c r="C32" s="295" t="s">
        <v>629</v>
      </c>
      <c r="D32" s="308">
        <f>D21-D30</f>
        <v>0</v>
      </c>
    </row>
    <row r="33" spans="1:4" s="282" customFormat="1" ht="15" customHeight="1">
      <c r="A33" s="294"/>
      <c r="B33" s="294"/>
      <c r="C33" s="295"/>
      <c r="D33" s="320"/>
    </row>
    <row r="34" spans="1:4" s="282" customFormat="1" ht="21.75" customHeight="1">
      <c r="A34" s="294">
        <v>8</v>
      </c>
      <c r="B34" s="294"/>
      <c r="C34" s="295" t="s">
        <v>630</v>
      </c>
      <c r="D34" s="296">
        <f>D13-D23</f>
        <v>-22500000</v>
      </c>
    </row>
    <row r="35" spans="1:4" s="282" customFormat="1" ht="15" customHeight="1">
      <c r="A35" s="321"/>
      <c r="B35" s="321"/>
      <c r="C35" s="322"/>
      <c r="D35" s="323"/>
    </row>
    <row r="36" spans="1:4" s="282" customFormat="1" ht="21.75" customHeight="1">
      <c r="A36" s="294">
        <v>9</v>
      </c>
      <c r="B36" s="294"/>
      <c r="C36" s="295" t="s">
        <v>631</v>
      </c>
      <c r="D36" s="308">
        <f>D37+D38</f>
        <v>22500000</v>
      </c>
    </row>
    <row r="37" spans="1:4" ht="21.75" customHeight="1">
      <c r="A37" s="316" t="s">
        <v>632</v>
      </c>
      <c r="B37" s="316"/>
      <c r="C37" s="317" t="s">
        <v>633</v>
      </c>
      <c r="D37" s="305">
        <f>D19</f>
        <v>22500000</v>
      </c>
    </row>
    <row r="38" spans="1:4" ht="21.75" customHeight="1" hidden="1" thickBot="1">
      <c r="A38" s="324" t="s">
        <v>634</v>
      </c>
      <c r="B38" s="324"/>
      <c r="C38" s="293" t="s">
        <v>614</v>
      </c>
      <c r="D38" s="343">
        <v>0</v>
      </c>
    </row>
    <row r="39" spans="1:4" ht="5.25" customHeight="1">
      <c r="A39" s="325"/>
      <c r="B39" s="326"/>
      <c r="C39" s="338"/>
      <c r="D39" s="338"/>
    </row>
    <row r="40" spans="1:4" s="285" customFormat="1" ht="14.25" customHeight="1">
      <c r="A40" s="864" t="s">
        <v>635</v>
      </c>
      <c r="B40" s="865"/>
      <c r="C40" s="865"/>
      <c r="D40" s="329"/>
    </row>
    <row r="41" spans="1:4" ht="15" customHeight="1">
      <c r="A41" s="855" t="s">
        <v>636</v>
      </c>
      <c r="B41" s="856"/>
      <c r="C41" s="857"/>
      <c r="D41" s="330">
        <f>D14</f>
        <v>843937081</v>
      </c>
    </row>
    <row r="42" spans="1:4" ht="15" customHeight="1">
      <c r="A42" s="855" t="s">
        <v>637</v>
      </c>
      <c r="B42" s="856"/>
      <c r="C42" s="857"/>
      <c r="D42" s="330">
        <f>D24</f>
        <v>695163407</v>
      </c>
    </row>
    <row r="43" spans="1:4" s="285" customFormat="1" ht="16.5" customHeight="1">
      <c r="A43" s="866" t="s">
        <v>638</v>
      </c>
      <c r="B43" s="867"/>
      <c r="C43" s="868"/>
      <c r="D43" s="331">
        <f>D41-D42</f>
        <v>148773674</v>
      </c>
    </row>
    <row r="44" spans="1:4" s="285" customFormat="1" ht="9.75" customHeight="1">
      <c r="A44" s="327"/>
      <c r="B44" s="328"/>
      <c r="C44" s="328"/>
      <c r="D44" s="332"/>
    </row>
    <row r="45" spans="1:4" s="279" customFormat="1" ht="6" customHeight="1">
      <c r="A45" s="333"/>
      <c r="B45" s="334"/>
      <c r="C45" s="334"/>
      <c r="D45" s="335"/>
    </row>
    <row r="46" spans="1:4" s="279" customFormat="1" ht="15" customHeight="1">
      <c r="A46" s="861" t="s">
        <v>639</v>
      </c>
      <c r="B46" s="862"/>
      <c r="C46" s="863"/>
      <c r="D46" s="336">
        <f>D13</f>
        <v>1111200177</v>
      </c>
    </row>
    <row r="47" spans="1:4" ht="15" customHeight="1">
      <c r="A47" s="855" t="s">
        <v>640</v>
      </c>
      <c r="B47" s="856"/>
      <c r="C47" s="857"/>
      <c r="D47" s="330">
        <f>D25</f>
        <v>652971249</v>
      </c>
    </row>
    <row r="48" spans="1:4" ht="15" customHeight="1">
      <c r="A48" s="855" t="s">
        <v>641</v>
      </c>
      <c r="B48" s="856"/>
      <c r="C48" s="857"/>
      <c r="D48" s="330">
        <f>D20</f>
        <v>0</v>
      </c>
    </row>
    <row r="49" spans="1:4" ht="15.75" customHeight="1">
      <c r="A49" s="861" t="s">
        <v>642</v>
      </c>
      <c r="B49" s="862"/>
      <c r="C49" s="863"/>
      <c r="D49" s="330">
        <f>D46-D47+D48</f>
        <v>458228928</v>
      </c>
    </row>
    <row r="50" spans="1:4" ht="25.5" customHeight="1">
      <c r="A50" s="855" t="s">
        <v>643</v>
      </c>
      <c r="B50" s="856"/>
      <c r="C50" s="857"/>
      <c r="D50" s="330">
        <f>D26+D29</f>
        <v>77673110</v>
      </c>
    </row>
    <row r="51" spans="1:4" ht="15" customHeight="1">
      <c r="A51" s="861" t="s">
        <v>644</v>
      </c>
      <c r="B51" s="862"/>
      <c r="C51" s="863"/>
      <c r="D51" s="330">
        <f>D49-D50</f>
        <v>380555818</v>
      </c>
    </row>
    <row r="52" spans="1:4" ht="15" customHeight="1">
      <c r="A52" s="855" t="s">
        <v>645</v>
      </c>
      <c r="B52" s="856"/>
      <c r="C52" s="857"/>
      <c r="D52" s="330">
        <f>D27</f>
        <v>438536770</v>
      </c>
    </row>
    <row r="53" spans="1:4" ht="15" customHeight="1">
      <c r="A53" s="861" t="s">
        <v>646</v>
      </c>
      <c r="B53" s="862"/>
      <c r="C53" s="863"/>
      <c r="D53" s="330">
        <f>D51-D52</f>
        <v>-57980952</v>
      </c>
    </row>
    <row r="54" spans="1:4" ht="15" customHeight="1">
      <c r="A54" s="855" t="s">
        <v>647</v>
      </c>
      <c r="B54" s="856"/>
      <c r="C54" s="857"/>
      <c r="D54" s="330">
        <f>D17</f>
        <v>57980952</v>
      </c>
    </row>
    <row r="55" spans="1:4" ht="14.25" customHeight="1">
      <c r="A55" s="858" t="s">
        <v>648</v>
      </c>
      <c r="B55" s="859"/>
      <c r="C55" s="860"/>
      <c r="D55" s="337">
        <f>D53+D54</f>
        <v>0</v>
      </c>
    </row>
    <row r="56" spans="1:4" ht="6.75" customHeight="1" hidden="1" thickBot="1">
      <c r="A56" s="288"/>
      <c r="B56" s="289"/>
      <c r="C56" s="290"/>
      <c r="D56" s="291"/>
    </row>
  </sheetData>
  <sheetProtection password="C25B" sheet="1"/>
  <mergeCells count="22">
    <mergeCell ref="A5:D5"/>
    <mergeCell ref="A6:D6"/>
    <mergeCell ref="A7:C7"/>
    <mergeCell ref="A8:C8"/>
    <mergeCell ref="A9:A10"/>
    <mergeCell ref="B9:B10"/>
    <mergeCell ref="C9:C10"/>
    <mergeCell ref="D9:D10"/>
    <mergeCell ref="A40:C40"/>
    <mergeCell ref="A41:C41"/>
    <mergeCell ref="A42:C42"/>
    <mergeCell ref="A43:C43"/>
    <mergeCell ref="A46:C46"/>
    <mergeCell ref="A47:C47"/>
    <mergeCell ref="A54:C54"/>
    <mergeCell ref="A55:C55"/>
    <mergeCell ref="A48:C48"/>
    <mergeCell ref="A49:C49"/>
    <mergeCell ref="A50:C50"/>
    <mergeCell ref="A51:C51"/>
    <mergeCell ref="A52:C52"/>
    <mergeCell ref="A53:C53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2"/>
  <sheetViews>
    <sheetView view="pageBreakPreview" zoomScaleSheetLayoutView="100" zoomScalePageLayoutView="0" workbookViewId="0" topLeftCell="A322">
      <selection activeCell="A350" sqref="A350:W350"/>
    </sheetView>
  </sheetViews>
  <sheetFormatPr defaultColWidth="8.796875" defaultRowHeight="14.25"/>
  <cols>
    <col min="1" max="1" width="5.3984375" style="362" customWidth="1"/>
    <col min="2" max="2" width="8.09765625" style="362" customWidth="1"/>
    <col min="3" max="3" width="9.3984375" style="362" customWidth="1"/>
    <col min="4" max="4" width="44.09765625" style="362" customWidth="1"/>
    <col min="5" max="5" width="11.19921875" style="362" customWidth="1"/>
    <col min="6" max="6" width="9.69921875" style="362" customWidth="1"/>
    <col min="7" max="7" width="11" style="362" customWidth="1"/>
    <col min="8" max="9" width="14.19921875" style="362" customWidth="1"/>
    <col min="10" max="10" width="11.3984375" style="362" customWidth="1"/>
    <col min="11" max="11" width="11.19921875" style="362" customWidth="1"/>
    <col min="12" max="12" width="10.69921875" style="362" customWidth="1"/>
    <col min="13" max="13" width="10.8984375" style="362" customWidth="1"/>
    <col min="14" max="14" width="11.19921875" style="362" customWidth="1"/>
    <col min="15" max="15" width="11.3984375" style="362" customWidth="1"/>
    <col min="16" max="20" width="11.09765625" style="362" customWidth="1"/>
    <col min="21" max="21" width="11.3984375" style="362" customWidth="1"/>
    <col min="22" max="22" width="11.19921875" style="362" customWidth="1"/>
    <col min="23" max="23" width="11.09765625" style="362" customWidth="1"/>
    <col min="24" max="16384" width="9" style="362" customWidth="1"/>
  </cols>
  <sheetData>
    <row r="1" spans="1:22" s="346" customFormat="1" ht="15.75">
      <c r="A1" s="345" t="s">
        <v>445</v>
      </c>
      <c r="U1" s="347" t="s">
        <v>894</v>
      </c>
      <c r="V1" s="347"/>
    </row>
    <row r="2" spans="1:22" s="346" customFormat="1" ht="15.75">
      <c r="A2" s="345"/>
      <c r="U2" s="347" t="s">
        <v>893</v>
      </c>
      <c r="V2" s="347"/>
    </row>
    <row r="3" spans="1:22" s="346" customFormat="1" ht="15.75">
      <c r="A3" s="345"/>
      <c r="U3" s="347" t="s">
        <v>650</v>
      </c>
      <c r="V3" s="347"/>
    </row>
    <row r="4" s="346" customFormat="1" ht="8.25" customHeight="1">
      <c r="A4" s="345"/>
    </row>
    <row r="5" spans="1:23" s="346" customFormat="1" ht="42.75" customHeight="1">
      <c r="A5" s="936" t="s">
        <v>651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</row>
    <row r="6" spans="1:22" s="346" customFormat="1" ht="14.25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72" t="s">
        <v>17</v>
      </c>
    </row>
    <row r="7" spans="1:23" s="346" customFormat="1" ht="19.5" customHeight="1">
      <c r="A7" s="937" t="s">
        <v>652</v>
      </c>
      <c r="B7" s="926" t="s">
        <v>653</v>
      </c>
      <c r="C7" s="926" t="s">
        <v>654</v>
      </c>
      <c r="D7" s="929" t="s">
        <v>655</v>
      </c>
      <c r="E7" s="929" t="s">
        <v>656</v>
      </c>
      <c r="F7" s="926" t="s">
        <v>657</v>
      </c>
      <c r="G7" s="929" t="s">
        <v>214</v>
      </c>
      <c r="H7" s="932" t="s">
        <v>658</v>
      </c>
      <c r="I7" s="933" t="s">
        <v>659</v>
      </c>
      <c r="J7" s="877" t="s">
        <v>660</v>
      </c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</row>
    <row r="8" spans="1:23" s="349" customFormat="1" ht="18.75" customHeight="1">
      <c r="A8" s="938"/>
      <c r="B8" s="927"/>
      <c r="C8" s="927"/>
      <c r="D8" s="930"/>
      <c r="E8" s="930"/>
      <c r="F8" s="927"/>
      <c r="G8" s="930"/>
      <c r="H8" s="932"/>
      <c r="I8" s="933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</row>
    <row r="9" spans="1:23" s="349" customFormat="1" ht="15.75" customHeight="1">
      <c r="A9" s="938"/>
      <c r="B9" s="927"/>
      <c r="C9" s="927"/>
      <c r="D9" s="930"/>
      <c r="E9" s="930"/>
      <c r="F9" s="927"/>
      <c r="G9" s="930"/>
      <c r="H9" s="350" t="s">
        <v>661</v>
      </c>
      <c r="I9" s="350" t="s">
        <v>661</v>
      </c>
      <c r="J9" s="877" t="s">
        <v>662</v>
      </c>
      <c r="K9" s="940" t="s">
        <v>663</v>
      </c>
      <c r="L9" s="940"/>
      <c r="M9" s="940"/>
      <c r="N9" s="934" t="s">
        <v>664</v>
      </c>
      <c r="O9" s="940" t="s">
        <v>665</v>
      </c>
      <c r="P9" s="940"/>
      <c r="Q9" s="940"/>
      <c r="R9" s="940"/>
      <c r="S9" s="940"/>
      <c r="T9" s="940"/>
      <c r="U9" s="940"/>
      <c r="V9" s="940"/>
      <c r="W9" s="940"/>
    </row>
    <row r="10" spans="1:23" s="349" customFormat="1" ht="12.75" customHeight="1">
      <c r="A10" s="938"/>
      <c r="B10" s="927"/>
      <c r="C10" s="927"/>
      <c r="D10" s="930"/>
      <c r="E10" s="930"/>
      <c r="F10" s="927"/>
      <c r="G10" s="930"/>
      <c r="H10" s="350" t="s">
        <v>666</v>
      </c>
      <c r="I10" s="350" t="s">
        <v>666</v>
      </c>
      <c r="J10" s="877"/>
      <c r="K10" s="940"/>
      <c r="L10" s="940"/>
      <c r="M10" s="940"/>
      <c r="N10" s="934"/>
      <c r="O10" s="922" t="s">
        <v>667</v>
      </c>
      <c r="P10" s="922"/>
      <c r="Q10" s="922"/>
      <c r="R10" s="922" t="s">
        <v>668</v>
      </c>
      <c r="S10" s="922"/>
      <c r="T10" s="922"/>
      <c r="U10" s="934" t="s">
        <v>669</v>
      </c>
      <c r="V10" s="934"/>
      <c r="W10" s="934"/>
    </row>
    <row r="11" spans="1:23" s="349" customFormat="1" ht="12.75">
      <c r="A11" s="938"/>
      <c r="B11" s="927"/>
      <c r="C11" s="927"/>
      <c r="D11" s="930"/>
      <c r="E11" s="930"/>
      <c r="F11" s="927"/>
      <c r="G11" s="930"/>
      <c r="H11" s="350" t="s">
        <v>670</v>
      </c>
      <c r="I11" s="350" t="s">
        <v>670</v>
      </c>
      <c r="J11" s="877"/>
      <c r="K11" s="922" t="s">
        <v>20</v>
      </c>
      <c r="L11" s="922" t="s">
        <v>671</v>
      </c>
      <c r="M11" s="922" t="s">
        <v>672</v>
      </c>
      <c r="N11" s="934"/>
      <c r="O11" s="922" t="s">
        <v>20</v>
      </c>
      <c r="P11" s="922" t="s">
        <v>673</v>
      </c>
      <c r="Q11" s="925" t="s">
        <v>672</v>
      </c>
      <c r="R11" s="922" t="s">
        <v>20</v>
      </c>
      <c r="S11" s="922" t="s">
        <v>673</v>
      </c>
      <c r="T11" s="935" t="s">
        <v>672</v>
      </c>
      <c r="U11" s="934" t="s">
        <v>674</v>
      </c>
      <c r="V11" s="922" t="s">
        <v>673</v>
      </c>
      <c r="W11" s="935" t="s">
        <v>672</v>
      </c>
    </row>
    <row r="12" spans="1:23" s="349" customFormat="1" ht="12.75">
      <c r="A12" s="939"/>
      <c r="B12" s="928"/>
      <c r="C12" s="928"/>
      <c r="D12" s="931"/>
      <c r="E12" s="931"/>
      <c r="F12" s="928"/>
      <c r="G12" s="931"/>
      <c r="H12" s="350" t="s">
        <v>669</v>
      </c>
      <c r="I12" s="350" t="s">
        <v>669</v>
      </c>
      <c r="J12" s="877"/>
      <c r="K12" s="922"/>
      <c r="L12" s="922"/>
      <c r="M12" s="922"/>
      <c r="N12" s="934"/>
      <c r="O12" s="922"/>
      <c r="P12" s="922"/>
      <c r="Q12" s="925"/>
      <c r="R12" s="922"/>
      <c r="S12" s="922"/>
      <c r="T12" s="935"/>
      <c r="U12" s="934"/>
      <c r="V12" s="922"/>
      <c r="W12" s="935"/>
    </row>
    <row r="13" spans="1:23" s="352" customFormat="1" ht="11.25">
      <c r="A13" s="351">
        <v>1</v>
      </c>
      <c r="B13" s="351">
        <v>2</v>
      </c>
      <c r="C13" s="351">
        <v>3</v>
      </c>
      <c r="D13" s="351">
        <v>4</v>
      </c>
      <c r="E13" s="351">
        <v>5</v>
      </c>
      <c r="F13" s="351">
        <v>6</v>
      </c>
      <c r="G13" s="351">
        <v>7</v>
      </c>
      <c r="H13" s="351">
        <v>8</v>
      </c>
      <c r="I13" s="351" t="s">
        <v>675</v>
      </c>
      <c r="J13" s="351" t="s">
        <v>676</v>
      </c>
      <c r="K13" s="351" t="s">
        <v>677</v>
      </c>
      <c r="L13" s="351">
        <v>11</v>
      </c>
      <c r="M13" s="351">
        <v>12</v>
      </c>
      <c r="N13" s="351" t="s">
        <v>678</v>
      </c>
      <c r="O13" s="351" t="s">
        <v>679</v>
      </c>
      <c r="P13" s="351">
        <v>15</v>
      </c>
      <c r="Q13" s="351">
        <v>16</v>
      </c>
      <c r="R13" s="351" t="s">
        <v>680</v>
      </c>
      <c r="S13" s="351">
        <v>18</v>
      </c>
      <c r="T13" s="351">
        <v>19</v>
      </c>
      <c r="U13" s="351" t="s">
        <v>681</v>
      </c>
      <c r="V13" s="351">
        <v>21</v>
      </c>
      <c r="W13" s="351">
        <v>22</v>
      </c>
    </row>
    <row r="14" spans="1:23" s="352" customFormat="1" ht="6.7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  <c r="W14" s="923"/>
    </row>
    <row r="15" spans="1:24" s="352" customFormat="1" ht="21.75" customHeight="1">
      <c r="A15" s="924" t="s">
        <v>682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353"/>
    </row>
    <row r="16" spans="1:24" s="352" customFormat="1" ht="6.75" customHeight="1">
      <c r="A16" s="921"/>
      <c r="B16" s="921"/>
      <c r="C16" s="921"/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354"/>
    </row>
    <row r="17" spans="1:23" s="356" customFormat="1" ht="16.5" customHeight="1">
      <c r="A17" s="883">
        <v>1</v>
      </c>
      <c r="B17" s="879" t="s">
        <v>683</v>
      </c>
      <c r="C17" s="881" t="s">
        <v>684</v>
      </c>
      <c r="D17" s="919" t="s">
        <v>685</v>
      </c>
      <c r="E17" s="883" t="s">
        <v>686</v>
      </c>
      <c r="F17" s="883" t="s">
        <v>687</v>
      </c>
      <c r="G17" s="879" t="s">
        <v>688</v>
      </c>
      <c r="H17" s="355">
        <f>H18+H19+H20+H21</f>
        <v>23433538</v>
      </c>
      <c r="I17" s="355">
        <f>I18+I19+I20+I21</f>
        <v>12650559</v>
      </c>
      <c r="J17" s="878">
        <f>K17+N17</f>
        <v>4120160</v>
      </c>
      <c r="K17" s="878">
        <f>L17+M17</f>
        <v>3582405</v>
      </c>
      <c r="L17" s="876">
        <v>3582405</v>
      </c>
      <c r="M17" s="876">
        <v>0</v>
      </c>
      <c r="N17" s="878">
        <f>O17+R17+U17</f>
        <v>537755</v>
      </c>
      <c r="O17" s="878">
        <f>P17+Q17</f>
        <v>0</v>
      </c>
      <c r="P17" s="876">
        <v>0</v>
      </c>
      <c r="Q17" s="876">
        <v>0</v>
      </c>
      <c r="R17" s="878">
        <f>S17+T17</f>
        <v>275404</v>
      </c>
      <c r="S17" s="876">
        <v>275404</v>
      </c>
      <c r="T17" s="876">
        <v>0</v>
      </c>
      <c r="U17" s="878">
        <f>V17+W17</f>
        <v>262351</v>
      </c>
      <c r="V17" s="876">
        <v>262351</v>
      </c>
      <c r="W17" s="876">
        <v>0</v>
      </c>
    </row>
    <row r="18" spans="1:23" s="356" customFormat="1" ht="16.5" customHeight="1">
      <c r="A18" s="883"/>
      <c r="B18" s="879"/>
      <c r="C18" s="881"/>
      <c r="D18" s="919"/>
      <c r="E18" s="883"/>
      <c r="F18" s="883"/>
      <c r="G18" s="879"/>
      <c r="H18" s="355">
        <v>19913614</v>
      </c>
      <c r="I18" s="355">
        <v>10750313</v>
      </c>
      <c r="J18" s="878"/>
      <c r="K18" s="878"/>
      <c r="L18" s="876"/>
      <c r="M18" s="876"/>
      <c r="N18" s="878"/>
      <c r="O18" s="878"/>
      <c r="P18" s="876"/>
      <c r="Q18" s="876"/>
      <c r="R18" s="878"/>
      <c r="S18" s="876"/>
      <c r="T18" s="876"/>
      <c r="U18" s="878"/>
      <c r="V18" s="876"/>
      <c r="W18" s="876"/>
    </row>
    <row r="19" spans="1:23" s="356" customFormat="1" ht="16.5" customHeight="1">
      <c r="A19" s="883"/>
      <c r="B19" s="879"/>
      <c r="C19" s="881"/>
      <c r="D19" s="919"/>
      <c r="E19" s="883"/>
      <c r="F19" s="883"/>
      <c r="G19" s="879"/>
      <c r="H19" s="355">
        <v>0</v>
      </c>
      <c r="I19" s="355">
        <v>0</v>
      </c>
      <c r="J19" s="878"/>
      <c r="K19" s="878"/>
      <c r="L19" s="876"/>
      <c r="M19" s="876"/>
      <c r="N19" s="878"/>
      <c r="O19" s="878"/>
      <c r="P19" s="876"/>
      <c r="Q19" s="876"/>
      <c r="R19" s="878"/>
      <c r="S19" s="876"/>
      <c r="T19" s="876"/>
      <c r="U19" s="878"/>
      <c r="V19" s="876"/>
      <c r="W19" s="876"/>
    </row>
    <row r="20" spans="1:23" s="356" customFormat="1" ht="16.5" customHeight="1">
      <c r="A20" s="883"/>
      <c r="B20" s="879"/>
      <c r="C20" s="881"/>
      <c r="D20" s="919"/>
      <c r="E20" s="883"/>
      <c r="F20" s="883"/>
      <c r="G20" s="879"/>
      <c r="H20" s="355">
        <v>1953551</v>
      </c>
      <c r="I20" s="355">
        <v>1043500</v>
      </c>
      <c r="J20" s="878"/>
      <c r="K20" s="878"/>
      <c r="L20" s="876"/>
      <c r="M20" s="876"/>
      <c r="N20" s="878"/>
      <c r="O20" s="878"/>
      <c r="P20" s="876"/>
      <c r="Q20" s="876"/>
      <c r="R20" s="878"/>
      <c r="S20" s="876"/>
      <c r="T20" s="876"/>
      <c r="U20" s="878"/>
      <c r="V20" s="876"/>
      <c r="W20" s="876"/>
    </row>
    <row r="21" spans="1:23" s="356" customFormat="1" ht="16.5" customHeight="1">
      <c r="A21" s="883"/>
      <c r="B21" s="879"/>
      <c r="C21" s="881"/>
      <c r="D21" s="919"/>
      <c r="E21" s="883"/>
      <c r="F21" s="883"/>
      <c r="G21" s="879"/>
      <c r="H21" s="355">
        <v>1566373</v>
      </c>
      <c r="I21" s="355">
        <v>856746</v>
      </c>
      <c r="J21" s="878"/>
      <c r="K21" s="878"/>
      <c r="L21" s="876"/>
      <c r="M21" s="876"/>
      <c r="N21" s="878"/>
      <c r="O21" s="878"/>
      <c r="P21" s="876"/>
      <c r="Q21" s="876"/>
      <c r="R21" s="878"/>
      <c r="S21" s="876"/>
      <c r="T21" s="876"/>
      <c r="U21" s="878"/>
      <c r="V21" s="876"/>
      <c r="W21" s="876"/>
    </row>
    <row r="22" spans="1:23" s="356" customFormat="1" ht="16.5" customHeight="1">
      <c r="A22" s="883">
        <v>2</v>
      </c>
      <c r="B22" s="879" t="s">
        <v>683</v>
      </c>
      <c r="C22" s="881" t="s">
        <v>684</v>
      </c>
      <c r="D22" s="919" t="s">
        <v>689</v>
      </c>
      <c r="E22" s="883" t="s">
        <v>686</v>
      </c>
      <c r="F22" s="883" t="s">
        <v>687</v>
      </c>
      <c r="G22" s="879" t="s">
        <v>688</v>
      </c>
      <c r="H22" s="355">
        <f>H23+H24+H25+H26</f>
        <v>8544937</v>
      </c>
      <c r="I22" s="355">
        <f>I23+I24+I25+I26</f>
        <v>3413092</v>
      </c>
      <c r="J22" s="878">
        <f>K22+N22</f>
        <v>2411075</v>
      </c>
      <c r="K22" s="878">
        <f>L22+M22</f>
        <v>2033397</v>
      </c>
      <c r="L22" s="876">
        <v>2033397</v>
      </c>
      <c r="M22" s="876">
        <v>0</v>
      </c>
      <c r="N22" s="878">
        <f>O22+R22+U22</f>
        <v>377678</v>
      </c>
      <c r="O22" s="878">
        <f>P22+Q22</f>
        <v>0</v>
      </c>
      <c r="P22" s="876">
        <v>0</v>
      </c>
      <c r="Q22" s="876">
        <v>0</v>
      </c>
      <c r="R22" s="878">
        <f>S22+T22</f>
        <v>91834</v>
      </c>
      <c r="S22" s="876">
        <v>91834</v>
      </c>
      <c r="T22" s="876">
        <v>0</v>
      </c>
      <c r="U22" s="878">
        <f>V22+W22</f>
        <v>285844</v>
      </c>
      <c r="V22" s="876">
        <v>285844</v>
      </c>
      <c r="W22" s="876">
        <v>0</v>
      </c>
    </row>
    <row r="23" spans="1:23" s="356" customFormat="1" ht="16.5" customHeight="1">
      <c r="A23" s="883"/>
      <c r="B23" s="879"/>
      <c r="C23" s="881"/>
      <c r="D23" s="919"/>
      <c r="E23" s="883"/>
      <c r="F23" s="883"/>
      <c r="G23" s="879"/>
      <c r="H23" s="355">
        <v>7232246</v>
      </c>
      <c r="I23" s="355">
        <v>2886194</v>
      </c>
      <c r="J23" s="878"/>
      <c r="K23" s="878"/>
      <c r="L23" s="876"/>
      <c r="M23" s="876"/>
      <c r="N23" s="878"/>
      <c r="O23" s="878"/>
      <c r="P23" s="876"/>
      <c r="Q23" s="876"/>
      <c r="R23" s="878"/>
      <c r="S23" s="876"/>
      <c r="T23" s="876"/>
      <c r="U23" s="878"/>
      <c r="V23" s="876"/>
      <c r="W23" s="876"/>
    </row>
    <row r="24" spans="1:23" s="356" customFormat="1" ht="16.5" customHeight="1">
      <c r="A24" s="883"/>
      <c r="B24" s="879"/>
      <c r="C24" s="881"/>
      <c r="D24" s="919"/>
      <c r="E24" s="883"/>
      <c r="F24" s="883"/>
      <c r="G24" s="879"/>
      <c r="H24" s="355">
        <v>0</v>
      </c>
      <c r="I24" s="355">
        <v>0</v>
      </c>
      <c r="J24" s="878"/>
      <c r="K24" s="878"/>
      <c r="L24" s="876"/>
      <c r="M24" s="876"/>
      <c r="N24" s="878"/>
      <c r="O24" s="878"/>
      <c r="P24" s="876"/>
      <c r="Q24" s="876"/>
      <c r="R24" s="878"/>
      <c r="S24" s="876"/>
      <c r="T24" s="876"/>
      <c r="U24" s="878"/>
      <c r="V24" s="876"/>
      <c r="W24" s="876"/>
    </row>
    <row r="25" spans="1:23" s="356" customFormat="1" ht="16.5" customHeight="1">
      <c r="A25" s="883"/>
      <c r="B25" s="879"/>
      <c r="C25" s="881"/>
      <c r="D25" s="919"/>
      <c r="E25" s="883"/>
      <c r="F25" s="883"/>
      <c r="G25" s="879"/>
      <c r="H25" s="355">
        <v>362939</v>
      </c>
      <c r="I25" s="355">
        <v>199140</v>
      </c>
      <c r="J25" s="878"/>
      <c r="K25" s="878"/>
      <c r="L25" s="876"/>
      <c r="M25" s="876"/>
      <c r="N25" s="878"/>
      <c r="O25" s="878"/>
      <c r="P25" s="876"/>
      <c r="Q25" s="876"/>
      <c r="R25" s="878"/>
      <c r="S25" s="876"/>
      <c r="T25" s="876"/>
      <c r="U25" s="878"/>
      <c r="V25" s="876"/>
      <c r="W25" s="876"/>
    </row>
    <row r="26" spans="1:23" s="356" customFormat="1" ht="16.5" customHeight="1">
      <c r="A26" s="883"/>
      <c r="B26" s="879"/>
      <c r="C26" s="881"/>
      <c r="D26" s="919"/>
      <c r="E26" s="883"/>
      <c r="F26" s="883"/>
      <c r="G26" s="879"/>
      <c r="H26" s="355">
        <v>949752</v>
      </c>
      <c r="I26" s="355">
        <v>327758</v>
      </c>
      <c r="J26" s="878"/>
      <c r="K26" s="878"/>
      <c r="L26" s="876"/>
      <c r="M26" s="876"/>
      <c r="N26" s="878"/>
      <c r="O26" s="878"/>
      <c r="P26" s="876"/>
      <c r="Q26" s="876"/>
      <c r="R26" s="878"/>
      <c r="S26" s="876"/>
      <c r="T26" s="876"/>
      <c r="U26" s="878"/>
      <c r="V26" s="876"/>
      <c r="W26" s="876"/>
    </row>
    <row r="27" spans="1:23" s="356" customFormat="1" ht="16.5" customHeight="1">
      <c r="A27" s="883">
        <v>3</v>
      </c>
      <c r="B27" s="879" t="s">
        <v>683</v>
      </c>
      <c r="C27" s="881" t="s">
        <v>684</v>
      </c>
      <c r="D27" s="919" t="s">
        <v>690</v>
      </c>
      <c r="E27" s="883" t="s">
        <v>686</v>
      </c>
      <c r="F27" s="883" t="s">
        <v>687</v>
      </c>
      <c r="G27" s="879" t="s">
        <v>691</v>
      </c>
      <c r="H27" s="355">
        <f>H28+H29+H30+H31</f>
        <v>11360000</v>
      </c>
      <c r="I27" s="355">
        <f>I28+I29+I30+I31</f>
        <v>7728332</v>
      </c>
      <c r="J27" s="878">
        <f>K27+N27</f>
        <v>3631668</v>
      </c>
      <c r="K27" s="878">
        <f>L27+M27</f>
        <v>3086918</v>
      </c>
      <c r="L27" s="876">
        <v>3086918</v>
      </c>
      <c r="M27" s="876">
        <v>0</v>
      </c>
      <c r="N27" s="878">
        <f>O27+R27+U27</f>
        <v>544750</v>
      </c>
      <c r="O27" s="878">
        <f>P27+Q27</f>
        <v>0</v>
      </c>
      <c r="P27" s="876">
        <v>0</v>
      </c>
      <c r="Q27" s="876">
        <v>0</v>
      </c>
      <c r="R27" s="878">
        <f>S27+T27</f>
        <v>544750</v>
      </c>
      <c r="S27" s="876">
        <v>544750</v>
      </c>
      <c r="T27" s="876">
        <v>0</v>
      </c>
      <c r="U27" s="878">
        <f>V27+W27</f>
        <v>0</v>
      </c>
      <c r="V27" s="876">
        <v>0</v>
      </c>
      <c r="W27" s="876">
        <v>0</v>
      </c>
    </row>
    <row r="28" spans="1:23" s="356" customFormat="1" ht="16.5" customHeight="1">
      <c r="A28" s="883"/>
      <c r="B28" s="879"/>
      <c r="C28" s="881"/>
      <c r="D28" s="919"/>
      <c r="E28" s="883"/>
      <c r="F28" s="883"/>
      <c r="G28" s="879"/>
      <c r="H28" s="355">
        <v>9656000</v>
      </c>
      <c r="I28" s="355">
        <v>6569082</v>
      </c>
      <c r="J28" s="878"/>
      <c r="K28" s="878"/>
      <c r="L28" s="876"/>
      <c r="M28" s="876"/>
      <c r="N28" s="878"/>
      <c r="O28" s="878"/>
      <c r="P28" s="876"/>
      <c r="Q28" s="876"/>
      <c r="R28" s="878"/>
      <c r="S28" s="876"/>
      <c r="T28" s="876"/>
      <c r="U28" s="878"/>
      <c r="V28" s="876"/>
      <c r="W28" s="876"/>
    </row>
    <row r="29" spans="1:23" s="356" customFormat="1" ht="16.5" customHeight="1">
      <c r="A29" s="883"/>
      <c r="B29" s="879"/>
      <c r="C29" s="881"/>
      <c r="D29" s="919"/>
      <c r="E29" s="883"/>
      <c r="F29" s="883"/>
      <c r="G29" s="879"/>
      <c r="H29" s="355">
        <v>0</v>
      </c>
      <c r="I29" s="355">
        <v>0</v>
      </c>
      <c r="J29" s="878"/>
      <c r="K29" s="878"/>
      <c r="L29" s="876"/>
      <c r="M29" s="876"/>
      <c r="N29" s="878"/>
      <c r="O29" s="878"/>
      <c r="P29" s="876"/>
      <c r="Q29" s="876"/>
      <c r="R29" s="878"/>
      <c r="S29" s="876"/>
      <c r="T29" s="876"/>
      <c r="U29" s="878"/>
      <c r="V29" s="876"/>
      <c r="W29" s="876"/>
    </row>
    <row r="30" spans="1:23" s="356" customFormat="1" ht="16.5" customHeight="1">
      <c r="A30" s="883"/>
      <c r="B30" s="879"/>
      <c r="C30" s="881"/>
      <c r="D30" s="919"/>
      <c r="E30" s="883"/>
      <c r="F30" s="883"/>
      <c r="G30" s="879"/>
      <c r="H30" s="355">
        <v>1704000</v>
      </c>
      <c r="I30" s="355">
        <v>1159250</v>
      </c>
      <c r="J30" s="878"/>
      <c r="K30" s="878"/>
      <c r="L30" s="876"/>
      <c r="M30" s="876"/>
      <c r="N30" s="878"/>
      <c r="O30" s="878"/>
      <c r="P30" s="876"/>
      <c r="Q30" s="876"/>
      <c r="R30" s="878"/>
      <c r="S30" s="876"/>
      <c r="T30" s="876"/>
      <c r="U30" s="878"/>
      <c r="V30" s="876"/>
      <c r="W30" s="876"/>
    </row>
    <row r="31" spans="1:23" s="356" customFormat="1" ht="16.5" customHeight="1">
      <c r="A31" s="883"/>
      <c r="B31" s="879"/>
      <c r="C31" s="881"/>
      <c r="D31" s="919"/>
      <c r="E31" s="883"/>
      <c r="F31" s="883"/>
      <c r="G31" s="879"/>
      <c r="H31" s="355">
        <v>0</v>
      </c>
      <c r="I31" s="355">
        <v>0</v>
      </c>
      <c r="J31" s="878"/>
      <c r="K31" s="878"/>
      <c r="L31" s="876"/>
      <c r="M31" s="876"/>
      <c r="N31" s="878"/>
      <c r="O31" s="878"/>
      <c r="P31" s="876"/>
      <c r="Q31" s="876"/>
      <c r="R31" s="878"/>
      <c r="S31" s="876"/>
      <c r="T31" s="876"/>
      <c r="U31" s="878"/>
      <c r="V31" s="876"/>
      <c r="W31" s="876"/>
    </row>
    <row r="32" spans="1:23" s="356" customFormat="1" ht="16.5" customHeight="1">
      <c r="A32" s="883">
        <v>4</v>
      </c>
      <c r="B32" s="879" t="s">
        <v>683</v>
      </c>
      <c r="C32" s="881" t="s">
        <v>684</v>
      </c>
      <c r="D32" s="919" t="s">
        <v>692</v>
      </c>
      <c r="E32" s="883" t="s">
        <v>686</v>
      </c>
      <c r="F32" s="883" t="s">
        <v>687</v>
      </c>
      <c r="G32" s="879" t="s">
        <v>691</v>
      </c>
      <c r="H32" s="355">
        <f>H33+H34+H35+H36</f>
        <v>9743979</v>
      </c>
      <c r="I32" s="355">
        <f>I33+I34+I35+I36</f>
        <v>2612960</v>
      </c>
      <c r="J32" s="878">
        <f>K32+N32</f>
        <v>7131019</v>
      </c>
      <c r="K32" s="878">
        <f>L32+M32</f>
        <v>6207691</v>
      </c>
      <c r="L32" s="876">
        <v>6207691</v>
      </c>
      <c r="M32" s="876">
        <v>0</v>
      </c>
      <c r="N32" s="878">
        <f>O32+R32+U32</f>
        <v>923328</v>
      </c>
      <c r="O32" s="878">
        <f>P32+Q32</f>
        <v>0</v>
      </c>
      <c r="P32" s="876">
        <v>0</v>
      </c>
      <c r="Q32" s="876">
        <v>0</v>
      </c>
      <c r="R32" s="878">
        <f>S32+T32</f>
        <v>923328</v>
      </c>
      <c r="S32" s="876">
        <v>923328</v>
      </c>
      <c r="T32" s="876">
        <v>0</v>
      </c>
      <c r="U32" s="878">
        <f>V32+W32</f>
        <v>0</v>
      </c>
      <c r="V32" s="876">
        <v>0</v>
      </c>
      <c r="W32" s="876">
        <v>0</v>
      </c>
    </row>
    <row r="33" spans="1:23" s="356" customFormat="1" ht="16.5" customHeight="1">
      <c r="A33" s="883"/>
      <c r="B33" s="879"/>
      <c r="C33" s="881"/>
      <c r="D33" s="919"/>
      <c r="E33" s="883"/>
      <c r="F33" s="883"/>
      <c r="G33" s="879"/>
      <c r="H33" s="355">
        <v>8267301</v>
      </c>
      <c r="I33" s="355">
        <v>2059610</v>
      </c>
      <c r="J33" s="878"/>
      <c r="K33" s="878"/>
      <c r="L33" s="876"/>
      <c r="M33" s="876"/>
      <c r="N33" s="878"/>
      <c r="O33" s="878"/>
      <c r="P33" s="876"/>
      <c r="Q33" s="876"/>
      <c r="R33" s="878"/>
      <c r="S33" s="876"/>
      <c r="T33" s="876"/>
      <c r="U33" s="878"/>
      <c r="V33" s="876"/>
      <c r="W33" s="876"/>
    </row>
    <row r="34" spans="1:23" s="356" customFormat="1" ht="16.5" customHeight="1">
      <c r="A34" s="883"/>
      <c r="B34" s="879"/>
      <c r="C34" s="881"/>
      <c r="D34" s="919"/>
      <c r="E34" s="883"/>
      <c r="F34" s="883"/>
      <c r="G34" s="879"/>
      <c r="H34" s="355">
        <v>0</v>
      </c>
      <c r="I34" s="355">
        <v>0</v>
      </c>
      <c r="J34" s="878"/>
      <c r="K34" s="878"/>
      <c r="L34" s="876"/>
      <c r="M34" s="876"/>
      <c r="N34" s="878"/>
      <c r="O34" s="878"/>
      <c r="P34" s="876"/>
      <c r="Q34" s="876"/>
      <c r="R34" s="878"/>
      <c r="S34" s="876"/>
      <c r="T34" s="876"/>
      <c r="U34" s="878"/>
      <c r="V34" s="876"/>
      <c r="W34" s="876"/>
    </row>
    <row r="35" spans="1:23" s="356" customFormat="1" ht="16.5" customHeight="1">
      <c r="A35" s="883"/>
      <c r="B35" s="879"/>
      <c r="C35" s="881"/>
      <c r="D35" s="919"/>
      <c r="E35" s="883"/>
      <c r="F35" s="883"/>
      <c r="G35" s="879"/>
      <c r="H35" s="355">
        <v>1476678</v>
      </c>
      <c r="I35" s="355">
        <v>553350</v>
      </c>
      <c r="J35" s="878"/>
      <c r="K35" s="878"/>
      <c r="L35" s="876"/>
      <c r="M35" s="876"/>
      <c r="N35" s="878"/>
      <c r="O35" s="878"/>
      <c r="P35" s="876"/>
      <c r="Q35" s="876"/>
      <c r="R35" s="878"/>
      <c r="S35" s="876"/>
      <c r="T35" s="876"/>
      <c r="U35" s="878"/>
      <c r="V35" s="876"/>
      <c r="W35" s="876"/>
    </row>
    <row r="36" spans="1:23" s="356" customFormat="1" ht="16.5" customHeight="1">
      <c r="A36" s="883"/>
      <c r="B36" s="879"/>
      <c r="C36" s="881"/>
      <c r="D36" s="919"/>
      <c r="E36" s="883"/>
      <c r="F36" s="883"/>
      <c r="G36" s="879"/>
      <c r="H36" s="355">
        <v>0</v>
      </c>
      <c r="I36" s="355">
        <v>0</v>
      </c>
      <c r="J36" s="878"/>
      <c r="K36" s="878"/>
      <c r="L36" s="876"/>
      <c r="M36" s="876"/>
      <c r="N36" s="878"/>
      <c r="O36" s="878"/>
      <c r="P36" s="876"/>
      <c r="Q36" s="876"/>
      <c r="R36" s="878"/>
      <c r="S36" s="876"/>
      <c r="T36" s="876"/>
      <c r="U36" s="878"/>
      <c r="V36" s="876"/>
      <c r="W36" s="876"/>
    </row>
    <row r="37" spans="1:23" s="356" customFormat="1" ht="16.5" customHeight="1">
      <c r="A37" s="883">
        <v>5</v>
      </c>
      <c r="B37" s="890" t="s">
        <v>607</v>
      </c>
      <c r="C37" s="896" t="s">
        <v>693</v>
      </c>
      <c r="D37" s="916" t="s">
        <v>694</v>
      </c>
      <c r="E37" s="883" t="s">
        <v>686</v>
      </c>
      <c r="F37" s="902" t="s">
        <v>695</v>
      </c>
      <c r="G37" s="890" t="s">
        <v>688</v>
      </c>
      <c r="H37" s="355">
        <f>H38+H39+H40+H41</f>
        <v>113069501</v>
      </c>
      <c r="I37" s="355">
        <f>I38+I39+I40+I41</f>
        <v>33747361</v>
      </c>
      <c r="J37" s="887">
        <f>K37+N37</f>
        <v>49230046</v>
      </c>
      <c r="K37" s="887">
        <f>L37+M37</f>
        <v>48246133</v>
      </c>
      <c r="L37" s="884">
        <v>1072322</v>
      </c>
      <c r="M37" s="884">
        <v>47173811</v>
      </c>
      <c r="N37" s="887">
        <f>O37+R37+U37</f>
        <v>983913</v>
      </c>
      <c r="O37" s="887">
        <f>P37+Q37</f>
        <v>0</v>
      </c>
      <c r="P37" s="884">
        <v>0</v>
      </c>
      <c r="Q37" s="884">
        <v>0</v>
      </c>
      <c r="R37" s="887">
        <f>S37+T37</f>
        <v>925913</v>
      </c>
      <c r="S37" s="884">
        <v>131235</v>
      </c>
      <c r="T37" s="884">
        <v>794678</v>
      </c>
      <c r="U37" s="887">
        <f>V37+W37</f>
        <v>58000</v>
      </c>
      <c r="V37" s="884">
        <v>58000</v>
      </c>
      <c r="W37" s="884">
        <v>0</v>
      </c>
    </row>
    <row r="38" spans="1:23" s="356" customFormat="1" ht="16.5" customHeight="1">
      <c r="A38" s="883"/>
      <c r="B38" s="891"/>
      <c r="C38" s="897"/>
      <c r="D38" s="917"/>
      <c r="E38" s="883"/>
      <c r="F38" s="903"/>
      <c r="G38" s="891"/>
      <c r="H38" s="355">
        <v>109055000</v>
      </c>
      <c r="I38" s="355">
        <v>32234721</v>
      </c>
      <c r="J38" s="888"/>
      <c r="K38" s="888"/>
      <c r="L38" s="885"/>
      <c r="M38" s="885"/>
      <c r="N38" s="888"/>
      <c r="O38" s="888"/>
      <c r="P38" s="885"/>
      <c r="Q38" s="885"/>
      <c r="R38" s="888"/>
      <c r="S38" s="885"/>
      <c r="T38" s="885"/>
      <c r="U38" s="888"/>
      <c r="V38" s="885"/>
      <c r="W38" s="885"/>
    </row>
    <row r="39" spans="1:23" s="356" customFormat="1" ht="16.5" customHeight="1">
      <c r="A39" s="883"/>
      <c r="B39" s="891"/>
      <c r="C39" s="897"/>
      <c r="D39" s="917"/>
      <c r="E39" s="883"/>
      <c r="F39" s="903"/>
      <c r="G39" s="891"/>
      <c r="H39" s="355">
        <v>0</v>
      </c>
      <c r="I39" s="355">
        <v>0</v>
      </c>
      <c r="J39" s="888"/>
      <c r="K39" s="888"/>
      <c r="L39" s="885"/>
      <c r="M39" s="885"/>
      <c r="N39" s="888"/>
      <c r="O39" s="888"/>
      <c r="P39" s="885"/>
      <c r="Q39" s="885"/>
      <c r="R39" s="888"/>
      <c r="S39" s="885"/>
      <c r="T39" s="885"/>
      <c r="U39" s="888"/>
      <c r="V39" s="885"/>
      <c r="W39" s="885"/>
    </row>
    <row r="40" spans="1:23" s="356" customFormat="1" ht="16.5" customHeight="1">
      <c r="A40" s="883"/>
      <c r="B40" s="891"/>
      <c r="C40" s="897"/>
      <c r="D40" s="917"/>
      <c r="E40" s="883"/>
      <c r="F40" s="903"/>
      <c r="G40" s="891"/>
      <c r="H40" s="355">
        <v>3730066</v>
      </c>
      <c r="I40" s="355">
        <v>1454640</v>
      </c>
      <c r="J40" s="888"/>
      <c r="K40" s="888"/>
      <c r="L40" s="885"/>
      <c r="M40" s="885"/>
      <c r="N40" s="888"/>
      <c r="O40" s="888"/>
      <c r="P40" s="885"/>
      <c r="Q40" s="885"/>
      <c r="R40" s="888"/>
      <c r="S40" s="885"/>
      <c r="T40" s="885"/>
      <c r="U40" s="888"/>
      <c r="V40" s="885"/>
      <c r="W40" s="885"/>
    </row>
    <row r="41" spans="1:23" s="356" customFormat="1" ht="16.5" customHeight="1">
      <c r="A41" s="883"/>
      <c r="B41" s="892"/>
      <c r="C41" s="898"/>
      <c r="D41" s="918"/>
      <c r="E41" s="883"/>
      <c r="F41" s="904"/>
      <c r="G41" s="892"/>
      <c r="H41" s="355">
        <v>284435</v>
      </c>
      <c r="I41" s="355">
        <v>58000</v>
      </c>
      <c r="J41" s="889"/>
      <c r="K41" s="889"/>
      <c r="L41" s="886"/>
      <c r="M41" s="886"/>
      <c r="N41" s="889"/>
      <c r="O41" s="889"/>
      <c r="P41" s="886"/>
      <c r="Q41" s="886"/>
      <c r="R41" s="889"/>
      <c r="S41" s="886"/>
      <c r="T41" s="886"/>
      <c r="U41" s="889"/>
      <c r="V41" s="886"/>
      <c r="W41" s="886"/>
    </row>
    <row r="42" spans="1:23" s="356" customFormat="1" ht="16.5" customHeight="1">
      <c r="A42" s="883">
        <v>6</v>
      </c>
      <c r="B42" s="890" t="s">
        <v>607</v>
      </c>
      <c r="C42" s="896" t="s">
        <v>693</v>
      </c>
      <c r="D42" s="916" t="s">
        <v>696</v>
      </c>
      <c r="E42" s="883" t="s">
        <v>686</v>
      </c>
      <c r="F42" s="902" t="s">
        <v>695</v>
      </c>
      <c r="G42" s="890" t="s">
        <v>688</v>
      </c>
      <c r="H42" s="355">
        <f>H43+H44+H45+H46</f>
        <v>75482617</v>
      </c>
      <c r="I42" s="355">
        <f>I43+I44+I45+I46</f>
        <v>36770607</v>
      </c>
      <c r="J42" s="887">
        <f>K42+N42</f>
        <v>13908993</v>
      </c>
      <c r="K42" s="887">
        <f>L42+M42</f>
        <v>13322644</v>
      </c>
      <c r="L42" s="884">
        <v>2472644</v>
      </c>
      <c r="M42" s="884">
        <v>10850000</v>
      </c>
      <c r="N42" s="887">
        <f>O42+R42+U42</f>
        <v>586349</v>
      </c>
      <c r="O42" s="887">
        <f>P42+Q42</f>
        <v>0</v>
      </c>
      <c r="P42" s="884">
        <v>0</v>
      </c>
      <c r="Q42" s="884">
        <v>0</v>
      </c>
      <c r="R42" s="887">
        <f>S42+T42</f>
        <v>586349</v>
      </c>
      <c r="S42" s="884">
        <v>436349</v>
      </c>
      <c r="T42" s="884">
        <v>150000</v>
      </c>
      <c r="U42" s="887">
        <f>V42+W42</f>
        <v>0</v>
      </c>
      <c r="V42" s="884">
        <v>0</v>
      </c>
      <c r="W42" s="884">
        <v>0</v>
      </c>
    </row>
    <row r="43" spans="1:23" s="356" customFormat="1" ht="16.5" customHeight="1">
      <c r="A43" s="883"/>
      <c r="B43" s="891"/>
      <c r="C43" s="897"/>
      <c r="D43" s="917"/>
      <c r="E43" s="883"/>
      <c r="F43" s="903"/>
      <c r="G43" s="891"/>
      <c r="H43" s="355">
        <v>72842122</v>
      </c>
      <c r="I43" s="355">
        <v>36200193</v>
      </c>
      <c r="J43" s="888"/>
      <c r="K43" s="888"/>
      <c r="L43" s="885"/>
      <c r="M43" s="885"/>
      <c r="N43" s="888"/>
      <c r="O43" s="888"/>
      <c r="P43" s="885"/>
      <c r="Q43" s="885"/>
      <c r="R43" s="888"/>
      <c r="S43" s="885"/>
      <c r="T43" s="885"/>
      <c r="U43" s="888"/>
      <c r="V43" s="885"/>
      <c r="W43" s="885"/>
    </row>
    <row r="44" spans="1:23" s="356" customFormat="1" ht="16.5" customHeight="1">
      <c r="A44" s="883"/>
      <c r="B44" s="891"/>
      <c r="C44" s="897"/>
      <c r="D44" s="917"/>
      <c r="E44" s="883"/>
      <c r="F44" s="903"/>
      <c r="G44" s="891"/>
      <c r="H44" s="355">
        <v>0</v>
      </c>
      <c r="I44" s="355">
        <v>0</v>
      </c>
      <c r="J44" s="888"/>
      <c r="K44" s="888"/>
      <c r="L44" s="885"/>
      <c r="M44" s="885"/>
      <c r="N44" s="888"/>
      <c r="O44" s="888"/>
      <c r="P44" s="885"/>
      <c r="Q44" s="885"/>
      <c r="R44" s="888"/>
      <c r="S44" s="885"/>
      <c r="T44" s="885"/>
      <c r="U44" s="888"/>
      <c r="V44" s="885"/>
      <c r="W44" s="885"/>
    </row>
    <row r="45" spans="1:23" s="356" customFormat="1" ht="16.5" customHeight="1">
      <c r="A45" s="883"/>
      <c r="B45" s="891"/>
      <c r="C45" s="897"/>
      <c r="D45" s="917"/>
      <c r="E45" s="883"/>
      <c r="F45" s="903"/>
      <c r="G45" s="891"/>
      <c r="H45" s="355">
        <v>2640495</v>
      </c>
      <c r="I45" s="355">
        <v>570414</v>
      </c>
      <c r="J45" s="888"/>
      <c r="K45" s="888"/>
      <c r="L45" s="885"/>
      <c r="M45" s="885"/>
      <c r="N45" s="888"/>
      <c r="O45" s="888"/>
      <c r="P45" s="885"/>
      <c r="Q45" s="885"/>
      <c r="R45" s="888"/>
      <c r="S45" s="885"/>
      <c r="T45" s="885"/>
      <c r="U45" s="888"/>
      <c r="V45" s="885"/>
      <c r="W45" s="885"/>
    </row>
    <row r="46" spans="1:23" s="356" customFormat="1" ht="16.5" customHeight="1">
      <c r="A46" s="883"/>
      <c r="B46" s="892"/>
      <c r="C46" s="898"/>
      <c r="D46" s="918"/>
      <c r="E46" s="883"/>
      <c r="F46" s="904"/>
      <c r="G46" s="892"/>
      <c r="H46" s="355">
        <v>0</v>
      </c>
      <c r="I46" s="355">
        <v>0</v>
      </c>
      <c r="J46" s="889"/>
      <c r="K46" s="889"/>
      <c r="L46" s="886"/>
      <c r="M46" s="886"/>
      <c r="N46" s="889"/>
      <c r="O46" s="889"/>
      <c r="P46" s="886"/>
      <c r="Q46" s="886"/>
      <c r="R46" s="889"/>
      <c r="S46" s="886"/>
      <c r="T46" s="886"/>
      <c r="U46" s="889"/>
      <c r="V46" s="886"/>
      <c r="W46" s="886"/>
    </row>
    <row r="47" spans="1:23" s="356" customFormat="1" ht="16.5" customHeight="1">
      <c r="A47" s="883">
        <v>7</v>
      </c>
      <c r="B47" s="890" t="s">
        <v>607</v>
      </c>
      <c r="C47" s="896" t="s">
        <v>693</v>
      </c>
      <c r="D47" s="916" t="s">
        <v>697</v>
      </c>
      <c r="E47" s="883" t="s">
        <v>686</v>
      </c>
      <c r="F47" s="902" t="s">
        <v>695</v>
      </c>
      <c r="G47" s="890" t="s">
        <v>698</v>
      </c>
      <c r="H47" s="355">
        <f>H48+H49+H50+H51</f>
        <v>21697885</v>
      </c>
      <c r="I47" s="355">
        <f>I48+I49+I50+I51</f>
        <v>0</v>
      </c>
      <c r="J47" s="887">
        <f>K47+N47</f>
        <v>8763918</v>
      </c>
      <c r="K47" s="887">
        <f>L47+M47</f>
        <v>8724330</v>
      </c>
      <c r="L47" s="884">
        <v>224330</v>
      </c>
      <c r="M47" s="884">
        <v>8500000</v>
      </c>
      <c r="N47" s="887">
        <f>O47+R47+U47</f>
        <v>39588</v>
      </c>
      <c r="O47" s="887">
        <f>P47+Q47</f>
        <v>0</v>
      </c>
      <c r="P47" s="884">
        <v>0</v>
      </c>
      <c r="Q47" s="884">
        <v>0</v>
      </c>
      <c r="R47" s="887">
        <f>S47+T47</f>
        <v>39588</v>
      </c>
      <c r="S47" s="884">
        <v>39588</v>
      </c>
      <c r="T47" s="884">
        <v>0</v>
      </c>
      <c r="U47" s="887">
        <f>V47+W47</f>
        <v>0</v>
      </c>
      <c r="V47" s="884">
        <v>0</v>
      </c>
      <c r="W47" s="884">
        <v>0</v>
      </c>
    </row>
    <row r="48" spans="1:23" s="356" customFormat="1" ht="16.5" customHeight="1">
      <c r="A48" s="883"/>
      <c r="B48" s="891"/>
      <c r="C48" s="897"/>
      <c r="D48" s="917"/>
      <c r="E48" s="883"/>
      <c r="F48" s="903"/>
      <c r="G48" s="891"/>
      <c r="H48" s="355">
        <v>21496495</v>
      </c>
      <c r="I48" s="355">
        <v>0</v>
      </c>
      <c r="J48" s="888"/>
      <c r="K48" s="888"/>
      <c r="L48" s="885"/>
      <c r="M48" s="885"/>
      <c r="N48" s="888"/>
      <c r="O48" s="888"/>
      <c r="P48" s="885"/>
      <c r="Q48" s="885"/>
      <c r="R48" s="888"/>
      <c r="S48" s="885"/>
      <c r="T48" s="885"/>
      <c r="U48" s="888"/>
      <c r="V48" s="885"/>
      <c r="W48" s="885"/>
    </row>
    <row r="49" spans="1:23" s="356" customFormat="1" ht="16.5" customHeight="1">
      <c r="A49" s="883"/>
      <c r="B49" s="891"/>
      <c r="C49" s="897"/>
      <c r="D49" s="917"/>
      <c r="E49" s="883"/>
      <c r="F49" s="903"/>
      <c r="G49" s="891"/>
      <c r="H49" s="355">
        <v>0</v>
      </c>
      <c r="I49" s="355">
        <v>0</v>
      </c>
      <c r="J49" s="888"/>
      <c r="K49" s="888"/>
      <c r="L49" s="885"/>
      <c r="M49" s="885"/>
      <c r="N49" s="888"/>
      <c r="O49" s="888"/>
      <c r="P49" s="885"/>
      <c r="Q49" s="885"/>
      <c r="R49" s="888"/>
      <c r="S49" s="885"/>
      <c r="T49" s="885"/>
      <c r="U49" s="888"/>
      <c r="V49" s="885"/>
      <c r="W49" s="885"/>
    </row>
    <row r="50" spans="1:23" s="356" customFormat="1" ht="16.5" customHeight="1">
      <c r="A50" s="883"/>
      <c r="B50" s="891"/>
      <c r="C50" s="897"/>
      <c r="D50" s="917"/>
      <c r="E50" s="883"/>
      <c r="F50" s="903"/>
      <c r="G50" s="891"/>
      <c r="H50" s="355">
        <v>201390</v>
      </c>
      <c r="I50" s="355">
        <v>0</v>
      </c>
      <c r="J50" s="888"/>
      <c r="K50" s="888"/>
      <c r="L50" s="885"/>
      <c r="M50" s="885"/>
      <c r="N50" s="888"/>
      <c r="O50" s="888"/>
      <c r="P50" s="885"/>
      <c r="Q50" s="885"/>
      <c r="R50" s="888"/>
      <c r="S50" s="885"/>
      <c r="T50" s="885"/>
      <c r="U50" s="888"/>
      <c r="V50" s="885"/>
      <c r="W50" s="885"/>
    </row>
    <row r="51" spans="1:23" s="356" customFormat="1" ht="16.5" customHeight="1">
      <c r="A51" s="883"/>
      <c r="B51" s="892"/>
      <c r="C51" s="898"/>
      <c r="D51" s="918"/>
      <c r="E51" s="883"/>
      <c r="F51" s="904"/>
      <c r="G51" s="892"/>
      <c r="H51" s="355">
        <v>0</v>
      </c>
      <c r="I51" s="355">
        <v>0</v>
      </c>
      <c r="J51" s="889"/>
      <c r="K51" s="889"/>
      <c r="L51" s="886"/>
      <c r="M51" s="886"/>
      <c r="N51" s="889"/>
      <c r="O51" s="889"/>
      <c r="P51" s="886"/>
      <c r="Q51" s="886"/>
      <c r="R51" s="889"/>
      <c r="S51" s="886"/>
      <c r="T51" s="886"/>
      <c r="U51" s="889"/>
      <c r="V51" s="886"/>
      <c r="W51" s="886"/>
    </row>
    <row r="52" spans="1:23" s="356" customFormat="1" ht="16.5" customHeight="1">
      <c r="A52" s="883">
        <v>8</v>
      </c>
      <c r="B52" s="890" t="s">
        <v>613</v>
      </c>
      <c r="C52" s="896" t="s">
        <v>699</v>
      </c>
      <c r="D52" s="916" t="s">
        <v>700</v>
      </c>
      <c r="E52" s="883" t="s">
        <v>686</v>
      </c>
      <c r="F52" s="902" t="s">
        <v>695</v>
      </c>
      <c r="G52" s="890" t="s">
        <v>701</v>
      </c>
      <c r="H52" s="355">
        <f>H53+H54+H55+H56</f>
        <v>22747200</v>
      </c>
      <c r="I52" s="355">
        <f>I53+I54+I55+I56</f>
        <v>5709670</v>
      </c>
      <c r="J52" s="887">
        <f>K52+N52</f>
        <v>16176723</v>
      </c>
      <c r="K52" s="887">
        <f>L52+M52</f>
        <v>15314701</v>
      </c>
      <c r="L52" s="884">
        <v>708012</v>
      </c>
      <c r="M52" s="884">
        <v>14606689</v>
      </c>
      <c r="N52" s="887">
        <f>O52+R52+U52</f>
        <v>862022</v>
      </c>
      <c r="O52" s="887">
        <f>P52+Q52</f>
        <v>0</v>
      </c>
      <c r="P52" s="884">
        <v>0</v>
      </c>
      <c r="Q52" s="884">
        <v>0</v>
      </c>
      <c r="R52" s="887">
        <f>S52+T52</f>
        <v>799284</v>
      </c>
      <c r="S52" s="884">
        <v>124944</v>
      </c>
      <c r="T52" s="884">
        <v>674340</v>
      </c>
      <c r="U52" s="887">
        <f>V52+W52</f>
        <v>62738</v>
      </c>
      <c r="V52" s="884">
        <v>0</v>
      </c>
      <c r="W52" s="884">
        <v>62738</v>
      </c>
    </row>
    <row r="53" spans="1:23" s="356" customFormat="1" ht="16.5" customHeight="1">
      <c r="A53" s="883"/>
      <c r="B53" s="891"/>
      <c r="C53" s="897"/>
      <c r="D53" s="917"/>
      <c r="E53" s="883"/>
      <c r="F53" s="903"/>
      <c r="G53" s="891"/>
      <c r="H53" s="355">
        <v>21574001</v>
      </c>
      <c r="I53" s="355">
        <v>5527613</v>
      </c>
      <c r="J53" s="888"/>
      <c r="K53" s="888"/>
      <c r="L53" s="885"/>
      <c r="M53" s="885"/>
      <c r="N53" s="888"/>
      <c r="O53" s="888"/>
      <c r="P53" s="885"/>
      <c r="Q53" s="885"/>
      <c r="R53" s="888"/>
      <c r="S53" s="885"/>
      <c r="T53" s="885"/>
      <c r="U53" s="888"/>
      <c r="V53" s="885"/>
      <c r="W53" s="885"/>
    </row>
    <row r="54" spans="1:23" s="356" customFormat="1" ht="16.5" customHeight="1">
      <c r="A54" s="883"/>
      <c r="B54" s="891"/>
      <c r="C54" s="897"/>
      <c r="D54" s="917"/>
      <c r="E54" s="883"/>
      <c r="F54" s="903"/>
      <c r="G54" s="891"/>
      <c r="H54" s="355">
        <v>0</v>
      </c>
      <c r="I54" s="355">
        <v>0</v>
      </c>
      <c r="J54" s="888"/>
      <c r="K54" s="888"/>
      <c r="L54" s="885"/>
      <c r="M54" s="885"/>
      <c r="N54" s="888"/>
      <c r="O54" s="888"/>
      <c r="P54" s="885"/>
      <c r="Q54" s="885"/>
      <c r="R54" s="888"/>
      <c r="S54" s="885"/>
      <c r="T54" s="885"/>
      <c r="U54" s="888"/>
      <c r="V54" s="885"/>
      <c r="W54" s="885"/>
    </row>
    <row r="55" spans="1:23" s="356" customFormat="1" ht="16.5" customHeight="1">
      <c r="A55" s="883"/>
      <c r="B55" s="891"/>
      <c r="C55" s="897"/>
      <c r="D55" s="917"/>
      <c r="E55" s="883"/>
      <c r="F55" s="903"/>
      <c r="G55" s="891"/>
      <c r="H55" s="355">
        <v>1099954</v>
      </c>
      <c r="I55" s="355">
        <v>171550</v>
      </c>
      <c r="J55" s="888"/>
      <c r="K55" s="888"/>
      <c r="L55" s="885"/>
      <c r="M55" s="885"/>
      <c r="N55" s="888"/>
      <c r="O55" s="888"/>
      <c r="P55" s="885"/>
      <c r="Q55" s="885"/>
      <c r="R55" s="888"/>
      <c r="S55" s="885"/>
      <c r="T55" s="885"/>
      <c r="U55" s="888"/>
      <c r="V55" s="885"/>
      <c r="W55" s="885"/>
    </row>
    <row r="56" spans="1:23" s="356" customFormat="1" ht="16.5" customHeight="1">
      <c r="A56" s="883"/>
      <c r="B56" s="892"/>
      <c r="C56" s="898"/>
      <c r="D56" s="918"/>
      <c r="E56" s="883"/>
      <c r="F56" s="904"/>
      <c r="G56" s="892"/>
      <c r="H56" s="355">
        <v>73245</v>
      </c>
      <c r="I56" s="355">
        <v>10507</v>
      </c>
      <c r="J56" s="889"/>
      <c r="K56" s="889"/>
      <c r="L56" s="886"/>
      <c r="M56" s="886"/>
      <c r="N56" s="889"/>
      <c r="O56" s="889"/>
      <c r="P56" s="886"/>
      <c r="Q56" s="886"/>
      <c r="R56" s="889"/>
      <c r="S56" s="886"/>
      <c r="T56" s="886"/>
      <c r="U56" s="889"/>
      <c r="V56" s="886"/>
      <c r="W56" s="886"/>
    </row>
    <row r="57" spans="1:23" s="356" customFormat="1" ht="16.5" customHeight="1">
      <c r="A57" s="883">
        <v>9</v>
      </c>
      <c r="B57" s="879" t="s">
        <v>702</v>
      </c>
      <c r="C57" s="881" t="s">
        <v>703</v>
      </c>
      <c r="D57" s="919" t="s">
        <v>704</v>
      </c>
      <c r="E57" s="883" t="s">
        <v>705</v>
      </c>
      <c r="F57" s="883" t="s">
        <v>706</v>
      </c>
      <c r="G57" s="879" t="s">
        <v>707</v>
      </c>
      <c r="H57" s="355">
        <f>H58+H59+H60+H61</f>
        <v>669248</v>
      </c>
      <c r="I57" s="355">
        <f>I58+I59+I60+I61</f>
        <v>31617</v>
      </c>
      <c r="J57" s="887">
        <f>K57+N57</f>
        <v>637631</v>
      </c>
      <c r="K57" s="887">
        <f>L57+M57</f>
        <v>509996</v>
      </c>
      <c r="L57" s="884">
        <v>0</v>
      </c>
      <c r="M57" s="884">
        <v>509996</v>
      </c>
      <c r="N57" s="887">
        <f>O57+R57+U57</f>
        <v>127635</v>
      </c>
      <c r="O57" s="887">
        <f>P57+Q57</f>
        <v>0</v>
      </c>
      <c r="P57" s="884">
        <v>0</v>
      </c>
      <c r="Q57" s="884">
        <v>0</v>
      </c>
      <c r="R57" s="887">
        <f>S57+T57</f>
        <v>127635</v>
      </c>
      <c r="S57" s="884">
        <v>0</v>
      </c>
      <c r="T57" s="884">
        <v>127635</v>
      </c>
      <c r="U57" s="887">
        <f>V57+W57</f>
        <v>0</v>
      </c>
      <c r="V57" s="884">
        <v>0</v>
      </c>
      <c r="W57" s="884">
        <v>0</v>
      </c>
    </row>
    <row r="58" spans="1:23" s="356" customFormat="1" ht="16.5" customHeight="1">
      <c r="A58" s="883"/>
      <c r="B58" s="879"/>
      <c r="C58" s="881"/>
      <c r="D58" s="919"/>
      <c r="E58" s="883"/>
      <c r="F58" s="883"/>
      <c r="G58" s="879"/>
      <c r="H58" s="355">
        <v>534806</v>
      </c>
      <c r="I58" s="355">
        <v>24810</v>
      </c>
      <c r="J58" s="888"/>
      <c r="K58" s="888"/>
      <c r="L58" s="885"/>
      <c r="M58" s="885"/>
      <c r="N58" s="888"/>
      <c r="O58" s="888"/>
      <c r="P58" s="885"/>
      <c r="Q58" s="885"/>
      <c r="R58" s="888"/>
      <c r="S58" s="885"/>
      <c r="T58" s="885"/>
      <c r="U58" s="888"/>
      <c r="V58" s="885"/>
      <c r="W58" s="885"/>
    </row>
    <row r="59" spans="1:23" s="356" customFormat="1" ht="16.5" customHeight="1">
      <c r="A59" s="883"/>
      <c r="B59" s="879"/>
      <c r="C59" s="881"/>
      <c r="D59" s="919"/>
      <c r="E59" s="883"/>
      <c r="F59" s="883"/>
      <c r="G59" s="879"/>
      <c r="H59" s="355">
        <v>0</v>
      </c>
      <c r="I59" s="355">
        <v>0</v>
      </c>
      <c r="J59" s="888"/>
      <c r="K59" s="888"/>
      <c r="L59" s="885"/>
      <c r="M59" s="885"/>
      <c r="N59" s="888"/>
      <c r="O59" s="888"/>
      <c r="P59" s="885"/>
      <c r="Q59" s="885"/>
      <c r="R59" s="888"/>
      <c r="S59" s="885"/>
      <c r="T59" s="885"/>
      <c r="U59" s="888"/>
      <c r="V59" s="885"/>
      <c r="W59" s="885"/>
    </row>
    <row r="60" spans="1:23" s="356" customFormat="1" ht="16.5" customHeight="1">
      <c r="A60" s="883"/>
      <c r="B60" s="879"/>
      <c r="C60" s="881"/>
      <c r="D60" s="919"/>
      <c r="E60" s="883"/>
      <c r="F60" s="883"/>
      <c r="G60" s="879"/>
      <c r="H60" s="355">
        <v>134442</v>
      </c>
      <c r="I60" s="355">
        <v>6807</v>
      </c>
      <c r="J60" s="888"/>
      <c r="K60" s="888"/>
      <c r="L60" s="885"/>
      <c r="M60" s="885"/>
      <c r="N60" s="888"/>
      <c r="O60" s="888"/>
      <c r="P60" s="885"/>
      <c r="Q60" s="885"/>
      <c r="R60" s="888"/>
      <c r="S60" s="885"/>
      <c r="T60" s="885"/>
      <c r="U60" s="888"/>
      <c r="V60" s="885"/>
      <c r="W60" s="885"/>
    </row>
    <row r="61" spans="1:23" s="356" customFormat="1" ht="16.5" customHeight="1">
      <c r="A61" s="883"/>
      <c r="B61" s="879"/>
      <c r="C61" s="881"/>
      <c r="D61" s="919"/>
      <c r="E61" s="883"/>
      <c r="F61" s="883"/>
      <c r="G61" s="879"/>
      <c r="H61" s="355">
        <v>0</v>
      </c>
      <c r="I61" s="355">
        <v>0</v>
      </c>
      <c r="J61" s="889"/>
      <c r="K61" s="889"/>
      <c r="L61" s="886"/>
      <c r="M61" s="886"/>
      <c r="N61" s="889"/>
      <c r="O61" s="889"/>
      <c r="P61" s="886"/>
      <c r="Q61" s="886"/>
      <c r="R61" s="889"/>
      <c r="S61" s="886"/>
      <c r="T61" s="886"/>
      <c r="U61" s="889"/>
      <c r="V61" s="886"/>
      <c r="W61" s="886"/>
    </row>
    <row r="62" spans="1:23" s="356" customFormat="1" ht="16.5" customHeight="1">
      <c r="A62" s="883">
        <v>10</v>
      </c>
      <c r="B62" s="879" t="s">
        <v>708</v>
      </c>
      <c r="C62" s="881" t="s">
        <v>709</v>
      </c>
      <c r="D62" s="919" t="s">
        <v>710</v>
      </c>
      <c r="E62" s="883" t="s">
        <v>711</v>
      </c>
      <c r="F62" s="883" t="s">
        <v>712</v>
      </c>
      <c r="G62" s="879" t="s">
        <v>713</v>
      </c>
      <c r="H62" s="355">
        <f>H63+H64+H65+H66</f>
        <v>3687356</v>
      </c>
      <c r="I62" s="355">
        <f>I63+I64+I65+I66</f>
        <v>1891663</v>
      </c>
      <c r="J62" s="887">
        <f>K62+N62</f>
        <v>1795693</v>
      </c>
      <c r="K62" s="887">
        <f>L62+M62</f>
        <v>1526339</v>
      </c>
      <c r="L62" s="884">
        <v>0</v>
      </c>
      <c r="M62" s="884">
        <v>1526339</v>
      </c>
      <c r="N62" s="887">
        <f>O62+R62+U62</f>
        <v>269354</v>
      </c>
      <c r="O62" s="887">
        <f>P62+Q62</f>
        <v>0</v>
      </c>
      <c r="P62" s="884">
        <v>0</v>
      </c>
      <c r="Q62" s="884">
        <v>0</v>
      </c>
      <c r="R62" s="887">
        <f>S62+T62</f>
        <v>0</v>
      </c>
      <c r="S62" s="884">
        <v>0</v>
      </c>
      <c r="T62" s="884">
        <v>0</v>
      </c>
      <c r="U62" s="887">
        <f>V62+W62</f>
        <v>269354</v>
      </c>
      <c r="V62" s="884">
        <v>0</v>
      </c>
      <c r="W62" s="884">
        <v>269354</v>
      </c>
    </row>
    <row r="63" spans="1:23" s="356" customFormat="1" ht="16.5" customHeight="1">
      <c r="A63" s="883"/>
      <c r="B63" s="879"/>
      <c r="C63" s="881"/>
      <c r="D63" s="919"/>
      <c r="E63" s="883"/>
      <c r="F63" s="883"/>
      <c r="G63" s="879"/>
      <c r="H63" s="355">
        <v>3134252</v>
      </c>
      <c r="I63" s="355">
        <v>1607913</v>
      </c>
      <c r="J63" s="888"/>
      <c r="K63" s="888"/>
      <c r="L63" s="885"/>
      <c r="M63" s="885"/>
      <c r="N63" s="888"/>
      <c r="O63" s="888"/>
      <c r="P63" s="885"/>
      <c r="Q63" s="885"/>
      <c r="R63" s="888"/>
      <c r="S63" s="885"/>
      <c r="T63" s="885"/>
      <c r="U63" s="888"/>
      <c r="V63" s="885"/>
      <c r="W63" s="885"/>
    </row>
    <row r="64" spans="1:23" s="356" customFormat="1" ht="16.5" customHeight="1">
      <c r="A64" s="883"/>
      <c r="B64" s="879"/>
      <c r="C64" s="881"/>
      <c r="D64" s="919"/>
      <c r="E64" s="883"/>
      <c r="F64" s="883"/>
      <c r="G64" s="879"/>
      <c r="H64" s="355">
        <v>0</v>
      </c>
      <c r="I64" s="355">
        <v>0</v>
      </c>
      <c r="J64" s="888"/>
      <c r="K64" s="888"/>
      <c r="L64" s="885"/>
      <c r="M64" s="885"/>
      <c r="N64" s="888"/>
      <c r="O64" s="888"/>
      <c r="P64" s="885"/>
      <c r="Q64" s="885"/>
      <c r="R64" s="888"/>
      <c r="S64" s="885"/>
      <c r="T64" s="885"/>
      <c r="U64" s="888"/>
      <c r="V64" s="885"/>
      <c r="W64" s="885"/>
    </row>
    <row r="65" spans="1:23" s="356" customFormat="1" ht="16.5" customHeight="1">
      <c r="A65" s="883"/>
      <c r="B65" s="879"/>
      <c r="C65" s="881"/>
      <c r="D65" s="919"/>
      <c r="E65" s="883"/>
      <c r="F65" s="883"/>
      <c r="G65" s="879"/>
      <c r="H65" s="355">
        <v>0</v>
      </c>
      <c r="I65" s="355">
        <v>0</v>
      </c>
      <c r="J65" s="888"/>
      <c r="K65" s="888"/>
      <c r="L65" s="885"/>
      <c r="M65" s="885"/>
      <c r="N65" s="888"/>
      <c r="O65" s="888"/>
      <c r="P65" s="885"/>
      <c r="Q65" s="885"/>
      <c r="R65" s="888"/>
      <c r="S65" s="885"/>
      <c r="T65" s="885"/>
      <c r="U65" s="888"/>
      <c r="V65" s="885"/>
      <c r="W65" s="885"/>
    </row>
    <row r="66" spans="1:23" s="356" customFormat="1" ht="16.5" customHeight="1">
      <c r="A66" s="883"/>
      <c r="B66" s="879"/>
      <c r="C66" s="881"/>
      <c r="D66" s="919"/>
      <c r="E66" s="883"/>
      <c r="F66" s="883"/>
      <c r="G66" s="879"/>
      <c r="H66" s="355">
        <v>553104</v>
      </c>
      <c r="I66" s="355">
        <v>283750</v>
      </c>
      <c r="J66" s="889"/>
      <c r="K66" s="889"/>
      <c r="L66" s="886"/>
      <c r="M66" s="886"/>
      <c r="N66" s="889"/>
      <c r="O66" s="889"/>
      <c r="P66" s="886"/>
      <c r="Q66" s="886"/>
      <c r="R66" s="889"/>
      <c r="S66" s="886"/>
      <c r="T66" s="886"/>
      <c r="U66" s="889"/>
      <c r="V66" s="886"/>
      <c r="W66" s="886"/>
    </row>
    <row r="67" spans="1:23" s="356" customFormat="1" ht="15.75" customHeight="1">
      <c r="A67" s="883">
        <v>11</v>
      </c>
      <c r="B67" s="890" t="s">
        <v>714</v>
      </c>
      <c r="C67" s="896" t="s">
        <v>709</v>
      </c>
      <c r="D67" s="916" t="s">
        <v>715</v>
      </c>
      <c r="E67" s="883" t="s">
        <v>686</v>
      </c>
      <c r="F67" s="902" t="s">
        <v>716</v>
      </c>
      <c r="G67" s="890" t="s">
        <v>713</v>
      </c>
      <c r="H67" s="355">
        <f>H68+H69+H70+H71</f>
        <v>1232143</v>
      </c>
      <c r="I67" s="355">
        <f>I68+I69+I70+I71</f>
        <v>358600</v>
      </c>
      <c r="J67" s="887">
        <f>K67+N67</f>
        <v>873543</v>
      </c>
      <c r="K67" s="887">
        <f>L67+M67</f>
        <v>0</v>
      </c>
      <c r="L67" s="884">
        <v>0</v>
      </c>
      <c r="M67" s="884">
        <v>0</v>
      </c>
      <c r="N67" s="887">
        <f>O67+R67+U67</f>
        <v>873543</v>
      </c>
      <c r="O67" s="887">
        <f>P67+Q67</f>
        <v>0</v>
      </c>
      <c r="P67" s="884">
        <v>0</v>
      </c>
      <c r="Q67" s="884">
        <v>0</v>
      </c>
      <c r="R67" s="887">
        <f>S67+T67</f>
        <v>873543</v>
      </c>
      <c r="S67" s="884">
        <v>0</v>
      </c>
      <c r="T67" s="884">
        <v>873543</v>
      </c>
      <c r="U67" s="887">
        <f>V67+W67</f>
        <v>0</v>
      </c>
      <c r="V67" s="884">
        <v>0</v>
      </c>
      <c r="W67" s="884">
        <v>0</v>
      </c>
    </row>
    <row r="68" spans="1:23" s="356" customFormat="1" ht="15.75" customHeight="1">
      <c r="A68" s="883"/>
      <c r="B68" s="891"/>
      <c r="C68" s="897"/>
      <c r="D68" s="917"/>
      <c r="E68" s="883"/>
      <c r="F68" s="903"/>
      <c r="G68" s="891"/>
      <c r="H68" s="355">
        <v>0</v>
      </c>
      <c r="I68" s="355">
        <v>0</v>
      </c>
      <c r="J68" s="888"/>
      <c r="K68" s="888"/>
      <c r="L68" s="885"/>
      <c r="M68" s="885"/>
      <c r="N68" s="888"/>
      <c r="O68" s="888"/>
      <c r="P68" s="885"/>
      <c r="Q68" s="885"/>
      <c r="R68" s="888"/>
      <c r="S68" s="885"/>
      <c r="T68" s="885"/>
      <c r="U68" s="888"/>
      <c r="V68" s="885"/>
      <c r="W68" s="885"/>
    </row>
    <row r="69" spans="1:23" s="356" customFormat="1" ht="15.75" customHeight="1">
      <c r="A69" s="883"/>
      <c r="B69" s="891"/>
      <c r="C69" s="897"/>
      <c r="D69" s="917"/>
      <c r="E69" s="883"/>
      <c r="F69" s="903"/>
      <c r="G69" s="891"/>
      <c r="H69" s="355">
        <v>0</v>
      </c>
      <c r="I69" s="355">
        <v>0</v>
      </c>
      <c r="J69" s="888"/>
      <c r="K69" s="888"/>
      <c r="L69" s="885"/>
      <c r="M69" s="885"/>
      <c r="N69" s="888"/>
      <c r="O69" s="888"/>
      <c r="P69" s="885"/>
      <c r="Q69" s="885"/>
      <c r="R69" s="888"/>
      <c r="S69" s="885"/>
      <c r="T69" s="885"/>
      <c r="U69" s="888"/>
      <c r="V69" s="885"/>
      <c r="W69" s="885"/>
    </row>
    <row r="70" spans="1:23" s="356" customFormat="1" ht="15.75" customHeight="1">
      <c r="A70" s="883"/>
      <c r="B70" s="891"/>
      <c r="C70" s="897"/>
      <c r="D70" s="917"/>
      <c r="E70" s="883"/>
      <c r="F70" s="903"/>
      <c r="G70" s="891"/>
      <c r="H70" s="355">
        <v>1232143</v>
      </c>
      <c r="I70" s="355">
        <v>358600</v>
      </c>
      <c r="J70" s="888"/>
      <c r="K70" s="888"/>
      <c r="L70" s="885"/>
      <c r="M70" s="885"/>
      <c r="N70" s="888"/>
      <c r="O70" s="888"/>
      <c r="P70" s="885"/>
      <c r="Q70" s="885"/>
      <c r="R70" s="888"/>
      <c r="S70" s="885"/>
      <c r="T70" s="885"/>
      <c r="U70" s="888"/>
      <c r="V70" s="885"/>
      <c r="W70" s="885"/>
    </row>
    <row r="71" spans="1:23" s="356" customFormat="1" ht="15.75" customHeight="1">
      <c r="A71" s="883"/>
      <c r="B71" s="892"/>
      <c r="C71" s="898"/>
      <c r="D71" s="918"/>
      <c r="E71" s="883"/>
      <c r="F71" s="904"/>
      <c r="G71" s="892"/>
      <c r="H71" s="355">
        <v>0</v>
      </c>
      <c r="I71" s="355">
        <v>0</v>
      </c>
      <c r="J71" s="889"/>
      <c r="K71" s="889"/>
      <c r="L71" s="886"/>
      <c r="M71" s="886"/>
      <c r="N71" s="889"/>
      <c r="O71" s="889"/>
      <c r="P71" s="886"/>
      <c r="Q71" s="886"/>
      <c r="R71" s="889"/>
      <c r="S71" s="886"/>
      <c r="T71" s="886"/>
      <c r="U71" s="889"/>
      <c r="V71" s="886"/>
      <c r="W71" s="886"/>
    </row>
    <row r="72" spans="1:23" s="356" customFormat="1" ht="15.75" customHeight="1">
      <c r="A72" s="883">
        <v>12</v>
      </c>
      <c r="B72" s="890" t="s">
        <v>714</v>
      </c>
      <c r="C72" s="896" t="s">
        <v>709</v>
      </c>
      <c r="D72" s="916" t="s">
        <v>717</v>
      </c>
      <c r="E72" s="883" t="s">
        <v>686</v>
      </c>
      <c r="F72" s="902" t="s">
        <v>716</v>
      </c>
      <c r="G72" s="890" t="s">
        <v>718</v>
      </c>
      <c r="H72" s="355">
        <f>H73+H74+H75+H76</f>
        <v>2098415</v>
      </c>
      <c r="I72" s="355">
        <f>I73+I74+I75+I76</f>
        <v>215634</v>
      </c>
      <c r="J72" s="887">
        <f>K72+N72</f>
        <v>1126265</v>
      </c>
      <c r="K72" s="887">
        <f>L72+M72</f>
        <v>0</v>
      </c>
      <c r="L72" s="884">
        <v>0</v>
      </c>
      <c r="M72" s="884">
        <v>0</v>
      </c>
      <c r="N72" s="887">
        <f>O72+R72+U72</f>
        <v>1126265</v>
      </c>
      <c r="O72" s="887">
        <f>P72+Q72</f>
        <v>0</v>
      </c>
      <c r="P72" s="884">
        <v>0</v>
      </c>
      <c r="Q72" s="884">
        <v>0</v>
      </c>
      <c r="R72" s="887">
        <f>S72+T72</f>
        <v>1126265</v>
      </c>
      <c r="S72" s="884">
        <v>0</v>
      </c>
      <c r="T72" s="884">
        <v>1126265</v>
      </c>
      <c r="U72" s="887">
        <f>V72+W72</f>
        <v>0</v>
      </c>
      <c r="V72" s="884">
        <v>0</v>
      </c>
      <c r="W72" s="884">
        <v>0</v>
      </c>
    </row>
    <row r="73" spans="1:23" s="356" customFormat="1" ht="15.75" customHeight="1">
      <c r="A73" s="883"/>
      <c r="B73" s="891"/>
      <c r="C73" s="897"/>
      <c r="D73" s="917"/>
      <c r="E73" s="883"/>
      <c r="F73" s="903"/>
      <c r="G73" s="891"/>
      <c r="H73" s="355">
        <v>0</v>
      </c>
      <c r="I73" s="355">
        <v>0</v>
      </c>
      <c r="J73" s="888"/>
      <c r="K73" s="888"/>
      <c r="L73" s="885"/>
      <c r="M73" s="885"/>
      <c r="N73" s="888"/>
      <c r="O73" s="888"/>
      <c r="P73" s="885"/>
      <c r="Q73" s="885"/>
      <c r="R73" s="888"/>
      <c r="S73" s="885"/>
      <c r="T73" s="885"/>
      <c r="U73" s="888"/>
      <c r="V73" s="885"/>
      <c r="W73" s="885"/>
    </row>
    <row r="74" spans="1:23" s="356" customFormat="1" ht="15.75" customHeight="1">
      <c r="A74" s="883"/>
      <c r="B74" s="891"/>
      <c r="C74" s="897"/>
      <c r="D74" s="917"/>
      <c r="E74" s="883"/>
      <c r="F74" s="903"/>
      <c r="G74" s="891"/>
      <c r="H74" s="355">
        <v>0</v>
      </c>
      <c r="I74" s="355">
        <v>0</v>
      </c>
      <c r="J74" s="888"/>
      <c r="K74" s="888"/>
      <c r="L74" s="885"/>
      <c r="M74" s="885"/>
      <c r="N74" s="888"/>
      <c r="O74" s="888"/>
      <c r="P74" s="885"/>
      <c r="Q74" s="885"/>
      <c r="R74" s="888"/>
      <c r="S74" s="885"/>
      <c r="T74" s="885"/>
      <c r="U74" s="888"/>
      <c r="V74" s="885"/>
      <c r="W74" s="885"/>
    </row>
    <row r="75" spans="1:23" s="356" customFormat="1" ht="15.75" customHeight="1">
      <c r="A75" s="883"/>
      <c r="B75" s="891"/>
      <c r="C75" s="897"/>
      <c r="D75" s="917"/>
      <c r="E75" s="883"/>
      <c r="F75" s="903"/>
      <c r="G75" s="891"/>
      <c r="H75" s="355">
        <v>2098415</v>
      </c>
      <c r="I75" s="355">
        <v>215634</v>
      </c>
      <c r="J75" s="888"/>
      <c r="K75" s="888"/>
      <c r="L75" s="885"/>
      <c r="M75" s="885"/>
      <c r="N75" s="888"/>
      <c r="O75" s="888"/>
      <c r="P75" s="885"/>
      <c r="Q75" s="885"/>
      <c r="R75" s="888"/>
      <c r="S75" s="885"/>
      <c r="T75" s="885"/>
      <c r="U75" s="888"/>
      <c r="V75" s="885"/>
      <c r="W75" s="885"/>
    </row>
    <row r="76" spans="1:23" s="356" customFormat="1" ht="15.75" customHeight="1">
      <c r="A76" s="883"/>
      <c r="B76" s="892"/>
      <c r="C76" s="898"/>
      <c r="D76" s="918"/>
      <c r="E76" s="883"/>
      <c r="F76" s="904"/>
      <c r="G76" s="892"/>
      <c r="H76" s="355">
        <v>0</v>
      </c>
      <c r="I76" s="355">
        <v>0</v>
      </c>
      <c r="J76" s="889"/>
      <c r="K76" s="889"/>
      <c r="L76" s="886"/>
      <c r="M76" s="886"/>
      <c r="N76" s="889"/>
      <c r="O76" s="889"/>
      <c r="P76" s="886"/>
      <c r="Q76" s="886"/>
      <c r="R76" s="889"/>
      <c r="S76" s="886"/>
      <c r="T76" s="886"/>
      <c r="U76" s="889"/>
      <c r="V76" s="886"/>
      <c r="W76" s="886"/>
    </row>
    <row r="77" spans="1:23" s="356" customFormat="1" ht="18" customHeight="1">
      <c r="A77" s="883">
        <v>13</v>
      </c>
      <c r="B77" s="890" t="s">
        <v>714</v>
      </c>
      <c r="C77" s="896" t="s">
        <v>709</v>
      </c>
      <c r="D77" s="916" t="s">
        <v>719</v>
      </c>
      <c r="E77" s="883" t="s">
        <v>711</v>
      </c>
      <c r="F77" s="902" t="s">
        <v>716</v>
      </c>
      <c r="G77" s="890" t="s">
        <v>701</v>
      </c>
      <c r="H77" s="355">
        <f>H78+H79+H80+H81</f>
        <v>10406058</v>
      </c>
      <c r="I77" s="355">
        <f>I78+I79+I80+I81</f>
        <v>764772</v>
      </c>
      <c r="J77" s="887">
        <f>K77+N77</f>
        <v>6532240</v>
      </c>
      <c r="K77" s="887">
        <f>L77+M77</f>
        <v>1985376</v>
      </c>
      <c r="L77" s="884">
        <v>66015</v>
      </c>
      <c r="M77" s="884">
        <v>1919361</v>
      </c>
      <c r="N77" s="887">
        <f>O77+R77+U77</f>
        <v>4546864</v>
      </c>
      <c r="O77" s="887">
        <f>P77+Q77</f>
        <v>0</v>
      </c>
      <c r="P77" s="884">
        <v>0</v>
      </c>
      <c r="Q77" s="884">
        <v>0</v>
      </c>
      <c r="R77" s="887">
        <f>S77+T77</f>
        <v>1023629</v>
      </c>
      <c r="S77" s="884">
        <v>91093</v>
      </c>
      <c r="T77" s="884">
        <v>932536</v>
      </c>
      <c r="U77" s="887">
        <f>V77+W77</f>
        <v>3523235</v>
      </c>
      <c r="V77" s="884">
        <v>0</v>
      </c>
      <c r="W77" s="884">
        <v>3523235</v>
      </c>
    </row>
    <row r="78" spans="1:23" s="356" customFormat="1" ht="18" customHeight="1">
      <c r="A78" s="883"/>
      <c r="B78" s="891"/>
      <c r="C78" s="897"/>
      <c r="D78" s="917"/>
      <c r="E78" s="883"/>
      <c r="F78" s="903"/>
      <c r="G78" s="891"/>
      <c r="H78" s="355">
        <v>3798257</v>
      </c>
      <c r="I78" s="355">
        <v>321349</v>
      </c>
      <c r="J78" s="888"/>
      <c r="K78" s="888"/>
      <c r="L78" s="885"/>
      <c r="M78" s="885"/>
      <c r="N78" s="888"/>
      <c r="O78" s="888"/>
      <c r="P78" s="885"/>
      <c r="Q78" s="885"/>
      <c r="R78" s="888"/>
      <c r="S78" s="885"/>
      <c r="T78" s="885"/>
      <c r="U78" s="888"/>
      <c r="V78" s="885"/>
      <c r="W78" s="885"/>
    </row>
    <row r="79" spans="1:23" s="356" customFormat="1" ht="18" customHeight="1">
      <c r="A79" s="883"/>
      <c r="B79" s="891"/>
      <c r="C79" s="897"/>
      <c r="D79" s="917"/>
      <c r="E79" s="883"/>
      <c r="F79" s="903"/>
      <c r="G79" s="891"/>
      <c r="H79" s="355">
        <v>0</v>
      </c>
      <c r="I79" s="355">
        <v>0</v>
      </c>
      <c r="J79" s="888"/>
      <c r="K79" s="888"/>
      <c r="L79" s="885"/>
      <c r="M79" s="885"/>
      <c r="N79" s="888"/>
      <c r="O79" s="888"/>
      <c r="P79" s="885"/>
      <c r="Q79" s="885"/>
      <c r="R79" s="888"/>
      <c r="S79" s="885"/>
      <c r="T79" s="885"/>
      <c r="U79" s="888"/>
      <c r="V79" s="885"/>
      <c r="W79" s="885"/>
    </row>
    <row r="80" spans="1:23" s="356" customFormat="1" ht="18" customHeight="1">
      <c r="A80" s="883"/>
      <c r="B80" s="891"/>
      <c r="C80" s="897"/>
      <c r="D80" s="917"/>
      <c r="E80" s="883"/>
      <c r="F80" s="903"/>
      <c r="G80" s="891"/>
      <c r="H80" s="355">
        <v>2532389</v>
      </c>
      <c r="I80" s="355">
        <v>204055</v>
      </c>
      <c r="J80" s="888"/>
      <c r="K80" s="888"/>
      <c r="L80" s="885"/>
      <c r="M80" s="885"/>
      <c r="N80" s="888"/>
      <c r="O80" s="888"/>
      <c r="P80" s="885"/>
      <c r="Q80" s="885"/>
      <c r="R80" s="888"/>
      <c r="S80" s="885"/>
      <c r="T80" s="885"/>
      <c r="U80" s="888"/>
      <c r="V80" s="885"/>
      <c r="W80" s="885"/>
    </row>
    <row r="81" spans="1:23" s="356" customFormat="1" ht="18" customHeight="1">
      <c r="A81" s="883"/>
      <c r="B81" s="892"/>
      <c r="C81" s="898"/>
      <c r="D81" s="918"/>
      <c r="E81" s="883"/>
      <c r="F81" s="904"/>
      <c r="G81" s="892"/>
      <c r="H81" s="355">
        <v>4075412</v>
      </c>
      <c r="I81" s="355">
        <v>239368</v>
      </c>
      <c r="J81" s="889"/>
      <c r="K81" s="889"/>
      <c r="L81" s="886"/>
      <c r="M81" s="886"/>
      <c r="N81" s="889"/>
      <c r="O81" s="889"/>
      <c r="P81" s="886"/>
      <c r="Q81" s="886"/>
      <c r="R81" s="889"/>
      <c r="S81" s="886"/>
      <c r="T81" s="886"/>
      <c r="U81" s="889"/>
      <c r="V81" s="886"/>
      <c r="W81" s="886"/>
    </row>
    <row r="82" spans="1:23" s="356" customFormat="1" ht="15.75" customHeight="1">
      <c r="A82" s="883">
        <v>14</v>
      </c>
      <c r="B82" s="890" t="s">
        <v>714</v>
      </c>
      <c r="C82" s="896" t="s">
        <v>709</v>
      </c>
      <c r="D82" s="916" t="s">
        <v>720</v>
      </c>
      <c r="E82" s="883" t="s">
        <v>711</v>
      </c>
      <c r="F82" s="902" t="s">
        <v>716</v>
      </c>
      <c r="G82" s="890" t="s">
        <v>701</v>
      </c>
      <c r="H82" s="355">
        <f>H83+H84+H85+H86</f>
        <v>6216006</v>
      </c>
      <c r="I82" s="355">
        <f>I83+I84+I85+I86</f>
        <v>447880</v>
      </c>
      <c r="J82" s="887">
        <f>K82+N82</f>
        <v>4333520</v>
      </c>
      <c r="K82" s="887">
        <f>L82+M82</f>
        <v>1019711</v>
      </c>
      <c r="L82" s="884">
        <v>31105</v>
      </c>
      <c r="M82" s="884">
        <v>988606</v>
      </c>
      <c r="N82" s="887">
        <f>O82+R82+U82</f>
        <v>3313809</v>
      </c>
      <c r="O82" s="887">
        <f>P82+Q82</f>
        <v>0</v>
      </c>
      <c r="P82" s="884">
        <v>0</v>
      </c>
      <c r="Q82" s="884">
        <v>0</v>
      </c>
      <c r="R82" s="887">
        <f>S82+T82</f>
        <v>917934</v>
      </c>
      <c r="S82" s="884">
        <v>78466</v>
      </c>
      <c r="T82" s="884">
        <v>839468</v>
      </c>
      <c r="U82" s="887">
        <f>V82+W82</f>
        <v>2395875</v>
      </c>
      <c r="V82" s="884">
        <v>0</v>
      </c>
      <c r="W82" s="884">
        <v>2395875</v>
      </c>
    </row>
    <row r="83" spans="1:23" s="356" customFormat="1" ht="15.75" customHeight="1">
      <c r="A83" s="883"/>
      <c r="B83" s="891"/>
      <c r="C83" s="897"/>
      <c r="D83" s="917"/>
      <c r="E83" s="883"/>
      <c r="F83" s="903"/>
      <c r="G83" s="891"/>
      <c r="H83" s="355">
        <v>1939207</v>
      </c>
      <c r="I83" s="355">
        <v>127143</v>
      </c>
      <c r="J83" s="888"/>
      <c r="K83" s="888"/>
      <c r="L83" s="885"/>
      <c r="M83" s="885"/>
      <c r="N83" s="888"/>
      <c r="O83" s="888"/>
      <c r="P83" s="885"/>
      <c r="Q83" s="885"/>
      <c r="R83" s="888"/>
      <c r="S83" s="885"/>
      <c r="T83" s="885"/>
      <c r="U83" s="888"/>
      <c r="V83" s="885"/>
      <c r="W83" s="885"/>
    </row>
    <row r="84" spans="1:23" s="356" customFormat="1" ht="15.75" customHeight="1">
      <c r="A84" s="883"/>
      <c r="B84" s="891"/>
      <c r="C84" s="897"/>
      <c r="D84" s="917"/>
      <c r="E84" s="883"/>
      <c r="F84" s="903"/>
      <c r="G84" s="891"/>
      <c r="H84" s="355">
        <v>0</v>
      </c>
      <c r="I84" s="355">
        <v>0</v>
      </c>
      <c r="J84" s="888"/>
      <c r="K84" s="888"/>
      <c r="L84" s="885"/>
      <c r="M84" s="885"/>
      <c r="N84" s="888"/>
      <c r="O84" s="888"/>
      <c r="P84" s="885"/>
      <c r="Q84" s="885"/>
      <c r="R84" s="888"/>
      <c r="S84" s="885"/>
      <c r="T84" s="885"/>
      <c r="U84" s="888"/>
      <c r="V84" s="885"/>
      <c r="W84" s="885"/>
    </row>
    <row r="85" spans="1:23" s="356" customFormat="1" ht="15.75" customHeight="1">
      <c r="A85" s="883"/>
      <c r="B85" s="891"/>
      <c r="C85" s="897"/>
      <c r="D85" s="917"/>
      <c r="E85" s="883"/>
      <c r="F85" s="903"/>
      <c r="G85" s="891"/>
      <c r="H85" s="355">
        <v>1710720</v>
      </c>
      <c r="I85" s="355">
        <v>150533</v>
      </c>
      <c r="J85" s="888"/>
      <c r="K85" s="888"/>
      <c r="L85" s="885"/>
      <c r="M85" s="885"/>
      <c r="N85" s="888"/>
      <c r="O85" s="888"/>
      <c r="P85" s="885"/>
      <c r="Q85" s="885"/>
      <c r="R85" s="888"/>
      <c r="S85" s="885"/>
      <c r="T85" s="885"/>
      <c r="U85" s="888"/>
      <c r="V85" s="885"/>
      <c r="W85" s="885"/>
    </row>
    <row r="86" spans="1:23" s="356" customFormat="1" ht="15.75" customHeight="1">
      <c r="A86" s="883"/>
      <c r="B86" s="892"/>
      <c r="C86" s="898"/>
      <c r="D86" s="918"/>
      <c r="E86" s="883"/>
      <c r="F86" s="904"/>
      <c r="G86" s="892"/>
      <c r="H86" s="355">
        <v>2566079</v>
      </c>
      <c r="I86" s="355">
        <v>170204</v>
      </c>
      <c r="J86" s="889"/>
      <c r="K86" s="889"/>
      <c r="L86" s="886"/>
      <c r="M86" s="886"/>
      <c r="N86" s="889"/>
      <c r="O86" s="889"/>
      <c r="P86" s="886"/>
      <c r="Q86" s="886"/>
      <c r="R86" s="889"/>
      <c r="S86" s="886"/>
      <c r="T86" s="886"/>
      <c r="U86" s="889"/>
      <c r="V86" s="886"/>
      <c r="W86" s="886"/>
    </row>
    <row r="87" spans="1:23" s="356" customFormat="1" ht="15.75" customHeight="1">
      <c r="A87" s="883">
        <v>15</v>
      </c>
      <c r="B87" s="890" t="s">
        <v>714</v>
      </c>
      <c r="C87" s="896" t="s">
        <v>709</v>
      </c>
      <c r="D87" s="916" t="s">
        <v>721</v>
      </c>
      <c r="E87" s="883" t="s">
        <v>711</v>
      </c>
      <c r="F87" s="902" t="s">
        <v>716</v>
      </c>
      <c r="G87" s="890" t="s">
        <v>701</v>
      </c>
      <c r="H87" s="355">
        <f>H88+H89+H90+H91</f>
        <v>6077984</v>
      </c>
      <c r="I87" s="355">
        <f>I88+I89+I90+I91</f>
        <v>450675</v>
      </c>
      <c r="J87" s="887">
        <f>K87+N87</f>
        <v>4261394</v>
      </c>
      <c r="K87" s="887">
        <f>L87+M87</f>
        <v>1135057</v>
      </c>
      <c r="L87" s="884">
        <v>31554</v>
      </c>
      <c r="M87" s="884">
        <v>1103503</v>
      </c>
      <c r="N87" s="887">
        <f>O87+R87+U87</f>
        <v>3126337</v>
      </c>
      <c r="O87" s="887">
        <f>P87+Q87</f>
        <v>0</v>
      </c>
      <c r="P87" s="884">
        <v>0</v>
      </c>
      <c r="Q87" s="884">
        <v>0</v>
      </c>
      <c r="R87" s="887">
        <f>S87+T87</f>
        <v>942424</v>
      </c>
      <c r="S87" s="884">
        <v>78969</v>
      </c>
      <c r="T87" s="884">
        <v>863455</v>
      </c>
      <c r="U87" s="887">
        <f>V87+W87</f>
        <v>2183913</v>
      </c>
      <c r="V87" s="884">
        <v>0</v>
      </c>
      <c r="W87" s="884">
        <v>2183913</v>
      </c>
    </row>
    <row r="88" spans="1:23" s="356" customFormat="1" ht="15.75" customHeight="1">
      <c r="A88" s="883"/>
      <c r="B88" s="891"/>
      <c r="C88" s="897"/>
      <c r="D88" s="917"/>
      <c r="E88" s="883"/>
      <c r="F88" s="903"/>
      <c r="G88" s="891"/>
      <c r="H88" s="355">
        <v>1908240</v>
      </c>
      <c r="I88" s="355">
        <v>128668</v>
      </c>
      <c r="J88" s="888"/>
      <c r="K88" s="888"/>
      <c r="L88" s="885"/>
      <c r="M88" s="885"/>
      <c r="N88" s="888"/>
      <c r="O88" s="888"/>
      <c r="P88" s="885"/>
      <c r="Q88" s="885"/>
      <c r="R88" s="888"/>
      <c r="S88" s="885"/>
      <c r="T88" s="885"/>
      <c r="U88" s="888"/>
      <c r="V88" s="885"/>
      <c r="W88" s="885"/>
    </row>
    <row r="89" spans="1:23" s="356" customFormat="1" ht="15.75" customHeight="1">
      <c r="A89" s="883"/>
      <c r="B89" s="891"/>
      <c r="C89" s="897"/>
      <c r="D89" s="917"/>
      <c r="E89" s="883"/>
      <c r="F89" s="903"/>
      <c r="G89" s="891"/>
      <c r="H89" s="355">
        <v>0</v>
      </c>
      <c r="I89" s="355">
        <v>0</v>
      </c>
      <c r="J89" s="888"/>
      <c r="K89" s="888"/>
      <c r="L89" s="885"/>
      <c r="M89" s="885"/>
      <c r="N89" s="888"/>
      <c r="O89" s="888"/>
      <c r="P89" s="885"/>
      <c r="Q89" s="885"/>
      <c r="R89" s="888"/>
      <c r="S89" s="885"/>
      <c r="T89" s="885"/>
      <c r="U89" s="888"/>
      <c r="V89" s="885"/>
      <c r="W89" s="885"/>
    </row>
    <row r="90" spans="1:23" s="356" customFormat="1" ht="15.75" customHeight="1">
      <c r="A90" s="883"/>
      <c r="B90" s="891"/>
      <c r="C90" s="897"/>
      <c r="D90" s="917"/>
      <c r="E90" s="883"/>
      <c r="F90" s="903"/>
      <c r="G90" s="891"/>
      <c r="H90" s="355">
        <v>1667898</v>
      </c>
      <c r="I90" s="355">
        <v>150974</v>
      </c>
      <c r="J90" s="888"/>
      <c r="K90" s="888"/>
      <c r="L90" s="885"/>
      <c r="M90" s="885"/>
      <c r="N90" s="888"/>
      <c r="O90" s="888"/>
      <c r="P90" s="885"/>
      <c r="Q90" s="885"/>
      <c r="R90" s="888"/>
      <c r="S90" s="885"/>
      <c r="T90" s="885"/>
      <c r="U90" s="888"/>
      <c r="V90" s="885"/>
      <c r="W90" s="885"/>
    </row>
    <row r="91" spans="1:23" s="356" customFormat="1" ht="15.75" customHeight="1">
      <c r="A91" s="883"/>
      <c r="B91" s="892"/>
      <c r="C91" s="898"/>
      <c r="D91" s="918"/>
      <c r="E91" s="883"/>
      <c r="F91" s="904"/>
      <c r="G91" s="892"/>
      <c r="H91" s="355">
        <v>2501846</v>
      </c>
      <c r="I91" s="355">
        <v>171033</v>
      </c>
      <c r="J91" s="889"/>
      <c r="K91" s="889"/>
      <c r="L91" s="886"/>
      <c r="M91" s="886"/>
      <c r="N91" s="889"/>
      <c r="O91" s="889"/>
      <c r="P91" s="886"/>
      <c r="Q91" s="886"/>
      <c r="R91" s="889"/>
      <c r="S91" s="886"/>
      <c r="T91" s="886"/>
      <c r="U91" s="889"/>
      <c r="V91" s="886"/>
      <c r="W91" s="886"/>
    </row>
    <row r="92" spans="1:23" s="356" customFormat="1" ht="14.25" customHeight="1">
      <c r="A92" s="883">
        <v>16</v>
      </c>
      <c r="B92" s="879" t="s">
        <v>623</v>
      </c>
      <c r="C92" s="881" t="s">
        <v>722</v>
      </c>
      <c r="D92" s="919" t="s">
        <v>723</v>
      </c>
      <c r="E92" s="883" t="s">
        <v>686</v>
      </c>
      <c r="F92" s="883" t="s">
        <v>724</v>
      </c>
      <c r="G92" s="879" t="s">
        <v>725</v>
      </c>
      <c r="H92" s="355">
        <f>H93+H94+H95+H96</f>
        <v>21216000</v>
      </c>
      <c r="I92" s="355">
        <f>I93+I94+I95+I96</f>
        <v>250000</v>
      </c>
      <c r="J92" s="878">
        <f>K92+N92</f>
        <v>13124114</v>
      </c>
      <c r="K92" s="878">
        <f>L92+M92</f>
        <v>13124114</v>
      </c>
      <c r="L92" s="876">
        <v>3266221</v>
      </c>
      <c r="M92" s="876">
        <v>9857893</v>
      </c>
      <c r="N92" s="878">
        <f>O92+R92+U92</f>
        <v>0</v>
      </c>
      <c r="O92" s="878">
        <f>P92+Q92</f>
        <v>0</v>
      </c>
      <c r="P92" s="876">
        <v>0</v>
      </c>
      <c r="Q92" s="876">
        <v>0</v>
      </c>
      <c r="R92" s="878">
        <f>S92+T92</f>
        <v>0</v>
      </c>
      <c r="S92" s="876">
        <v>0</v>
      </c>
      <c r="T92" s="876">
        <v>0</v>
      </c>
      <c r="U92" s="878">
        <f>V92+W92</f>
        <v>0</v>
      </c>
      <c r="V92" s="876">
        <v>0</v>
      </c>
      <c r="W92" s="876">
        <v>0</v>
      </c>
    </row>
    <row r="93" spans="1:23" s="356" customFormat="1" ht="14.25" customHeight="1">
      <c r="A93" s="883"/>
      <c r="B93" s="879"/>
      <c r="C93" s="881"/>
      <c r="D93" s="919"/>
      <c r="E93" s="883"/>
      <c r="F93" s="883"/>
      <c r="G93" s="879"/>
      <c r="H93" s="355">
        <v>21216000</v>
      </c>
      <c r="I93" s="355">
        <v>250000</v>
      </c>
      <c r="J93" s="878"/>
      <c r="K93" s="878"/>
      <c r="L93" s="876"/>
      <c r="M93" s="876"/>
      <c r="N93" s="878"/>
      <c r="O93" s="878"/>
      <c r="P93" s="876"/>
      <c r="Q93" s="876"/>
      <c r="R93" s="878"/>
      <c r="S93" s="876"/>
      <c r="T93" s="876"/>
      <c r="U93" s="878"/>
      <c r="V93" s="876"/>
      <c r="W93" s="876"/>
    </row>
    <row r="94" spans="1:23" s="356" customFormat="1" ht="14.25" customHeight="1">
      <c r="A94" s="883"/>
      <c r="B94" s="879"/>
      <c r="C94" s="881"/>
      <c r="D94" s="919"/>
      <c r="E94" s="883"/>
      <c r="F94" s="883"/>
      <c r="G94" s="879"/>
      <c r="H94" s="355">
        <v>0</v>
      </c>
      <c r="I94" s="355">
        <v>0</v>
      </c>
      <c r="J94" s="878"/>
      <c r="K94" s="878"/>
      <c r="L94" s="876"/>
      <c r="M94" s="876"/>
      <c r="N94" s="878"/>
      <c r="O94" s="878"/>
      <c r="P94" s="876"/>
      <c r="Q94" s="876"/>
      <c r="R94" s="878"/>
      <c r="S94" s="876"/>
      <c r="T94" s="876"/>
      <c r="U94" s="878"/>
      <c r="V94" s="876"/>
      <c r="W94" s="876"/>
    </row>
    <row r="95" spans="1:23" s="356" customFormat="1" ht="14.25" customHeight="1">
      <c r="A95" s="883"/>
      <c r="B95" s="879"/>
      <c r="C95" s="881"/>
      <c r="D95" s="919"/>
      <c r="E95" s="883"/>
      <c r="F95" s="883"/>
      <c r="G95" s="879"/>
      <c r="H95" s="355">
        <v>0</v>
      </c>
      <c r="I95" s="355">
        <v>0</v>
      </c>
      <c r="J95" s="878"/>
      <c r="K95" s="878"/>
      <c r="L95" s="876"/>
      <c r="M95" s="876"/>
      <c r="N95" s="878"/>
      <c r="O95" s="878"/>
      <c r="P95" s="876"/>
      <c r="Q95" s="876"/>
      <c r="R95" s="878"/>
      <c r="S95" s="876"/>
      <c r="T95" s="876"/>
      <c r="U95" s="878"/>
      <c r="V95" s="876"/>
      <c r="W95" s="876"/>
    </row>
    <row r="96" spans="1:23" s="356" customFormat="1" ht="14.25" customHeight="1">
      <c r="A96" s="883"/>
      <c r="B96" s="879"/>
      <c r="C96" s="881"/>
      <c r="D96" s="919"/>
      <c r="E96" s="883"/>
      <c r="F96" s="883"/>
      <c r="G96" s="879"/>
      <c r="H96" s="355">
        <v>0</v>
      </c>
      <c r="I96" s="355">
        <v>0</v>
      </c>
      <c r="J96" s="878"/>
      <c r="K96" s="878"/>
      <c r="L96" s="876"/>
      <c r="M96" s="876"/>
      <c r="N96" s="878"/>
      <c r="O96" s="878"/>
      <c r="P96" s="876"/>
      <c r="Q96" s="876"/>
      <c r="R96" s="878"/>
      <c r="S96" s="876"/>
      <c r="T96" s="876"/>
      <c r="U96" s="878"/>
      <c r="V96" s="876"/>
      <c r="W96" s="876"/>
    </row>
    <row r="97" spans="1:23" s="356" customFormat="1" ht="14.25" customHeight="1">
      <c r="A97" s="883">
        <v>17</v>
      </c>
      <c r="B97" s="879" t="s">
        <v>726</v>
      </c>
      <c r="C97" s="881" t="s">
        <v>727</v>
      </c>
      <c r="D97" s="919" t="s">
        <v>728</v>
      </c>
      <c r="E97" s="883" t="s">
        <v>686</v>
      </c>
      <c r="F97" s="883" t="s">
        <v>729</v>
      </c>
      <c r="G97" s="879" t="s">
        <v>707</v>
      </c>
      <c r="H97" s="355">
        <f>H98+H99+H100+H101</f>
        <v>5589709</v>
      </c>
      <c r="I97" s="355">
        <f>I98+I99+I100+I101</f>
        <v>5214559</v>
      </c>
      <c r="J97" s="878">
        <f>K97+N97</f>
        <v>375150</v>
      </c>
      <c r="K97" s="878">
        <f>L97+M97</f>
        <v>318877</v>
      </c>
      <c r="L97" s="876">
        <v>318877</v>
      </c>
      <c r="M97" s="876">
        <v>0</v>
      </c>
      <c r="N97" s="878">
        <f>O97+R97+U97</f>
        <v>56273</v>
      </c>
      <c r="O97" s="878">
        <f>P97+Q97</f>
        <v>0</v>
      </c>
      <c r="P97" s="876">
        <v>0</v>
      </c>
      <c r="Q97" s="876">
        <v>0</v>
      </c>
      <c r="R97" s="878">
        <f>S97+T97</f>
        <v>56273</v>
      </c>
      <c r="S97" s="876">
        <v>56273</v>
      </c>
      <c r="T97" s="876">
        <v>0</v>
      </c>
      <c r="U97" s="878">
        <f>V97+W97</f>
        <v>0</v>
      </c>
      <c r="V97" s="876">
        <v>0</v>
      </c>
      <c r="W97" s="876">
        <v>0</v>
      </c>
    </row>
    <row r="98" spans="1:23" s="356" customFormat="1" ht="14.25" customHeight="1">
      <c r="A98" s="883"/>
      <c r="B98" s="879"/>
      <c r="C98" s="881"/>
      <c r="D98" s="919"/>
      <c r="E98" s="883"/>
      <c r="F98" s="883"/>
      <c r="G98" s="879"/>
      <c r="H98" s="355">
        <v>5518256</v>
      </c>
      <c r="I98" s="355">
        <v>5199379</v>
      </c>
      <c r="J98" s="878"/>
      <c r="K98" s="878"/>
      <c r="L98" s="876"/>
      <c r="M98" s="876"/>
      <c r="N98" s="878"/>
      <c r="O98" s="878"/>
      <c r="P98" s="876"/>
      <c r="Q98" s="876"/>
      <c r="R98" s="878"/>
      <c r="S98" s="876"/>
      <c r="T98" s="876"/>
      <c r="U98" s="878"/>
      <c r="V98" s="876"/>
      <c r="W98" s="876"/>
    </row>
    <row r="99" spans="1:23" s="356" customFormat="1" ht="14.25" customHeight="1">
      <c r="A99" s="883"/>
      <c r="B99" s="879"/>
      <c r="C99" s="881"/>
      <c r="D99" s="919"/>
      <c r="E99" s="883"/>
      <c r="F99" s="883"/>
      <c r="G99" s="879"/>
      <c r="H99" s="355">
        <v>0</v>
      </c>
      <c r="I99" s="355">
        <v>0</v>
      </c>
      <c r="J99" s="878"/>
      <c r="K99" s="878"/>
      <c r="L99" s="876"/>
      <c r="M99" s="876"/>
      <c r="N99" s="878"/>
      <c r="O99" s="878"/>
      <c r="P99" s="876"/>
      <c r="Q99" s="876"/>
      <c r="R99" s="878"/>
      <c r="S99" s="876"/>
      <c r="T99" s="876"/>
      <c r="U99" s="878"/>
      <c r="V99" s="876"/>
      <c r="W99" s="876"/>
    </row>
    <row r="100" spans="1:23" s="356" customFormat="1" ht="14.25" customHeight="1">
      <c r="A100" s="883"/>
      <c r="B100" s="879"/>
      <c r="C100" s="881"/>
      <c r="D100" s="919"/>
      <c r="E100" s="883"/>
      <c r="F100" s="883"/>
      <c r="G100" s="879"/>
      <c r="H100" s="355">
        <v>71453</v>
      </c>
      <c r="I100" s="355">
        <v>15180</v>
      </c>
      <c r="J100" s="878"/>
      <c r="K100" s="878"/>
      <c r="L100" s="876"/>
      <c r="M100" s="876"/>
      <c r="N100" s="878"/>
      <c r="O100" s="878"/>
      <c r="P100" s="876"/>
      <c r="Q100" s="876"/>
      <c r="R100" s="878"/>
      <c r="S100" s="876"/>
      <c r="T100" s="876"/>
      <c r="U100" s="878"/>
      <c r="V100" s="876"/>
      <c r="W100" s="876"/>
    </row>
    <row r="101" spans="1:23" s="356" customFormat="1" ht="14.25" customHeight="1">
      <c r="A101" s="883"/>
      <c r="B101" s="879"/>
      <c r="C101" s="881"/>
      <c r="D101" s="919"/>
      <c r="E101" s="883"/>
      <c r="F101" s="883"/>
      <c r="G101" s="879"/>
      <c r="H101" s="355">
        <v>0</v>
      </c>
      <c r="I101" s="355">
        <v>0</v>
      </c>
      <c r="J101" s="878"/>
      <c r="K101" s="878"/>
      <c r="L101" s="876"/>
      <c r="M101" s="876"/>
      <c r="N101" s="878"/>
      <c r="O101" s="878"/>
      <c r="P101" s="876"/>
      <c r="Q101" s="876"/>
      <c r="R101" s="878"/>
      <c r="S101" s="876"/>
      <c r="T101" s="876"/>
      <c r="U101" s="878"/>
      <c r="V101" s="876"/>
      <c r="W101" s="876"/>
    </row>
    <row r="102" spans="1:23" s="356" customFormat="1" ht="14.25" customHeight="1">
      <c r="A102" s="883">
        <v>18</v>
      </c>
      <c r="B102" s="879" t="s">
        <v>726</v>
      </c>
      <c r="C102" s="881" t="s">
        <v>730</v>
      </c>
      <c r="D102" s="919" t="s">
        <v>731</v>
      </c>
      <c r="E102" s="883" t="s">
        <v>686</v>
      </c>
      <c r="F102" s="883" t="s">
        <v>732</v>
      </c>
      <c r="G102" s="879" t="s">
        <v>707</v>
      </c>
      <c r="H102" s="355">
        <f>H103+H104+H105+H106</f>
        <v>19510318</v>
      </c>
      <c r="I102" s="355">
        <f>I103+I104+I105+I106</f>
        <v>16510318</v>
      </c>
      <c r="J102" s="878">
        <f>K102+N102</f>
        <v>3000000</v>
      </c>
      <c r="K102" s="878">
        <f>L102+M102</f>
        <v>2957143</v>
      </c>
      <c r="L102" s="876">
        <v>2957143</v>
      </c>
      <c r="M102" s="876">
        <v>0</v>
      </c>
      <c r="N102" s="878">
        <f>O102+R102+U102</f>
        <v>42857</v>
      </c>
      <c r="O102" s="878">
        <f>P102+Q102</f>
        <v>0</v>
      </c>
      <c r="P102" s="876">
        <v>0</v>
      </c>
      <c r="Q102" s="876">
        <v>0</v>
      </c>
      <c r="R102" s="878">
        <f>S102+T102</f>
        <v>42857</v>
      </c>
      <c r="S102" s="876">
        <v>42857</v>
      </c>
      <c r="T102" s="876">
        <v>0</v>
      </c>
      <c r="U102" s="878">
        <f>V102+W102</f>
        <v>0</v>
      </c>
      <c r="V102" s="876">
        <v>0</v>
      </c>
      <c r="W102" s="876">
        <v>0</v>
      </c>
    </row>
    <row r="103" spans="1:23" s="356" customFormat="1" ht="14.25" customHeight="1">
      <c r="A103" s="883"/>
      <c r="B103" s="879"/>
      <c r="C103" s="881"/>
      <c r="D103" s="919"/>
      <c r="E103" s="883"/>
      <c r="F103" s="883"/>
      <c r="G103" s="879"/>
      <c r="H103" s="355">
        <v>19112223</v>
      </c>
      <c r="I103" s="355">
        <v>16155080</v>
      </c>
      <c r="J103" s="878"/>
      <c r="K103" s="878"/>
      <c r="L103" s="876"/>
      <c r="M103" s="876"/>
      <c r="N103" s="878"/>
      <c r="O103" s="878"/>
      <c r="P103" s="876"/>
      <c r="Q103" s="876"/>
      <c r="R103" s="878"/>
      <c r="S103" s="876"/>
      <c r="T103" s="876"/>
      <c r="U103" s="878"/>
      <c r="V103" s="876"/>
      <c r="W103" s="876"/>
    </row>
    <row r="104" spans="1:23" s="356" customFormat="1" ht="14.25" customHeight="1">
      <c r="A104" s="883"/>
      <c r="B104" s="879"/>
      <c r="C104" s="881"/>
      <c r="D104" s="919"/>
      <c r="E104" s="883"/>
      <c r="F104" s="883"/>
      <c r="G104" s="879"/>
      <c r="H104" s="355">
        <v>0</v>
      </c>
      <c r="I104" s="355">
        <v>0</v>
      </c>
      <c r="J104" s="878"/>
      <c r="K104" s="878"/>
      <c r="L104" s="876"/>
      <c r="M104" s="876"/>
      <c r="N104" s="878"/>
      <c r="O104" s="878"/>
      <c r="P104" s="876"/>
      <c r="Q104" s="876"/>
      <c r="R104" s="878"/>
      <c r="S104" s="876"/>
      <c r="T104" s="876"/>
      <c r="U104" s="878"/>
      <c r="V104" s="876"/>
      <c r="W104" s="876"/>
    </row>
    <row r="105" spans="1:23" s="356" customFormat="1" ht="14.25" customHeight="1">
      <c r="A105" s="883"/>
      <c r="B105" s="879"/>
      <c r="C105" s="881"/>
      <c r="D105" s="919"/>
      <c r="E105" s="883"/>
      <c r="F105" s="883"/>
      <c r="G105" s="879"/>
      <c r="H105" s="355">
        <v>398095</v>
      </c>
      <c r="I105" s="355">
        <v>355238</v>
      </c>
      <c r="J105" s="878"/>
      <c r="K105" s="878"/>
      <c r="L105" s="876"/>
      <c r="M105" s="876"/>
      <c r="N105" s="878"/>
      <c r="O105" s="878"/>
      <c r="P105" s="876"/>
      <c r="Q105" s="876"/>
      <c r="R105" s="878"/>
      <c r="S105" s="876"/>
      <c r="T105" s="876"/>
      <c r="U105" s="878"/>
      <c r="V105" s="876"/>
      <c r="W105" s="876"/>
    </row>
    <row r="106" spans="1:23" s="356" customFormat="1" ht="14.25" customHeight="1">
      <c r="A106" s="883"/>
      <c r="B106" s="879"/>
      <c r="C106" s="881"/>
      <c r="D106" s="919"/>
      <c r="E106" s="883"/>
      <c r="F106" s="883"/>
      <c r="G106" s="879"/>
      <c r="H106" s="355">
        <v>0</v>
      </c>
      <c r="I106" s="355">
        <v>0</v>
      </c>
      <c r="J106" s="878"/>
      <c r="K106" s="878"/>
      <c r="L106" s="876"/>
      <c r="M106" s="876"/>
      <c r="N106" s="878"/>
      <c r="O106" s="878"/>
      <c r="P106" s="876"/>
      <c r="Q106" s="876"/>
      <c r="R106" s="878"/>
      <c r="S106" s="876"/>
      <c r="T106" s="876"/>
      <c r="U106" s="878"/>
      <c r="V106" s="876"/>
      <c r="W106" s="876"/>
    </row>
    <row r="107" spans="1:23" s="356" customFormat="1" ht="14.25" customHeight="1">
      <c r="A107" s="883">
        <v>19</v>
      </c>
      <c r="B107" s="879" t="s">
        <v>733</v>
      </c>
      <c r="C107" s="881" t="s">
        <v>734</v>
      </c>
      <c r="D107" s="919" t="s">
        <v>735</v>
      </c>
      <c r="E107" s="883" t="s">
        <v>736</v>
      </c>
      <c r="F107" s="883" t="s">
        <v>737</v>
      </c>
      <c r="G107" s="879" t="s">
        <v>713</v>
      </c>
      <c r="H107" s="355">
        <f>H108+H109+H110+H111</f>
        <v>1392787</v>
      </c>
      <c r="I107" s="355">
        <f>I108+I109+I110+I111</f>
        <v>1320880</v>
      </c>
      <c r="J107" s="878">
        <f>K107+N107</f>
        <v>71907</v>
      </c>
      <c r="K107" s="878">
        <f>L107+M107</f>
        <v>32190</v>
      </c>
      <c r="L107" s="876">
        <v>32190</v>
      </c>
      <c r="M107" s="876">
        <v>0</v>
      </c>
      <c r="N107" s="878">
        <f>O107+R107+U107</f>
        <v>39717</v>
      </c>
      <c r="O107" s="878">
        <f>P107+Q107</f>
        <v>0</v>
      </c>
      <c r="P107" s="876">
        <v>0</v>
      </c>
      <c r="Q107" s="876">
        <v>0</v>
      </c>
      <c r="R107" s="878">
        <f>S107+T107</f>
        <v>39717</v>
      </c>
      <c r="S107" s="876">
        <v>39717</v>
      </c>
      <c r="T107" s="876">
        <v>0</v>
      </c>
      <c r="U107" s="878">
        <f>V107+W107</f>
        <v>0</v>
      </c>
      <c r="V107" s="876">
        <v>0</v>
      </c>
      <c r="W107" s="876">
        <v>0</v>
      </c>
    </row>
    <row r="108" spans="1:23" s="356" customFormat="1" ht="14.25" customHeight="1">
      <c r="A108" s="883"/>
      <c r="B108" s="879"/>
      <c r="C108" s="881"/>
      <c r="D108" s="919"/>
      <c r="E108" s="883"/>
      <c r="F108" s="883"/>
      <c r="G108" s="879"/>
      <c r="H108" s="355">
        <v>621967</v>
      </c>
      <c r="I108" s="355">
        <v>589777</v>
      </c>
      <c r="J108" s="878"/>
      <c r="K108" s="878"/>
      <c r="L108" s="876"/>
      <c r="M108" s="876"/>
      <c r="N108" s="878"/>
      <c r="O108" s="878"/>
      <c r="P108" s="876"/>
      <c r="Q108" s="876"/>
      <c r="R108" s="878"/>
      <c r="S108" s="876"/>
      <c r="T108" s="876"/>
      <c r="U108" s="878"/>
      <c r="V108" s="876"/>
      <c r="W108" s="876"/>
    </row>
    <row r="109" spans="1:23" s="356" customFormat="1" ht="14.25" customHeight="1">
      <c r="A109" s="883"/>
      <c r="B109" s="879"/>
      <c r="C109" s="881"/>
      <c r="D109" s="919"/>
      <c r="E109" s="883"/>
      <c r="F109" s="883"/>
      <c r="G109" s="879"/>
      <c r="H109" s="355">
        <v>0</v>
      </c>
      <c r="I109" s="355">
        <v>0</v>
      </c>
      <c r="J109" s="878"/>
      <c r="K109" s="878"/>
      <c r="L109" s="876"/>
      <c r="M109" s="876"/>
      <c r="N109" s="878"/>
      <c r="O109" s="878"/>
      <c r="P109" s="876"/>
      <c r="Q109" s="876"/>
      <c r="R109" s="878"/>
      <c r="S109" s="876"/>
      <c r="T109" s="876"/>
      <c r="U109" s="878"/>
      <c r="V109" s="876"/>
      <c r="W109" s="876"/>
    </row>
    <row r="110" spans="1:23" s="356" customFormat="1" ht="14.25" customHeight="1">
      <c r="A110" s="883"/>
      <c r="B110" s="879"/>
      <c r="C110" s="881"/>
      <c r="D110" s="919"/>
      <c r="E110" s="883"/>
      <c r="F110" s="883"/>
      <c r="G110" s="879"/>
      <c r="H110" s="355">
        <v>620820</v>
      </c>
      <c r="I110" s="355">
        <v>581103</v>
      </c>
      <c r="J110" s="878"/>
      <c r="K110" s="878"/>
      <c r="L110" s="876"/>
      <c r="M110" s="876"/>
      <c r="N110" s="878"/>
      <c r="O110" s="878"/>
      <c r="P110" s="876"/>
      <c r="Q110" s="876"/>
      <c r="R110" s="878"/>
      <c r="S110" s="876"/>
      <c r="T110" s="876"/>
      <c r="U110" s="878"/>
      <c r="V110" s="876"/>
      <c r="W110" s="876"/>
    </row>
    <row r="111" spans="1:23" s="356" customFormat="1" ht="14.25" customHeight="1">
      <c r="A111" s="883"/>
      <c r="B111" s="879"/>
      <c r="C111" s="881"/>
      <c r="D111" s="919"/>
      <c r="E111" s="883"/>
      <c r="F111" s="883"/>
      <c r="G111" s="879"/>
      <c r="H111" s="355">
        <v>150000</v>
      </c>
      <c r="I111" s="355">
        <v>150000</v>
      </c>
      <c r="J111" s="878"/>
      <c r="K111" s="878"/>
      <c r="L111" s="876"/>
      <c r="M111" s="876"/>
      <c r="N111" s="878"/>
      <c r="O111" s="878"/>
      <c r="P111" s="876"/>
      <c r="Q111" s="876"/>
      <c r="R111" s="878"/>
      <c r="S111" s="876"/>
      <c r="T111" s="876"/>
      <c r="U111" s="878"/>
      <c r="V111" s="876"/>
      <c r="W111" s="876"/>
    </row>
    <row r="112" spans="1:23" s="356" customFormat="1" ht="14.25" customHeight="1">
      <c r="A112" s="883">
        <v>20</v>
      </c>
      <c r="B112" s="879" t="s">
        <v>733</v>
      </c>
      <c r="C112" s="881" t="s">
        <v>734</v>
      </c>
      <c r="D112" s="919" t="s">
        <v>738</v>
      </c>
      <c r="E112" s="883" t="s">
        <v>739</v>
      </c>
      <c r="F112" s="883" t="s">
        <v>737</v>
      </c>
      <c r="G112" s="879" t="s">
        <v>713</v>
      </c>
      <c r="H112" s="355">
        <f>H113+H114+H115+H116</f>
        <v>3300000</v>
      </c>
      <c r="I112" s="355">
        <f>I113+I114+I115+I116</f>
        <v>502238</v>
      </c>
      <c r="J112" s="878">
        <f>K112+N112</f>
        <v>2797762</v>
      </c>
      <c r="K112" s="878">
        <f>L112+M112</f>
        <v>1518853</v>
      </c>
      <c r="L112" s="876">
        <v>24545</v>
      </c>
      <c r="M112" s="876">
        <v>1494308</v>
      </c>
      <c r="N112" s="878">
        <f>O112+R112+U112</f>
        <v>1278909</v>
      </c>
      <c r="O112" s="878">
        <f>P112+Q112</f>
        <v>0</v>
      </c>
      <c r="P112" s="876">
        <v>0</v>
      </c>
      <c r="Q112" s="876">
        <v>0</v>
      </c>
      <c r="R112" s="878">
        <f>S112+T112</f>
        <v>797951</v>
      </c>
      <c r="S112" s="876">
        <v>39144</v>
      </c>
      <c r="T112" s="876">
        <v>758807</v>
      </c>
      <c r="U112" s="878">
        <f>V112+W112</f>
        <v>480958</v>
      </c>
      <c r="V112" s="876">
        <v>0</v>
      </c>
      <c r="W112" s="876">
        <v>480958</v>
      </c>
    </row>
    <row r="113" spans="1:23" s="356" customFormat="1" ht="14.25" customHeight="1">
      <c r="A113" s="883"/>
      <c r="B113" s="879"/>
      <c r="C113" s="881"/>
      <c r="D113" s="919"/>
      <c r="E113" s="883"/>
      <c r="F113" s="883"/>
      <c r="G113" s="879"/>
      <c r="H113" s="355">
        <v>1585308</v>
      </c>
      <c r="I113" s="355">
        <v>66455</v>
      </c>
      <c r="J113" s="878"/>
      <c r="K113" s="878"/>
      <c r="L113" s="876"/>
      <c r="M113" s="876"/>
      <c r="N113" s="878"/>
      <c r="O113" s="878"/>
      <c r="P113" s="876"/>
      <c r="Q113" s="876"/>
      <c r="R113" s="878"/>
      <c r="S113" s="876"/>
      <c r="T113" s="876"/>
      <c r="U113" s="878"/>
      <c r="V113" s="876"/>
      <c r="W113" s="876"/>
    </row>
    <row r="114" spans="1:23" s="356" customFormat="1" ht="14.25" customHeight="1">
      <c r="A114" s="883"/>
      <c r="B114" s="879"/>
      <c r="C114" s="881"/>
      <c r="D114" s="919"/>
      <c r="E114" s="883"/>
      <c r="F114" s="883"/>
      <c r="G114" s="879"/>
      <c r="H114" s="355">
        <v>0</v>
      </c>
      <c r="I114" s="355">
        <v>0</v>
      </c>
      <c r="J114" s="878"/>
      <c r="K114" s="878"/>
      <c r="L114" s="876"/>
      <c r="M114" s="876"/>
      <c r="N114" s="878"/>
      <c r="O114" s="878"/>
      <c r="P114" s="876"/>
      <c r="Q114" s="876"/>
      <c r="R114" s="878"/>
      <c r="S114" s="876"/>
      <c r="T114" s="876"/>
      <c r="U114" s="878"/>
      <c r="V114" s="876"/>
      <c r="W114" s="876"/>
    </row>
    <row r="115" spans="1:23" s="356" customFormat="1" ht="14.25" customHeight="1">
      <c r="A115" s="883"/>
      <c r="B115" s="879"/>
      <c r="C115" s="881"/>
      <c r="D115" s="919"/>
      <c r="E115" s="883"/>
      <c r="F115" s="883"/>
      <c r="G115" s="879"/>
      <c r="H115" s="355">
        <v>1233734</v>
      </c>
      <c r="I115" s="355">
        <v>435783</v>
      </c>
      <c r="J115" s="878"/>
      <c r="K115" s="878"/>
      <c r="L115" s="876"/>
      <c r="M115" s="876"/>
      <c r="N115" s="878"/>
      <c r="O115" s="878"/>
      <c r="P115" s="876"/>
      <c r="Q115" s="876"/>
      <c r="R115" s="878"/>
      <c r="S115" s="876"/>
      <c r="T115" s="876"/>
      <c r="U115" s="878"/>
      <c r="V115" s="876"/>
      <c r="W115" s="876"/>
    </row>
    <row r="116" spans="1:23" s="356" customFormat="1" ht="14.25" customHeight="1">
      <c r="A116" s="883"/>
      <c r="B116" s="879"/>
      <c r="C116" s="881"/>
      <c r="D116" s="919"/>
      <c r="E116" s="883"/>
      <c r="F116" s="883"/>
      <c r="G116" s="879"/>
      <c r="H116" s="355">
        <v>480958</v>
      </c>
      <c r="I116" s="355">
        <v>0</v>
      </c>
      <c r="J116" s="878"/>
      <c r="K116" s="878"/>
      <c r="L116" s="876"/>
      <c r="M116" s="876"/>
      <c r="N116" s="878"/>
      <c r="O116" s="878"/>
      <c r="P116" s="876"/>
      <c r="Q116" s="876"/>
      <c r="R116" s="878"/>
      <c r="S116" s="876"/>
      <c r="T116" s="876"/>
      <c r="U116" s="878"/>
      <c r="V116" s="876"/>
      <c r="W116" s="876"/>
    </row>
    <row r="117" spans="1:23" s="356" customFormat="1" ht="14.25" customHeight="1">
      <c r="A117" s="883">
        <v>21</v>
      </c>
      <c r="B117" s="879" t="s">
        <v>733</v>
      </c>
      <c r="C117" s="881" t="s">
        <v>734</v>
      </c>
      <c r="D117" s="919" t="s">
        <v>740</v>
      </c>
      <c r="E117" s="883" t="s">
        <v>741</v>
      </c>
      <c r="F117" s="883" t="s">
        <v>737</v>
      </c>
      <c r="G117" s="879" t="s">
        <v>713</v>
      </c>
      <c r="H117" s="355">
        <f>H118+H119+H120+H121</f>
        <v>1246316</v>
      </c>
      <c r="I117" s="355">
        <f>I118+I119+I120+I121</f>
        <v>904420</v>
      </c>
      <c r="J117" s="878">
        <f>K117+N117</f>
        <v>341896</v>
      </c>
      <c r="K117" s="878">
        <f>L117+M117</f>
        <v>290611</v>
      </c>
      <c r="L117" s="876">
        <v>20881</v>
      </c>
      <c r="M117" s="876">
        <v>269730</v>
      </c>
      <c r="N117" s="878">
        <f>O117+R117+U117</f>
        <v>51285</v>
      </c>
      <c r="O117" s="878">
        <f>P117+Q117</f>
        <v>0</v>
      </c>
      <c r="P117" s="876">
        <v>0</v>
      </c>
      <c r="Q117" s="876">
        <v>0</v>
      </c>
      <c r="R117" s="878">
        <f>S117+T117</f>
        <v>51285</v>
      </c>
      <c r="S117" s="876">
        <v>3685</v>
      </c>
      <c r="T117" s="876">
        <v>47600</v>
      </c>
      <c r="U117" s="878">
        <f>V117+W117</f>
        <v>0</v>
      </c>
      <c r="V117" s="876">
        <v>0</v>
      </c>
      <c r="W117" s="876">
        <v>0</v>
      </c>
    </row>
    <row r="118" spans="1:23" s="356" customFormat="1" ht="14.25" customHeight="1">
      <c r="A118" s="883"/>
      <c r="B118" s="879"/>
      <c r="C118" s="881"/>
      <c r="D118" s="919"/>
      <c r="E118" s="883"/>
      <c r="F118" s="883"/>
      <c r="G118" s="879"/>
      <c r="H118" s="355">
        <v>1059368</v>
      </c>
      <c r="I118" s="355">
        <v>768757</v>
      </c>
      <c r="J118" s="878"/>
      <c r="K118" s="878"/>
      <c r="L118" s="876"/>
      <c r="M118" s="876"/>
      <c r="N118" s="878"/>
      <c r="O118" s="878"/>
      <c r="P118" s="876"/>
      <c r="Q118" s="876"/>
      <c r="R118" s="878"/>
      <c r="S118" s="876"/>
      <c r="T118" s="876"/>
      <c r="U118" s="878"/>
      <c r="V118" s="876"/>
      <c r="W118" s="876"/>
    </row>
    <row r="119" spans="1:23" s="356" customFormat="1" ht="14.25" customHeight="1">
      <c r="A119" s="883"/>
      <c r="B119" s="879"/>
      <c r="C119" s="881"/>
      <c r="D119" s="919"/>
      <c r="E119" s="883"/>
      <c r="F119" s="883"/>
      <c r="G119" s="879"/>
      <c r="H119" s="355">
        <v>0</v>
      </c>
      <c r="I119" s="355">
        <v>0</v>
      </c>
      <c r="J119" s="878"/>
      <c r="K119" s="878"/>
      <c r="L119" s="876"/>
      <c r="M119" s="876"/>
      <c r="N119" s="878"/>
      <c r="O119" s="878"/>
      <c r="P119" s="876"/>
      <c r="Q119" s="876"/>
      <c r="R119" s="878"/>
      <c r="S119" s="876"/>
      <c r="T119" s="876"/>
      <c r="U119" s="878"/>
      <c r="V119" s="876"/>
      <c r="W119" s="876"/>
    </row>
    <row r="120" spans="1:23" s="356" customFormat="1" ht="14.25" customHeight="1">
      <c r="A120" s="883"/>
      <c r="B120" s="879"/>
      <c r="C120" s="881"/>
      <c r="D120" s="919"/>
      <c r="E120" s="883"/>
      <c r="F120" s="883"/>
      <c r="G120" s="879"/>
      <c r="H120" s="355">
        <v>186948</v>
      </c>
      <c r="I120" s="355">
        <v>135663</v>
      </c>
      <c r="J120" s="878"/>
      <c r="K120" s="878"/>
      <c r="L120" s="876"/>
      <c r="M120" s="876"/>
      <c r="N120" s="878"/>
      <c r="O120" s="878"/>
      <c r="P120" s="876"/>
      <c r="Q120" s="876"/>
      <c r="R120" s="878"/>
      <c r="S120" s="876"/>
      <c r="T120" s="876"/>
      <c r="U120" s="878"/>
      <c r="V120" s="876"/>
      <c r="W120" s="876"/>
    </row>
    <row r="121" spans="1:23" s="356" customFormat="1" ht="14.25" customHeight="1">
      <c r="A121" s="883"/>
      <c r="B121" s="879"/>
      <c r="C121" s="881"/>
      <c r="D121" s="919"/>
      <c r="E121" s="883"/>
      <c r="F121" s="883"/>
      <c r="G121" s="879"/>
      <c r="H121" s="355">
        <v>0</v>
      </c>
      <c r="I121" s="355">
        <v>0</v>
      </c>
      <c r="J121" s="878"/>
      <c r="K121" s="878"/>
      <c r="L121" s="876"/>
      <c r="M121" s="876"/>
      <c r="N121" s="878"/>
      <c r="O121" s="878"/>
      <c r="P121" s="876"/>
      <c r="Q121" s="876"/>
      <c r="R121" s="878"/>
      <c r="S121" s="876"/>
      <c r="T121" s="876"/>
      <c r="U121" s="878"/>
      <c r="V121" s="876"/>
      <c r="W121" s="876"/>
    </row>
    <row r="122" spans="1:23" s="356" customFormat="1" ht="14.25" customHeight="1">
      <c r="A122" s="883">
        <v>22</v>
      </c>
      <c r="B122" s="879" t="s">
        <v>733</v>
      </c>
      <c r="C122" s="881" t="s">
        <v>734</v>
      </c>
      <c r="D122" s="919" t="s">
        <v>742</v>
      </c>
      <c r="E122" s="920" t="s">
        <v>743</v>
      </c>
      <c r="F122" s="883" t="s">
        <v>737</v>
      </c>
      <c r="G122" s="879" t="s">
        <v>713</v>
      </c>
      <c r="H122" s="355">
        <f>H123+H124+H125+H126</f>
        <v>925190</v>
      </c>
      <c r="I122" s="355">
        <f>I123+I124+I125+I126</f>
        <v>528280</v>
      </c>
      <c r="J122" s="878">
        <f>K122+N122</f>
        <v>396910</v>
      </c>
      <c r="K122" s="878">
        <f>L122+M122</f>
        <v>337374</v>
      </c>
      <c r="L122" s="876">
        <v>41841</v>
      </c>
      <c r="M122" s="876">
        <v>295533</v>
      </c>
      <c r="N122" s="878">
        <f>O122+R122+U122</f>
        <v>59536</v>
      </c>
      <c r="O122" s="878">
        <f>P122+Q122</f>
        <v>0</v>
      </c>
      <c r="P122" s="876">
        <v>0</v>
      </c>
      <c r="Q122" s="876">
        <v>0</v>
      </c>
      <c r="R122" s="878">
        <f>S122+T122</f>
        <v>59536</v>
      </c>
      <c r="S122" s="876">
        <v>7384</v>
      </c>
      <c r="T122" s="876">
        <v>52152</v>
      </c>
      <c r="U122" s="878">
        <f>V122+W122</f>
        <v>0</v>
      </c>
      <c r="V122" s="876">
        <v>0</v>
      </c>
      <c r="W122" s="876">
        <v>0</v>
      </c>
    </row>
    <row r="123" spans="1:23" s="356" customFormat="1" ht="14.25" customHeight="1">
      <c r="A123" s="883"/>
      <c r="B123" s="879"/>
      <c r="C123" s="881"/>
      <c r="D123" s="919"/>
      <c r="E123" s="920"/>
      <c r="F123" s="883"/>
      <c r="G123" s="879"/>
      <c r="H123" s="355">
        <v>786411</v>
      </c>
      <c r="I123" s="355">
        <v>449037</v>
      </c>
      <c r="J123" s="878"/>
      <c r="K123" s="878"/>
      <c r="L123" s="876"/>
      <c r="M123" s="876"/>
      <c r="N123" s="878"/>
      <c r="O123" s="878"/>
      <c r="P123" s="876"/>
      <c r="Q123" s="876"/>
      <c r="R123" s="878"/>
      <c r="S123" s="876"/>
      <c r="T123" s="876"/>
      <c r="U123" s="878"/>
      <c r="V123" s="876"/>
      <c r="W123" s="876"/>
    </row>
    <row r="124" spans="1:23" s="356" customFormat="1" ht="14.25" customHeight="1">
      <c r="A124" s="883"/>
      <c r="B124" s="879"/>
      <c r="C124" s="881"/>
      <c r="D124" s="919"/>
      <c r="E124" s="920"/>
      <c r="F124" s="883"/>
      <c r="G124" s="879"/>
      <c r="H124" s="355">
        <v>0</v>
      </c>
      <c r="I124" s="355">
        <v>0</v>
      </c>
      <c r="J124" s="878"/>
      <c r="K124" s="878"/>
      <c r="L124" s="876"/>
      <c r="M124" s="876"/>
      <c r="N124" s="878"/>
      <c r="O124" s="878"/>
      <c r="P124" s="876"/>
      <c r="Q124" s="876"/>
      <c r="R124" s="878"/>
      <c r="S124" s="876"/>
      <c r="T124" s="876"/>
      <c r="U124" s="878"/>
      <c r="V124" s="876"/>
      <c r="W124" s="876"/>
    </row>
    <row r="125" spans="1:23" s="356" customFormat="1" ht="14.25" customHeight="1">
      <c r="A125" s="883"/>
      <c r="B125" s="879"/>
      <c r="C125" s="881"/>
      <c r="D125" s="919"/>
      <c r="E125" s="920"/>
      <c r="F125" s="883"/>
      <c r="G125" s="879"/>
      <c r="H125" s="355">
        <v>138779</v>
      </c>
      <c r="I125" s="355">
        <v>79243</v>
      </c>
      <c r="J125" s="878"/>
      <c r="K125" s="878"/>
      <c r="L125" s="876"/>
      <c r="M125" s="876"/>
      <c r="N125" s="878"/>
      <c r="O125" s="878"/>
      <c r="P125" s="876"/>
      <c r="Q125" s="876"/>
      <c r="R125" s="878"/>
      <c r="S125" s="876"/>
      <c r="T125" s="876"/>
      <c r="U125" s="878"/>
      <c r="V125" s="876"/>
      <c r="W125" s="876"/>
    </row>
    <row r="126" spans="1:23" s="356" customFormat="1" ht="14.25" customHeight="1">
      <c r="A126" s="883"/>
      <c r="B126" s="879"/>
      <c r="C126" s="881"/>
      <c r="D126" s="919"/>
      <c r="E126" s="920"/>
      <c r="F126" s="883"/>
      <c r="G126" s="879"/>
      <c r="H126" s="355">
        <v>0</v>
      </c>
      <c r="I126" s="355">
        <v>0</v>
      </c>
      <c r="J126" s="878"/>
      <c r="K126" s="878"/>
      <c r="L126" s="876"/>
      <c r="M126" s="876"/>
      <c r="N126" s="878"/>
      <c r="O126" s="878"/>
      <c r="P126" s="876"/>
      <c r="Q126" s="876"/>
      <c r="R126" s="878"/>
      <c r="S126" s="876"/>
      <c r="T126" s="876"/>
      <c r="U126" s="878"/>
      <c r="V126" s="876"/>
      <c r="W126" s="876"/>
    </row>
    <row r="127" spans="1:23" s="356" customFormat="1" ht="15" customHeight="1">
      <c r="A127" s="883">
        <v>23</v>
      </c>
      <c r="B127" s="879" t="s">
        <v>733</v>
      </c>
      <c r="C127" s="881" t="s">
        <v>734</v>
      </c>
      <c r="D127" s="919" t="s">
        <v>744</v>
      </c>
      <c r="E127" s="920" t="s">
        <v>743</v>
      </c>
      <c r="F127" s="883" t="s">
        <v>737</v>
      </c>
      <c r="G127" s="879" t="s">
        <v>691</v>
      </c>
      <c r="H127" s="355">
        <f>H128+H129+H130+H131</f>
        <v>4493063</v>
      </c>
      <c r="I127" s="355">
        <f>I128+I129+I130+I131</f>
        <v>3155205</v>
      </c>
      <c r="J127" s="878">
        <f>K127+N127</f>
        <v>1337858</v>
      </c>
      <c r="K127" s="878">
        <f>L127+M127</f>
        <v>1137179</v>
      </c>
      <c r="L127" s="876">
        <v>226635</v>
      </c>
      <c r="M127" s="876">
        <v>910544</v>
      </c>
      <c r="N127" s="878">
        <f>O127+R127+U127</f>
        <v>200679</v>
      </c>
      <c r="O127" s="878">
        <f>P127+Q127</f>
        <v>0</v>
      </c>
      <c r="P127" s="876">
        <v>0</v>
      </c>
      <c r="Q127" s="876">
        <v>0</v>
      </c>
      <c r="R127" s="878">
        <f>S127+T127</f>
        <v>75136</v>
      </c>
      <c r="S127" s="876">
        <v>39995</v>
      </c>
      <c r="T127" s="876">
        <v>35141</v>
      </c>
      <c r="U127" s="878">
        <f>V127+W127</f>
        <v>125543</v>
      </c>
      <c r="V127" s="876">
        <v>0</v>
      </c>
      <c r="W127" s="876">
        <v>125543</v>
      </c>
    </row>
    <row r="128" spans="1:23" s="356" customFormat="1" ht="15" customHeight="1">
      <c r="A128" s="883"/>
      <c r="B128" s="879"/>
      <c r="C128" s="881"/>
      <c r="D128" s="919"/>
      <c r="E128" s="920"/>
      <c r="F128" s="883"/>
      <c r="G128" s="879"/>
      <c r="H128" s="355">
        <v>3819104</v>
      </c>
      <c r="I128" s="355">
        <v>2681925</v>
      </c>
      <c r="J128" s="878"/>
      <c r="K128" s="878"/>
      <c r="L128" s="876"/>
      <c r="M128" s="876"/>
      <c r="N128" s="878"/>
      <c r="O128" s="878"/>
      <c r="P128" s="876"/>
      <c r="Q128" s="876"/>
      <c r="R128" s="878"/>
      <c r="S128" s="876"/>
      <c r="T128" s="876"/>
      <c r="U128" s="878"/>
      <c r="V128" s="876"/>
      <c r="W128" s="876"/>
    </row>
    <row r="129" spans="1:23" s="356" customFormat="1" ht="15" customHeight="1">
      <c r="A129" s="883"/>
      <c r="B129" s="879"/>
      <c r="C129" s="881"/>
      <c r="D129" s="919"/>
      <c r="E129" s="920"/>
      <c r="F129" s="883"/>
      <c r="G129" s="879"/>
      <c r="H129" s="355">
        <v>0</v>
      </c>
      <c r="I129" s="355">
        <v>0</v>
      </c>
      <c r="J129" s="878"/>
      <c r="K129" s="878"/>
      <c r="L129" s="876"/>
      <c r="M129" s="876"/>
      <c r="N129" s="878"/>
      <c r="O129" s="878"/>
      <c r="P129" s="876"/>
      <c r="Q129" s="876"/>
      <c r="R129" s="878"/>
      <c r="S129" s="876"/>
      <c r="T129" s="876"/>
      <c r="U129" s="878"/>
      <c r="V129" s="876"/>
      <c r="W129" s="876"/>
    </row>
    <row r="130" spans="1:23" s="356" customFormat="1" ht="15" customHeight="1">
      <c r="A130" s="883"/>
      <c r="B130" s="879"/>
      <c r="C130" s="881"/>
      <c r="D130" s="919"/>
      <c r="E130" s="920"/>
      <c r="F130" s="883"/>
      <c r="G130" s="879"/>
      <c r="H130" s="355">
        <v>423416</v>
      </c>
      <c r="I130" s="355">
        <v>348280</v>
      </c>
      <c r="J130" s="878"/>
      <c r="K130" s="878"/>
      <c r="L130" s="876"/>
      <c r="M130" s="876"/>
      <c r="N130" s="878"/>
      <c r="O130" s="878"/>
      <c r="P130" s="876"/>
      <c r="Q130" s="876"/>
      <c r="R130" s="878"/>
      <c r="S130" s="876"/>
      <c r="T130" s="876"/>
      <c r="U130" s="878"/>
      <c r="V130" s="876"/>
      <c r="W130" s="876"/>
    </row>
    <row r="131" spans="1:23" s="356" customFormat="1" ht="15" customHeight="1">
      <c r="A131" s="883"/>
      <c r="B131" s="879"/>
      <c r="C131" s="881"/>
      <c r="D131" s="919"/>
      <c r="E131" s="920"/>
      <c r="F131" s="883"/>
      <c r="G131" s="879"/>
      <c r="H131" s="355">
        <v>250543</v>
      </c>
      <c r="I131" s="355">
        <v>125000</v>
      </c>
      <c r="J131" s="878"/>
      <c r="K131" s="878"/>
      <c r="L131" s="876"/>
      <c r="M131" s="876"/>
      <c r="N131" s="878"/>
      <c r="O131" s="878"/>
      <c r="P131" s="876"/>
      <c r="Q131" s="876"/>
      <c r="R131" s="878"/>
      <c r="S131" s="876"/>
      <c r="T131" s="876"/>
      <c r="U131" s="878"/>
      <c r="V131" s="876"/>
      <c r="W131" s="876"/>
    </row>
    <row r="132" spans="1:23" s="356" customFormat="1" ht="16.5" customHeight="1">
      <c r="A132" s="883">
        <v>24</v>
      </c>
      <c r="B132" s="880" t="s">
        <v>626</v>
      </c>
      <c r="C132" s="881" t="s">
        <v>745</v>
      </c>
      <c r="D132" s="882" t="s">
        <v>746</v>
      </c>
      <c r="E132" s="902" t="s">
        <v>711</v>
      </c>
      <c r="F132" s="883" t="s">
        <v>712</v>
      </c>
      <c r="G132" s="883" t="s">
        <v>747</v>
      </c>
      <c r="H132" s="355">
        <f>H134+H133+H135+H136</f>
        <v>50833492</v>
      </c>
      <c r="I132" s="355">
        <f>I134+I133+I135+I136</f>
        <v>33577492</v>
      </c>
      <c r="J132" s="878">
        <f>K132+N132</f>
        <v>17256000</v>
      </c>
      <c r="K132" s="878">
        <f>L132+M132</f>
        <v>16200000</v>
      </c>
      <c r="L132" s="876">
        <v>0</v>
      </c>
      <c r="M132" s="876">
        <v>16200000</v>
      </c>
      <c r="N132" s="878">
        <f>O132+R132+U132</f>
        <v>1056000</v>
      </c>
      <c r="O132" s="878">
        <f>P132+Q132</f>
        <v>0</v>
      </c>
      <c r="P132" s="876">
        <v>0</v>
      </c>
      <c r="Q132" s="876">
        <v>0</v>
      </c>
      <c r="R132" s="878">
        <f>S132+T132</f>
        <v>0</v>
      </c>
      <c r="S132" s="876">
        <v>0</v>
      </c>
      <c r="T132" s="876">
        <v>0</v>
      </c>
      <c r="U132" s="878">
        <f>V132+W132</f>
        <v>1056000</v>
      </c>
      <c r="V132" s="876">
        <v>0</v>
      </c>
      <c r="W132" s="876">
        <v>1056000</v>
      </c>
    </row>
    <row r="133" spans="1:23" s="356" customFormat="1" ht="16.5" customHeight="1">
      <c r="A133" s="883"/>
      <c r="B133" s="880"/>
      <c r="C133" s="881"/>
      <c r="D133" s="882"/>
      <c r="E133" s="903"/>
      <c r="F133" s="883"/>
      <c r="G133" s="883"/>
      <c r="H133" s="355">
        <v>43062009</v>
      </c>
      <c r="I133" s="355">
        <v>26862009</v>
      </c>
      <c r="J133" s="878"/>
      <c r="K133" s="878"/>
      <c r="L133" s="876"/>
      <c r="M133" s="876"/>
      <c r="N133" s="878"/>
      <c r="O133" s="878"/>
      <c r="P133" s="876"/>
      <c r="Q133" s="876"/>
      <c r="R133" s="878"/>
      <c r="S133" s="876"/>
      <c r="T133" s="876"/>
      <c r="U133" s="878"/>
      <c r="V133" s="876"/>
      <c r="W133" s="876"/>
    </row>
    <row r="134" spans="1:23" s="356" customFormat="1" ht="16.5" customHeight="1">
      <c r="A134" s="883"/>
      <c r="B134" s="880"/>
      <c r="C134" s="881"/>
      <c r="D134" s="882"/>
      <c r="E134" s="903"/>
      <c r="F134" s="883"/>
      <c r="G134" s="883"/>
      <c r="H134" s="355">
        <v>0</v>
      </c>
      <c r="I134" s="355">
        <v>0</v>
      </c>
      <c r="J134" s="878"/>
      <c r="K134" s="878"/>
      <c r="L134" s="876"/>
      <c r="M134" s="876"/>
      <c r="N134" s="878"/>
      <c r="O134" s="878"/>
      <c r="P134" s="876"/>
      <c r="Q134" s="876"/>
      <c r="R134" s="878"/>
      <c r="S134" s="876"/>
      <c r="T134" s="876"/>
      <c r="U134" s="878"/>
      <c r="V134" s="876"/>
      <c r="W134" s="876"/>
    </row>
    <row r="135" spans="1:23" s="356" customFormat="1" ht="16.5" customHeight="1">
      <c r="A135" s="883"/>
      <c r="B135" s="880"/>
      <c r="C135" s="881"/>
      <c r="D135" s="882"/>
      <c r="E135" s="903"/>
      <c r="F135" s="883"/>
      <c r="G135" s="883"/>
      <c r="H135" s="355">
        <v>6540763</v>
      </c>
      <c r="I135" s="5">
        <v>6540763</v>
      </c>
      <c r="J135" s="878"/>
      <c r="K135" s="878"/>
      <c r="L135" s="876"/>
      <c r="M135" s="876"/>
      <c r="N135" s="878"/>
      <c r="O135" s="878"/>
      <c r="P135" s="876"/>
      <c r="Q135" s="876"/>
      <c r="R135" s="878"/>
      <c r="S135" s="876"/>
      <c r="T135" s="876"/>
      <c r="U135" s="878"/>
      <c r="V135" s="876"/>
      <c r="W135" s="876"/>
    </row>
    <row r="136" spans="1:23" s="356" customFormat="1" ht="16.5" customHeight="1">
      <c r="A136" s="883"/>
      <c r="B136" s="880"/>
      <c r="C136" s="881"/>
      <c r="D136" s="882"/>
      <c r="E136" s="904"/>
      <c r="F136" s="883"/>
      <c r="G136" s="883"/>
      <c r="H136" s="355">
        <v>1230720</v>
      </c>
      <c r="I136" s="355">
        <v>174720</v>
      </c>
      <c r="J136" s="878"/>
      <c r="K136" s="878"/>
      <c r="L136" s="876"/>
      <c r="M136" s="876"/>
      <c r="N136" s="878"/>
      <c r="O136" s="878"/>
      <c r="P136" s="876"/>
      <c r="Q136" s="876"/>
      <c r="R136" s="878"/>
      <c r="S136" s="876"/>
      <c r="T136" s="876"/>
      <c r="U136" s="878"/>
      <c r="V136" s="876"/>
      <c r="W136" s="876"/>
    </row>
    <row r="137" spans="1:23" s="356" customFormat="1" ht="15.75" customHeight="1">
      <c r="A137" s="883">
        <v>25</v>
      </c>
      <c r="B137" s="880" t="s">
        <v>626</v>
      </c>
      <c r="C137" s="881" t="s">
        <v>745</v>
      </c>
      <c r="D137" s="882" t="s">
        <v>748</v>
      </c>
      <c r="E137" s="902" t="s">
        <v>711</v>
      </c>
      <c r="F137" s="883" t="s">
        <v>712</v>
      </c>
      <c r="G137" s="883" t="s">
        <v>701</v>
      </c>
      <c r="H137" s="355">
        <f>H139+H138+H140+H141</f>
        <v>103531514</v>
      </c>
      <c r="I137" s="355">
        <f>I139+I138+I140+I141</f>
        <v>36130828</v>
      </c>
      <c r="J137" s="878">
        <f>K137+N137</f>
        <v>29550609</v>
      </c>
      <c r="K137" s="878">
        <f>L137+M137</f>
        <v>19340751</v>
      </c>
      <c r="L137" s="876">
        <v>0</v>
      </c>
      <c r="M137" s="876">
        <v>19340751</v>
      </c>
      <c r="N137" s="878">
        <f>O137+R137+U137</f>
        <v>10209858</v>
      </c>
      <c r="O137" s="878">
        <f>P137+Q137</f>
        <v>0</v>
      </c>
      <c r="P137" s="876">
        <v>0</v>
      </c>
      <c r="Q137" s="876">
        <v>0</v>
      </c>
      <c r="R137" s="878">
        <f>S137+T137</f>
        <v>5838402</v>
      </c>
      <c r="S137" s="876">
        <v>0</v>
      </c>
      <c r="T137" s="876">
        <v>5838402</v>
      </c>
      <c r="U137" s="878">
        <f>V137+W137</f>
        <v>4371456</v>
      </c>
      <c r="V137" s="876">
        <v>0</v>
      </c>
      <c r="W137" s="876">
        <v>4371456</v>
      </c>
    </row>
    <row r="138" spans="1:23" s="356" customFormat="1" ht="15.75" customHeight="1">
      <c r="A138" s="883"/>
      <c r="B138" s="880"/>
      <c r="C138" s="881"/>
      <c r="D138" s="882"/>
      <c r="E138" s="903"/>
      <c r="F138" s="883"/>
      <c r="G138" s="883"/>
      <c r="H138" s="355">
        <v>79501787</v>
      </c>
      <c r="I138" s="355">
        <v>22310959</v>
      </c>
      <c r="J138" s="878"/>
      <c r="K138" s="878"/>
      <c r="L138" s="876"/>
      <c r="M138" s="876"/>
      <c r="N138" s="878"/>
      <c r="O138" s="878"/>
      <c r="P138" s="876"/>
      <c r="Q138" s="876"/>
      <c r="R138" s="878"/>
      <c r="S138" s="876"/>
      <c r="T138" s="876"/>
      <c r="U138" s="878"/>
      <c r="V138" s="876"/>
      <c r="W138" s="876"/>
    </row>
    <row r="139" spans="1:23" s="356" customFormat="1" ht="15.75" customHeight="1">
      <c r="A139" s="883"/>
      <c r="B139" s="880"/>
      <c r="C139" s="881"/>
      <c r="D139" s="882"/>
      <c r="E139" s="903"/>
      <c r="F139" s="883"/>
      <c r="G139" s="883"/>
      <c r="H139" s="355">
        <v>0</v>
      </c>
      <c r="I139" s="355">
        <v>0</v>
      </c>
      <c r="J139" s="878"/>
      <c r="K139" s="878"/>
      <c r="L139" s="876"/>
      <c r="M139" s="876"/>
      <c r="N139" s="878"/>
      <c r="O139" s="878"/>
      <c r="P139" s="876"/>
      <c r="Q139" s="876"/>
      <c r="R139" s="878"/>
      <c r="S139" s="876"/>
      <c r="T139" s="876"/>
      <c r="U139" s="878"/>
      <c r="V139" s="876"/>
      <c r="W139" s="876"/>
    </row>
    <row r="140" spans="1:23" s="356" customFormat="1" ht="15.75" customHeight="1">
      <c r="A140" s="883"/>
      <c r="B140" s="880"/>
      <c r="C140" s="881"/>
      <c r="D140" s="882"/>
      <c r="E140" s="903"/>
      <c r="F140" s="883"/>
      <c r="G140" s="883"/>
      <c r="H140" s="355">
        <v>19658271</v>
      </c>
      <c r="I140" s="355">
        <v>13819869</v>
      </c>
      <c r="J140" s="878"/>
      <c r="K140" s="878"/>
      <c r="L140" s="876"/>
      <c r="M140" s="876"/>
      <c r="N140" s="878"/>
      <c r="O140" s="878"/>
      <c r="P140" s="876"/>
      <c r="Q140" s="876"/>
      <c r="R140" s="878"/>
      <c r="S140" s="876"/>
      <c r="T140" s="876"/>
      <c r="U140" s="878"/>
      <c r="V140" s="876"/>
      <c r="W140" s="876"/>
    </row>
    <row r="141" spans="1:23" s="356" customFormat="1" ht="15.75" customHeight="1">
      <c r="A141" s="883"/>
      <c r="B141" s="880"/>
      <c r="C141" s="881"/>
      <c r="D141" s="882"/>
      <c r="E141" s="904"/>
      <c r="F141" s="883"/>
      <c r="G141" s="883"/>
      <c r="H141" s="355">
        <v>4371456</v>
      </c>
      <c r="I141" s="355">
        <v>0</v>
      </c>
      <c r="J141" s="878"/>
      <c r="K141" s="878"/>
      <c r="L141" s="876"/>
      <c r="M141" s="876"/>
      <c r="N141" s="878"/>
      <c r="O141" s="878"/>
      <c r="P141" s="876"/>
      <c r="Q141" s="876"/>
      <c r="R141" s="878"/>
      <c r="S141" s="876"/>
      <c r="T141" s="876"/>
      <c r="U141" s="878"/>
      <c r="V141" s="876"/>
      <c r="W141" s="876"/>
    </row>
    <row r="142" spans="1:23" s="356" customFormat="1" ht="15.75" customHeight="1">
      <c r="A142" s="883">
        <v>26</v>
      </c>
      <c r="B142" s="880" t="s">
        <v>626</v>
      </c>
      <c r="C142" s="881" t="s">
        <v>745</v>
      </c>
      <c r="D142" s="882" t="s">
        <v>749</v>
      </c>
      <c r="E142" s="902" t="s">
        <v>711</v>
      </c>
      <c r="F142" s="883" t="s">
        <v>712</v>
      </c>
      <c r="G142" s="883" t="s">
        <v>747</v>
      </c>
      <c r="H142" s="355">
        <f>H144+H143+H145+H146</f>
        <v>66415462</v>
      </c>
      <c r="I142" s="355">
        <f>I144+I143+I145+I146</f>
        <v>26713491</v>
      </c>
      <c r="J142" s="878">
        <f>K142+N142</f>
        <v>39701971</v>
      </c>
      <c r="K142" s="878">
        <f>L142+M142</f>
        <v>38507359</v>
      </c>
      <c r="L142" s="876">
        <v>16774</v>
      </c>
      <c r="M142" s="876">
        <v>38490585</v>
      </c>
      <c r="N142" s="878">
        <f>O142+R142+U142</f>
        <v>1194612</v>
      </c>
      <c r="O142" s="878">
        <f>P142+Q142</f>
        <v>0</v>
      </c>
      <c r="P142" s="876">
        <v>0</v>
      </c>
      <c r="Q142" s="876">
        <v>0</v>
      </c>
      <c r="R142" s="878">
        <f>S142+T142</f>
        <v>2958</v>
      </c>
      <c r="S142" s="876">
        <v>2958</v>
      </c>
      <c r="T142" s="876">
        <v>0</v>
      </c>
      <c r="U142" s="878">
        <f>V142+W142</f>
        <v>1191654</v>
      </c>
      <c r="V142" s="876">
        <v>0</v>
      </c>
      <c r="W142" s="876">
        <v>1191654</v>
      </c>
    </row>
    <row r="143" spans="1:23" s="356" customFormat="1" ht="15.75" customHeight="1">
      <c r="A143" s="883"/>
      <c r="B143" s="880"/>
      <c r="C143" s="881"/>
      <c r="D143" s="882"/>
      <c r="E143" s="903"/>
      <c r="F143" s="883"/>
      <c r="G143" s="883"/>
      <c r="H143" s="355">
        <v>51433819</v>
      </c>
      <c r="I143" s="355">
        <v>12926460</v>
      </c>
      <c r="J143" s="878"/>
      <c r="K143" s="878"/>
      <c r="L143" s="876"/>
      <c r="M143" s="876"/>
      <c r="N143" s="878"/>
      <c r="O143" s="878"/>
      <c r="P143" s="876"/>
      <c r="Q143" s="876"/>
      <c r="R143" s="878"/>
      <c r="S143" s="876"/>
      <c r="T143" s="876"/>
      <c r="U143" s="878"/>
      <c r="V143" s="876"/>
      <c r="W143" s="876"/>
    </row>
    <row r="144" spans="1:23" s="356" customFormat="1" ht="15.75" customHeight="1">
      <c r="A144" s="883"/>
      <c r="B144" s="880"/>
      <c r="C144" s="881"/>
      <c r="D144" s="882"/>
      <c r="E144" s="903"/>
      <c r="F144" s="883"/>
      <c r="G144" s="883"/>
      <c r="H144" s="355">
        <v>0</v>
      </c>
      <c r="I144" s="355">
        <v>0</v>
      </c>
      <c r="J144" s="878"/>
      <c r="K144" s="878"/>
      <c r="L144" s="876"/>
      <c r="M144" s="876"/>
      <c r="N144" s="878"/>
      <c r="O144" s="878"/>
      <c r="P144" s="876"/>
      <c r="Q144" s="876"/>
      <c r="R144" s="878"/>
      <c r="S144" s="876"/>
      <c r="T144" s="876"/>
      <c r="U144" s="878"/>
      <c r="V144" s="876"/>
      <c r="W144" s="876"/>
    </row>
    <row r="145" spans="1:23" s="356" customFormat="1" ht="15.75" customHeight="1">
      <c r="A145" s="883"/>
      <c r="B145" s="880"/>
      <c r="C145" s="881"/>
      <c r="D145" s="882"/>
      <c r="E145" s="903"/>
      <c r="F145" s="883"/>
      <c r="G145" s="883"/>
      <c r="H145" s="355">
        <v>13200399</v>
      </c>
      <c r="I145" s="355">
        <v>13197441</v>
      </c>
      <c r="J145" s="878"/>
      <c r="K145" s="878"/>
      <c r="L145" s="876"/>
      <c r="M145" s="876"/>
      <c r="N145" s="878"/>
      <c r="O145" s="878"/>
      <c r="P145" s="876"/>
      <c r="Q145" s="876"/>
      <c r="R145" s="878"/>
      <c r="S145" s="876"/>
      <c r="T145" s="876"/>
      <c r="U145" s="878"/>
      <c r="V145" s="876"/>
      <c r="W145" s="876"/>
    </row>
    <row r="146" spans="1:23" s="356" customFormat="1" ht="15.75" customHeight="1">
      <c r="A146" s="883"/>
      <c r="B146" s="880"/>
      <c r="C146" s="881"/>
      <c r="D146" s="882"/>
      <c r="E146" s="904"/>
      <c r="F146" s="883"/>
      <c r="G146" s="883"/>
      <c r="H146" s="355">
        <v>1781244</v>
      </c>
      <c r="I146" s="355">
        <v>589590</v>
      </c>
      <c r="J146" s="878"/>
      <c r="K146" s="878"/>
      <c r="L146" s="876"/>
      <c r="M146" s="876"/>
      <c r="N146" s="878"/>
      <c r="O146" s="878"/>
      <c r="P146" s="876"/>
      <c r="Q146" s="876"/>
      <c r="R146" s="878"/>
      <c r="S146" s="876"/>
      <c r="T146" s="876"/>
      <c r="U146" s="878"/>
      <c r="V146" s="876"/>
      <c r="W146" s="876"/>
    </row>
    <row r="147" spans="1:23" s="356" customFormat="1" ht="15.75" customHeight="1">
      <c r="A147" s="883">
        <v>27</v>
      </c>
      <c r="B147" s="879" t="s">
        <v>626</v>
      </c>
      <c r="C147" s="881" t="s">
        <v>745</v>
      </c>
      <c r="D147" s="919" t="s">
        <v>750</v>
      </c>
      <c r="E147" s="902" t="s">
        <v>711</v>
      </c>
      <c r="F147" s="883" t="s">
        <v>712</v>
      </c>
      <c r="G147" s="879" t="s">
        <v>747</v>
      </c>
      <c r="H147" s="355">
        <f>H148+H149+H150+H151</f>
        <v>62535537</v>
      </c>
      <c r="I147" s="355">
        <f>I148+I149+I150+I151</f>
        <v>51167706</v>
      </c>
      <c r="J147" s="878">
        <f>K147+N147</f>
        <v>11367831</v>
      </c>
      <c r="K147" s="878">
        <f>L147+M147</f>
        <v>11367831</v>
      </c>
      <c r="L147" s="876">
        <v>0</v>
      </c>
      <c r="M147" s="876">
        <v>11367831</v>
      </c>
      <c r="N147" s="878">
        <f>O147+R147+U147</f>
        <v>0</v>
      </c>
      <c r="O147" s="878">
        <f>P147+Q147</f>
        <v>0</v>
      </c>
      <c r="P147" s="876">
        <v>0</v>
      </c>
      <c r="Q147" s="876">
        <v>0</v>
      </c>
      <c r="R147" s="878">
        <f>S147+T147</f>
        <v>0</v>
      </c>
      <c r="S147" s="876">
        <v>0</v>
      </c>
      <c r="T147" s="876">
        <v>0</v>
      </c>
      <c r="U147" s="878">
        <f>V147+W147</f>
        <v>0</v>
      </c>
      <c r="V147" s="876">
        <v>0</v>
      </c>
      <c r="W147" s="876">
        <v>0</v>
      </c>
    </row>
    <row r="148" spans="1:23" s="356" customFormat="1" ht="15.75" customHeight="1">
      <c r="A148" s="883"/>
      <c r="B148" s="879"/>
      <c r="C148" s="881"/>
      <c r="D148" s="919"/>
      <c r="E148" s="903"/>
      <c r="F148" s="883"/>
      <c r="G148" s="879"/>
      <c r="H148" s="355">
        <v>48061085</v>
      </c>
      <c r="I148" s="355">
        <v>36693254</v>
      </c>
      <c r="J148" s="878"/>
      <c r="K148" s="878"/>
      <c r="L148" s="876"/>
      <c r="M148" s="876"/>
      <c r="N148" s="878"/>
      <c r="O148" s="878"/>
      <c r="P148" s="876"/>
      <c r="Q148" s="876"/>
      <c r="R148" s="878"/>
      <c r="S148" s="876"/>
      <c r="T148" s="876"/>
      <c r="U148" s="878"/>
      <c r="V148" s="876"/>
      <c r="W148" s="876"/>
    </row>
    <row r="149" spans="1:23" s="356" customFormat="1" ht="15.75" customHeight="1">
      <c r="A149" s="883"/>
      <c r="B149" s="879"/>
      <c r="C149" s="881"/>
      <c r="D149" s="919"/>
      <c r="E149" s="903"/>
      <c r="F149" s="883"/>
      <c r="G149" s="879"/>
      <c r="H149" s="355">
        <v>0</v>
      </c>
      <c r="I149" s="355">
        <v>0</v>
      </c>
      <c r="J149" s="878"/>
      <c r="K149" s="878"/>
      <c r="L149" s="876"/>
      <c r="M149" s="876"/>
      <c r="N149" s="878"/>
      <c r="O149" s="878"/>
      <c r="P149" s="876"/>
      <c r="Q149" s="876"/>
      <c r="R149" s="878"/>
      <c r="S149" s="876"/>
      <c r="T149" s="876"/>
      <c r="U149" s="878"/>
      <c r="V149" s="876"/>
      <c r="W149" s="876"/>
    </row>
    <row r="150" spans="1:23" s="356" customFormat="1" ht="15.75" customHeight="1">
      <c r="A150" s="883"/>
      <c r="B150" s="879"/>
      <c r="C150" s="881"/>
      <c r="D150" s="919"/>
      <c r="E150" s="903"/>
      <c r="F150" s="883"/>
      <c r="G150" s="879"/>
      <c r="H150" s="355">
        <v>14474452</v>
      </c>
      <c r="I150" s="355">
        <v>14474452</v>
      </c>
      <c r="J150" s="878"/>
      <c r="K150" s="878"/>
      <c r="L150" s="876"/>
      <c r="M150" s="876"/>
      <c r="N150" s="878"/>
      <c r="O150" s="878"/>
      <c r="P150" s="876"/>
      <c r="Q150" s="876"/>
      <c r="R150" s="878"/>
      <c r="S150" s="876"/>
      <c r="T150" s="876"/>
      <c r="U150" s="878"/>
      <c r="V150" s="876"/>
      <c r="W150" s="876"/>
    </row>
    <row r="151" spans="1:23" s="356" customFormat="1" ht="15.75" customHeight="1">
      <c r="A151" s="883"/>
      <c r="B151" s="879"/>
      <c r="C151" s="881"/>
      <c r="D151" s="919"/>
      <c r="E151" s="904"/>
      <c r="F151" s="883"/>
      <c r="G151" s="879"/>
      <c r="H151" s="355">
        <v>0</v>
      </c>
      <c r="I151" s="355">
        <v>0</v>
      </c>
      <c r="J151" s="878"/>
      <c r="K151" s="878"/>
      <c r="L151" s="876"/>
      <c r="M151" s="876"/>
      <c r="N151" s="878"/>
      <c r="O151" s="878"/>
      <c r="P151" s="876"/>
      <c r="Q151" s="876"/>
      <c r="R151" s="878"/>
      <c r="S151" s="876"/>
      <c r="T151" s="876"/>
      <c r="U151" s="878"/>
      <c r="V151" s="876"/>
      <c r="W151" s="876"/>
    </row>
    <row r="152" spans="1:23" s="356" customFormat="1" ht="15.75" customHeight="1">
      <c r="A152" s="883">
        <v>28</v>
      </c>
      <c r="B152" s="879" t="s">
        <v>626</v>
      </c>
      <c r="C152" s="881" t="s">
        <v>745</v>
      </c>
      <c r="D152" s="919" t="s">
        <v>751</v>
      </c>
      <c r="E152" s="902" t="s">
        <v>711</v>
      </c>
      <c r="F152" s="883" t="s">
        <v>712</v>
      </c>
      <c r="G152" s="879" t="s">
        <v>747</v>
      </c>
      <c r="H152" s="355">
        <f>H153+H154+H155+H156</f>
        <v>17405259</v>
      </c>
      <c r="I152" s="355">
        <f>I153+I154+I155+I156</f>
        <v>12298151</v>
      </c>
      <c r="J152" s="878">
        <f>K152+N152</f>
        <v>5107108</v>
      </c>
      <c r="K152" s="878">
        <f>L152+M152</f>
        <v>3912630</v>
      </c>
      <c r="L152" s="876">
        <v>41772</v>
      </c>
      <c r="M152" s="876">
        <v>3870858</v>
      </c>
      <c r="N152" s="878">
        <f>O152+R152+U152</f>
        <v>1194478</v>
      </c>
      <c r="O152" s="878">
        <f>P152+Q152</f>
        <v>521684</v>
      </c>
      <c r="P152" s="876">
        <v>0</v>
      </c>
      <c r="Q152" s="876">
        <v>521684</v>
      </c>
      <c r="R152" s="878">
        <f>S152+T152</f>
        <v>672794</v>
      </c>
      <c r="S152" s="876">
        <v>7371</v>
      </c>
      <c r="T152" s="876">
        <v>665423</v>
      </c>
      <c r="U152" s="878">
        <f>V152+W152</f>
        <v>0</v>
      </c>
      <c r="V152" s="876">
        <v>0</v>
      </c>
      <c r="W152" s="876">
        <v>0</v>
      </c>
    </row>
    <row r="153" spans="1:23" s="356" customFormat="1" ht="15.75" customHeight="1">
      <c r="A153" s="883"/>
      <c r="B153" s="879"/>
      <c r="C153" s="881"/>
      <c r="D153" s="919"/>
      <c r="E153" s="903"/>
      <c r="F153" s="883"/>
      <c r="G153" s="879"/>
      <c r="H153" s="355">
        <v>13053944</v>
      </c>
      <c r="I153" s="355">
        <v>9141314</v>
      </c>
      <c r="J153" s="878"/>
      <c r="K153" s="878"/>
      <c r="L153" s="876"/>
      <c r="M153" s="876"/>
      <c r="N153" s="878"/>
      <c r="O153" s="878"/>
      <c r="P153" s="876"/>
      <c r="Q153" s="876"/>
      <c r="R153" s="878"/>
      <c r="S153" s="876"/>
      <c r="T153" s="876"/>
      <c r="U153" s="878"/>
      <c r="V153" s="876"/>
      <c r="W153" s="876"/>
    </row>
    <row r="154" spans="1:23" s="356" customFormat="1" ht="15.75" customHeight="1">
      <c r="A154" s="883"/>
      <c r="B154" s="879"/>
      <c r="C154" s="881"/>
      <c r="D154" s="919"/>
      <c r="E154" s="903"/>
      <c r="F154" s="883"/>
      <c r="G154" s="879"/>
      <c r="H154" s="355">
        <v>1740526</v>
      </c>
      <c r="I154" s="355">
        <v>1218842</v>
      </c>
      <c r="J154" s="878"/>
      <c r="K154" s="878"/>
      <c r="L154" s="876"/>
      <c r="M154" s="876"/>
      <c r="N154" s="878"/>
      <c r="O154" s="878"/>
      <c r="P154" s="876"/>
      <c r="Q154" s="876"/>
      <c r="R154" s="878"/>
      <c r="S154" s="876"/>
      <c r="T154" s="876"/>
      <c r="U154" s="878"/>
      <c r="V154" s="876"/>
      <c r="W154" s="876"/>
    </row>
    <row r="155" spans="1:23" s="356" customFormat="1" ht="15.75" customHeight="1">
      <c r="A155" s="883"/>
      <c r="B155" s="879"/>
      <c r="C155" s="881"/>
      <c r="D155" s="919"/>
      <c r="E155" s="903"/>
      <c r="F155" s="883"/>
      <c r="G155" s="879"/>
      <c r="H155" s="355">
        <v>2610789</v>
      </c>
      <c r="I155" s="355">
        <v>1937995</v>
      </c>
      <c r="J155" s="878"/>
      <c r="K155" s="878"/>
      <c r="L155" s="876"/>
      <c r="M155" s="876"/>
      <c r="N155" s="878"/>
      <c r="O155" s="878"/>
      <c r="P155" s="876"/>
      <c r="Q155" s="876"/>
      <c r="R155" s="878"/>
      <c r="S155" s="876"/>
      <c r="T155" s="876"/>
      <c r="U155" s="878"/>
      <c r="V155" s="876"/>
      <c r="W155" s="876"/>
    </row>
    <row r="156" spans="1:23" s="356" customFormat="1" ht="15.75" customHeight="1">
      <c r="A156" s="883"/>
      <c r="B156" s="879"/>
      <c r="C156" s="881"/>
      <c r="D156" s="919"/>
      <c r="E156" s="904"/>
      <c r="F156" s="883"/>
      <c r="G156" s="879"/>
      <c r="H156" s="355">
        <v>0</v>
      </c>
      <c r="I156" s="355">
        <v>0</v>
      </c>
      <c r="J156" s="878"/>
      <c r="K156" s="878"/>
      <c r="L156" s="876"/>
      <c r="M156" s="876"/>
      <c r="N156" s="878"/>
      <c r="O156" s="878"/>
      <c r="P156" s="876"/>
      <c r="Q156" s="876"/>
      <c r="R156" s="878"/>
      <c r="S156" s="876"/>
      <c r="T156" s="876"/>
      <c r="U156" s="878"/>
      <c r="V156" s="876"/>
      <c r="W156" s="876"/>
    </row>
    <row r="157" spans="1:23" s="356" customFormat="1" ht="15.75" customHeight="1">
      <c r="A157" s="883">
        <v>29</v>
      </c>
      <c r="B157" s="879" t="s">
        <v>626</v>
      </c>
      <c r="C157" s="881" t="s">
        <v>745</v>
      </c>
      <c r="D157" s="919" t="s">
        <v>752</v>
      </c>
      <c r="E157" s="902" t="s">
        <v>711</v>
      </c>
      <c r="F157" s="883" t="s">
        <v>712</v>
      </c>
      <c r="G157" s="879" t="s">
        <v>701</v>
      </c>
      <c r="H157" s="355">
        <f>H158+H159+H160+H161</f>
        <v>18993883</v>
      </c>
      <c r="I157" s="355">
        <f>I158+I159+I160+I161</f>
        <v>3081263</v>
      </c>
      <c r="J157" s="878">
        <f>K157+N157</f>
        <v>1000000</v>
      </c>
      <c r="K157" s="878">
        <f>L157+M157</f>
        <v>1000000</v>
      </c>
      <c r="L157" s="876">
        <v>0</v>
      </c>
      <c r="M157" s="876">
        <v>1000000</v>
      </c>
      <c r="N157" s="878">
        <f>O157+R157+U157</f>
        <v>0</v>
      </c>
      <c r="O157" s="878">
        <f>P157+Q157</f>
        <v>0</v>
      </c>
      <c r="P157" s="876">
        <v>0</v>
      </c>
      <c r="Q157" s="876">
        <v>0</v>
      </c>
      <c r="R157" s="878">
        <f>S157+T157</f>
        <v>0</v>
      </c>
      <c r="S157" s="876">
        <v>0</v>
      </c>
      <c r="T157" s="876">
        <v>0</v>
      </c>
      <c r="U157" s="878">
        <f>V157+W157</f>
        <v>0</v>
      </c>
      <c r="V157" s="876">
        <v>0</v>
      </c>
      <c r="W157" s="876">
        <v>0</v>
      </c>
    </row>
    <row r="158" spans="1:23" s="356" customFormat="1" ht="15.75" customHeight="1">
      <c r="A158" s="883"/>
      <c r="B158" s="879"/>
      <c r="C158" s="881"/>
      <c r="D158" s="919"/>
      <c r="E158" s="903"/>
      <c r="F158" s="883"/>
      <c r="G158" s="879"/>
      <c r="H158" s="355">
        <v>15912620</v>
      </c>
      <c r="I158" s="355">
        <v>0</v>
      </c>
      <c r="J158" s="878"/>
      <c r="K158" s="878"/>
      <c r="L158" s="876"/>
      <c r="M158" s="876"/>
      <c r="N158" s="878"/>
      <c r="O158" s="878"/>
      <c r="P158" s="876"/>
      <c r="Q158" s="876"/>
      <c r="R158" s="878"/>
      <c r="S158" s="876"/>
      <c r="T158" s="876"/>
      <c r="U158" s="878"/>
      <c r="V158" s="876"/>
      <c r="W158" s="876"/>
    </row>
    <row r="159" spans="1:23" s="356" customFormat="1" ht="15.75" customHeight="1">
      <c r="A159" s="883"/>
      <c r="B159" s="879"/>
      <c r="C159" s="881"/>
      <c r="D159" s="919"/>
      <c r="E159" s="903"/>
      <c r="F159" s="883"/>
      <c r="G159" s="879"/>
      <c r="H159" s="355">
        <v>0</v>
      </c>
      <c r="I159" s="355">
        <v>0</v>
      </c>
      <c r="J159" s="878"/>
      <c r="K159" s="878"/>
      <c r="L159" s="876"/>
      <c r="M159" s="876"/>
      <c r="N159" s="878"/>
      <c r="O159" s="878"/>
      <c r="P159" s="876"/>
      <c r="Q159" s="876"/>
      <c r="R159" s="878"/>
      <c r="S159" s="876"/>
      <c r="T159" s="876"/>
      <c r="U159" s="878"/>
      <c r="V159" s="876"/>
      <c r="W159" s="876"/>
    </row>
    <row r="160" spans="1:23" s="356" customFormat="1" ht="15.75" customHeight="1">
      <c r="A160" s="883"/>
      <c r="B160" s="879"/>
      <c r="C160" s="881"/>
      <c r="D160" s="919"/>
      <c r="E160" s="903"/>
      <c r="F160" s="883"/>
      <c r="G160" s="879"/>
      <c r="H160" s="355">
        <v>3081263</v>
      </c>
      <c r="I160" s="355">
        <v>3081263</v>
      </c>
      <c r="J160" s="878"/>
      <c r="K160" s="878"/>
      <c r="L160" s="876"/>
      <c r="M160" s="876"/>
      <c r="N160" s="878"/>
      <c r="O160" s="878"/>
      <c r="P160" s="876"/>
      <c r="Q160" s="876"/>
      <c r="R160" s="878"/>
      <c r="S160" s="876"/>
      <c r="T160" s="876"/>
      <c r="U160" s="878"/>
      <c r="V160" s="876"/>
      <c r="W160" s="876"/>
    </row>
    <row r="161" spans="1:23" s="356" customFormat="1" ht="15.75" customHeight="1">
      <c r="A161" s="883"/>
      <c r="B161" s="879"/>
      <c r="C161" s="881"/>
      <c r="D161" s="919"/>
      <c r="E161" s="904"/>
      <c r="F161" s="883"/>
      <c r="G161" s="879"/>
      <c r="H161" s="355">
        <v>0</v>
      </c>
      <c r="I161" s="355">
        <v>0</v>
      </c>
      <c r="J161" s="878"/>
      <c r="K161" s="878"/>
      <c r="L161" s="876"/>
      <c r="M161" s="876"/>
      <c r="N161" s="878"/>
      <c r="O161" s="878"/>
      <c r="P161" s="876"/>
      <c r="Q161" s="876"/>
      <c r="R161" s="878"/>
      <c r="S161" s="876"/>
      <c r="T161" s="876"/>
      <c r="U161" s="878"/>
      <c r="V161" s="876"/>
      <c r="W161" s="876"/>
    </row>
    <row r="162" spans="1:23" s="356" customFormat="1" ht="14.25" customHeight="1">
      <c r="A162" s="883">
        <v>30</v>
      </c>
      <c r="B162" s="879" t="s">
        <v>626</v>
      </c>
      <c r="C162" s="881" t="s">
        <v>745</v>
      </c>
      <c r="D162" s="919" t="s">
        <v>753</v>
      </c>
      <c r="E162" s="902" t="s">
        <v>711</v>
      </c>
      <c r="F162" s="883" t="s">
        <v>712</v>
      </c>
      <c r="G162" s="879" t="s">
        <v>718</v>
      </c>
      <c r="H162" s="355">
        <f>H163+H164+H165+H166</f>
        <v>75591138</v>
      </c>
      <c r="I162" s="355">
        <f>I163+I164+I165+I166</f>
        <v>790890</v>
      </c>
      <c r="J162" s="878">
        <f>K162+N162</f>
        <v>1000000</v>
      </c>
      <c r="K162" s="878">
        <f>L162+M162</f>
        <v>0</v>
      </c>
      <c r="L162" s="876">
        <v>0</v>
      </c>
      <c r="M162" s="876">
        <v>0</v>
      </c>
      <c r="N162" s="878">
        <f>O162+R162+U162</f>
        <v>1000000</v>
      </c>
      <c r="O162" s="878">
        <f>P162+Q162</f>
        <v>0</v>
      </c>
      <c r="P162" s="876">
        <v>0</v>
      </c>
      <c r="Q162" s="876">
        <v>0</v>
      </c>
      <c r="R162" s="878">
        <f>S162+T162</f>
        <v>1000000</v>
      </c>
      <c r="S162" s="876">
        <v>0</v>
      </c>
      <c r="T162" s="876">
        <v>1000000</v>
      </c>
      <c r="U162" s="878">
        <f>V162+W162</f>
        <v>0</v>
      </c>
      <c r="V162" s="876">
        <v>0</v>
      </c>
      <c r="W162" s="876">
        <v>0</v>
      </c>
    </row>
    <row r="163" spans="1:23" s="356" customFormat="1" ht="14.25" customHeight="1">
      <c r="A163" s="883"/>
      <c r="B163" s="879"/>
      <c r="C163" s="881"/>
      <c r="D163" s="919"/>
      <c r="E163" s="903"/>
      <c r="F163" s="883"/>
      <c r="G163" s="879"/>
      <c r="H163" s="355">
        <v>64231557</v>
      </c>
      <c r="I163" s="355">
        <v>0</v>
      </c>
      <c r="J163" s="878"/>
      <c r="K163" s="878"/>
      <c r="L163" s="876"/>
      <c r="M163" s="876"/>
      <c r="N163" s="878"/>
      <c r="O163" s="878"/>
      <c r="P163" s="876"/>
      <c r="Q163" s="876"/>
      <c r="R163" s="878"/>
      <c r="S163" s="876"/>
      <c r="T163" s="876"/>
      <c r="U163" s="878"/>
      <c r="V163" s="876"/>
      <c r="W163" s="876"/>
    </row>
    <row r="164" spans="1:23" s="356" customFormat="1" ht="14.25" customHeight="1">
      <c r="A164" s="883"/>
      <c r="B164" s="879"/>
      <c r="C164" s="881"/>
      <c r="D164" s="919"/>
      <c r="E164" s="903"/>
      <c r="F164" s="883"/>
      <c r="G164" s="879"/>
      <c r="H164" s="355">
        <v>0</v>
      </c>
      <c r="I164" s="355">
        <v>0</v>
      </c>
      <c r="J164" s="878"/>
      <c r="K164" s="878"/>
      <c r="L164" s="876"/>
      <c r="M164" s="876"/>
      <c r="N164" s="878"/>
      <c r="O164" s="878"/>
      <c r="P164" s="876"/>
      <c r="Q164" s="876"/>
      <c r="R164" s="878"/>
      <c r="S164" s="876"/>
      <c r="T164" s="876"/>
      <c r="U164" s="878"/>
      <c r="V164" s="876"/>
      <c r="W164" s="876"/>
    </row>
    <row r="165" spans="1:23" s="356" customFormat="1" ht="14.25" customHeight="1">
      <c r="A165" s="883"/>
      <c r="B165" s="879"/>
      <c r="C165" s="881"/>
      <c r="D165" s="919"/>
      <c r="E165" s="903"/>
      <c r="F165" s="883"/>
      <c r="G165" s="879"/>
      <c r="H165" s="355">
        <v>11359581</v>
      </c>
      <c r="I165" s="355">
        <v>790890</v>
      </c>
      <c r="J165" s="878"/>
      <c r="K165" s="878"/>
      <c r="L165" s="876"/>
      <c r="M165" s="876"/>
      <c r="N165" s="878"/>
      <c r="O165" s="878"/>
      <c r="P165" s="876"/>
      <c r="Q165" s="876"/>
      <c r="R165" s="878"/>
      <c r="S165" s="876"/>
      <c r="T165" s="876"/>
      <c r="U165" s="878"/>
      <c r="V165" s="876"/>
      <c r="W165" s="876"/>
    </row>
    <row r="166" spans="1:23" s="356" customFormat="1" ht="14.25" customHeight="1">
      <c r="A166" s="883"/>
      <c r="B166" s="879"/>
      <c r="C166" s="881"/>
      <c r="D166" s="919"/>
      <c r="E166" s="904"/>
      <c r="F166" s="883"/>
      <c r="G166" s="879"/>
      <c r="H166" s="355">
        <v>0</v>
      </c>
      <c r="I166" s="355">
        <v>0</v>
      </c>
      <c r="J166" s="878"/>
      <c r="K166" s="878"/>
      <c r="L166" s="876"/>
      <c r="M166" s="876"/>
      <c r="N166" s="878"/>
      <c r="O166" s="878"/>
      <c r="P166" s="876"/>
      <c r="Q166" s="876"/>
      <c r="R166" s="878"/>
      <c r="S166" s="876"/>
      <c r="T166" s="876"/>
      <c r="U166" s="878"/>
      <c r="V166" s="876"/>
      <c r="W166" s="876"/>
    </row>
    <row r="167" spans="1:23" s="356" customFormat="1" ht="14.25" customHeight="1">
      <c r="A167" s="883">
        <v>31</v>
      </c>
      <c r="B167" s="880" t="s">
        <v>626</v>
      </c>
      <c r="C167" s="881" t="s">
        <v>745</v>
      </c>
      <c r="D167" s="882" t="s">
        <v>754</v>
      </c>
      <c r="E167" s="902" t="s">
        <v>711</v>
      </c>
      <c r="F167" s="883" t="s">
        <v>712</v>
      </c>
      <c r="G167" s="883" t="s">
        <v>701</v>
      </c>
      <c r="H167" s="355">
        <f>H169+H168+H170+H171</f>
        <v>40871837</v>
      </c>
      <c r="I167" s="355">
        <f>I169+I168+I170+I171</f>
        <v>516600</v>
      </c>
      <c r="J167" s="878">
        <f>K167+N167</f>
        <v>1000000</v>
      </c>
      <c r="K167" s="878">
        <f>L167+M167</f>
        <v>0</v>
      </c>
      <c r="L167" s="876">
        <v>0</v>
      </c>
      <c r="M167" s="876">
        <v>0</v>
      </c>
      <c r="N167" s="878">
        <f>O167+R167+U167</f>
        <v>1000000</v>
      </c>
      <c r="O167" s="878">
        <f>P167+Q167</f>
        <v>0</v>
      </c>
      <c r="P167" s="876">
        <v>0</v>
      </c>
      <c r="Q167" s="876">
        <v>0</v>
      </c>
      <c r="R167" s="878">
        <f>S167+T167</f>
        <v>1000000</v>
      </c>
      <c r="S167" s="876">
        <v>0</v>
      </c>
      <c r="T167" s="876">
        <v>1000000</v>
      </c>
      <c r="U167" s="878">
        <f>V167+W167</f>
        <v>0</v>
      </c>
      <c r="V167" s="876">
        <v>0</v>
      </c>
      <c r="W167" s="876">
        <v>0</v>
      </c>
    </row>
    <row r="168" spans="1:23" s="356" customFormat="1" ht="14.25" customHeight="1">
      <c r="A168" s="883"/>
      <c r="B168" s="880"/>
      <c r="C168" s="881"/>
      <c r="D168" s="882"/>
      <c r="E168" s="903"/>
      <c r="F168" s="883"/>
      <c r="G168" s="883"/>
      <c r="H168" s="355">
        <v>34730606</v>
      </c>
      <c r="I168" s="355">
        <v>0</v>
      </c>
      <c r="J168" s="878"/>
      <c r="K168" s="878"/>
      <c r="L168" s="876"/>
      <c r="M168" s="876"/>
      <c r="N168" s="878"/>
      <c r="O168" s="878"/>
      <c r="P168" s="876"/>
      <c r="Q168" s="876"/>
      <c r="R168" s="878"/>
      <c r="S168" s="876"/>
      <c r="T168" s="876"/>
      <c r="U168" s="878"/>
      <c r="V168" s="876"/>
      <c r="W168" s="876"/>
    </row>
    <row r="169" spans="1:23" s="356" customFormat="1" ht="14.25" customHeight="1">
      <c r="A169" s="883"/>
      <c r="B169" s="880"/>
      <c r="C169" s="881"/>
      <c r="D169" s="882"/>
      <c r="E169" s="903"/>
      <c r="F169" s="883"/>
      <c r="G169" s="883"/>
      <c r="H169" s="355">
        <v>0</v>
      </c>
      <c r="I169" s="355">
        <v>0</v>
      </c>
      <c r="J169" s="878"/>
      <c r="K169" s="878"/>
      <c r="L169" s="876"/>
      <c r="M169" s="876"/>
      <c r="N169" s="878"/>
      <c r="O169" s="878"/>
      <c r="P169" s="876"/>
      <c r="Q169" s="876"/>
      <c r="R169" s="878"/>
      <c r="S169" s="876"/>
      <c r="T169" s="876"/>
      <c r="U169" s="878"/>
      <c r="V169" s="876"/>
      <c r="W169" s="876"/>
    </row>
    <row r="170" spans="1:23" s="356" customFormat="1" ht="14.25" customHeight="1">
      <c r="A170" s="883"/>
      <c r="B170" s="880"/>
      <c r="C170" s="881"/>
      <c r="D170" s="882"/>
      <c r="E170" s="903"/>
      <c r="F170" s="883"/>
      <c r="G170" s="883"/>
      <c r="H170" s="355">
        <v>6141231</v>
      </c>
      <c r="I170" s="355">
        <v>516600</v>
      </c>
      <c r="J170" s="878"/>
      <c r="K170" s="878"/>
      <c r="L170" s="876"/>
      <c r="M170" s="876"/>
      <c r="N170" s="878"/>
      <c r="O170" s="878"/>
      <c r="P170" s="876"/>
      <c r="Q170" s="876"/>
      <c r="R170" s="878"/>
      <c r="S170" s="876"/>
      <c r="T170" s="876"/>
      <c r="U170" s="878"/>
      <c r="V170" s="876"/>
      <c r="W170" s="876"/>
    </row>
    <row r="171" spans="1:23" s="356" customFormat="1" ht="14.25" customHeight="1">
      <c r="A171" s="883"/>
      <c r="B171" s="880"/>
      <c r="C171" s="881"/>
      <c r="D171" s="882"/>
      <c r="E171" s="904"/>
      <c r="F171" s="883"/>
      <c r="G171" s="883"/>
      <c r="H171" s="355">
        <v>0</v>
      </c>
      <c r="I171" s="355">
        <v>0</v>
      </c>
      <c r="J171" s="878"/>
      <c r="K171" s="878"/>
      <c r="L171" s="876"/>
      <c r="M171" s="876"/>
      <c r="N171" s="878"/>
      <c r="O171" s="878"/>
      <c r="P171" s="876"/>
      <c r="Q171" s="876"/>
      <c r="R171" s="878"/>
      <c r="S171" s="876"/>
      <c r="T171" s="876"/>
      <c r="U171" s="878"/>
      <c r="V171" s="876"/>
      <c r="W171" s="876"/>
    </row>
    <row r="172" spans="1:23" s="356" customFormat="1" ht="14.25" customHeight="1">
      <c r="A172" s="883">
        <v>32</v>
      </c>
      <c r="B172" s="879" t="s">
        <v>626</v>
      </c>
      <c r="C172" s="881" t="s">
        <v>745</v>
      </c>
      <c r="D172" s="919" t="s">
        <v>755</v>
      </c>
      <c r="E172" s="902" t="s">
        <v>711</v>
      </c>
      <c r="F172" s="883" t="s">
        <v>712</v>
      </c>
      <c r="G172" s="879" t="s">
        <v>756</v>
      </c>
      <c r="H172" s="355">
        <f>H173+H174+H175+H176</f>
        <v>35242925</v>
      </c>
      <c r="I172" s="355">
        <f>I173+I174+I175+I176</f>
        <v>224475</v>
      </c>
      <c r="J172" s="878">
        <f>K172+N172</f>
        <v>1000000</v>
      </c>
      <c r="K172" s="878">
        <f>L172+M172</f>
        <v>0</v>
      </c>
      <c r="L172" s="876">
        <v>0</v>
      </c>
      <c r="M172" s="876">
        <v>0</v>
      </c>
      <c r="N172" s="878">
        <f>O172+R172+U172</f>
        <v>1000000</v>
      </c>
      <c r="O172" s="878">
        <f>P172+Q172</f>
        <v>0</v>
      </c>
      <c r="P172" s="876">
        <v>0</v>
      </c>
      <c r="Q172" s="876">
        <v>0</v>
      </c>
      <c r="R172" s="878">
        <f>S172+T172</f>
        <v>1000000</v>
      </c>
      <c r="S172" s="876">
        <v>0</v>
      </c>
      <c r="T172" s="876">
        <v>1000000</v>
      </c>
      <c r="U172" s="878">
        <f>V172+W172</f>
        <v>0</v>
      </c>
      <c r="V172" s="876">
        <v>0</v>
      </c>
      <c r="W172" s="876">
        <v>0</v>
      </c>
    </row>
    <row r="173" spans="1:23" s="356" customFormat="1" ht="14.25" customHeight="1">
      <c r="A173" s="883"/>
      <c r="B173" s="879"/>
      <c r="C173" s="881"/>
      <c r="D173" s="919"/>
      <c r="E173" s="903"/>
      <c r="F173" s="883"/>
      <c r="G173" s="879"/>
      <c r="H173" s="355">
        <v>29940804</v>
      </c>
      <c r="I173" s="355">
        <v>0</v>
      </c>
      <c r="J173" s="878"/>
      <c r="K173" s="878"/>
      <c r="L173" s="876"/>
      <c r="M173" s="876"/>
      <c r="N173" s="878"/>
      <c r="O173" s="878"/>
      <c r="P173" s="876"/>
      <c r="Q173" s="876"/>
      <c r="R173" s="878"/>
      <c r="S173" s="876"/>
      <c r="T173" s="876"/>
      <c r="U173" s="878"/>
      <c r="V173" s="876"/>
      <c r="W173" s="876"/>
    </row>
    <row r="174" spans="1:23" s="356" customFormat="1" ht="14.25" customHeight="1">
      <c r="A174" s="883"/>
      <c r="B174" s="879"/>
      <c r="C174" s="881"/>
      <c r="D174" s="919"/>
      <c r="E174" s="903"/>
      <c r="F174" s="883"/>
      <c r="G174" s="879"/>
      <c r="H174" s="355">
        <v>0</v>
      </c>
      <c r="I174" s="355">
        <v>0</v>
      </c>
      <c r="J174" s="878"/>
      <c r="K174" s="878"/>
      <c r="L174" s="876"/>
      <c r="M174" s="876"/>
      <c r="N174" s="878"/>
      <c r="O174" s="878"/>
      <c r="P174" s="876"/>
      <c r="Q174" s="876"/>
      <c r="R174" s="878"/>
      <c r="S174" s="876"/>
      <c r="T174" s="876"/>
      <c r="U174" s="878"/>
      <c r="V174" s="876"/>
      <c r="W174" s="876"/>
    </row>
    <row r="175" spans="1:23" s="356" customFormat="1" ht="14.25" customHeight="1">
      <c r="A175" s="883"/>
      <c r="B175" s="879"/>
      <c r="C175" s="881"/>
      <c r="D175" s="919"/>
      <c r="E175" s="903"/>
      <c r="F175" s="883"/>
      <c r="G175" s="879"/>
      <c r="H175" s="355">
        <v>5302121</v>
      </c>
      <c r="I175" s="355">
        <v>224475</v>
      </c>
      <c r="J175" s="878"/>
      <c r="K175" s="878"/>
      <c r="L175" s="876"/>
      <c r="M175" s="876"/>
      <c r="N175" s="878"/>
      <c r="O175" s="878"/>
      <c r="P175" s="876"/>
      <c r="Q175" s="876"/>
      <c r="R175" s="878"/>
      <c r="S175" s="876"/>
      <c r="T175" s="876"/>
      <c r="U175" s="878"/>
      <c r="V175" s="876"/>
      <c r="W175" s="876"/>
    </row>
    <row r="176" spans="1:23" s="356" customFormat="1" ht="14.25" customHeight="1">
      <c r="A176" s="883"/>
      <c r="B176" s="879"/>
      <c r="C176" s="881"/>
      <c r="D176" s="919"/>
      <c r="E176" s="904"/>
      <c r="F176" s="883"/>
      <c r="G176" s="879"/>
      <c r="H176" s="355">
        <v>0</v>
      </c>
      <c r="I176" s="355">
        <v>0</v>
      </c>
      <c r="J176" s="878"/>
      <c r="K176" s="878"/>
      <c r="L176" s="876"/>
      <c r="M176" s="876"/>
      <c r="N176" s="878"/>
      <c r="O176" s="878"/>
      <c r="P176" s="876"/>
      <c r="Q176" s="876"/>
      <c r="R176" s="878"/>
      <c r="S176" s="876"/>
      <c r="T176" s="876"/>
      <c r="U176" s="878"/>
      <c r="V176" s="876"/>
      <c r="W176" s="876"/>
    </row>
    <row r="177" spans="1:23" s="356" customFormat="1" ht="14.25" customHeight="1">
      <c r="A177" s="883">
        <v>33</v>
      </c>
      <c r="B177" s="879" t="s">
        <v>626</v>
      </c>
      <c r="C177" s="881" t="s">
        <v>745</v>
      </c>
      <c r="D177" s="919" t="s">
        <v>757</v>
      </c>
      <c r="E177" s="902" t="s">
        <v>711</v>
      </c>
      <c r="F177" s="883" t="s">
        <v>712</v>
      </c>
      <c r="G177" s="879" t="s">
        <v>756</v>
      </c>
      <c r="H177" s="355">
        <f>H178+H179+H180+H181</f>
        <v>37939725</v>
      </c>
      <c r="I177" s="355">
        <f>I178+I179+I180+I181</f>
        <v>224475</v>
      </c>
      <c r="J177" s="878">
        <f>K177+N177</f>
        <v>1000000</v>
      </c>
      <c r="K177" s="878">
        <f>L177+M177</f>
        <v>0</v>
      </c>
      <c r="L177" s="876">
        <v>0</v>
      </c>
      <c r="M177" s="876">
        <v>0</v>
      </c>
      <c r="N177" s="878">
        <f>O177+R177+U177</f>
        <v>1000000</v>
      </c>
      <c r="O177" s="878">
        <f>P177+Q177</f>
        <v>0</v>
      </c>
      <c r="P177" s="876">
        <v>0</v>
      </c>
      <c r="Q177" s="876">
        <v>0</v>
      </c>
      <c r="R177" s="878">
        <f>S177+T177</f>
        <v>1000000</v>
      </c>
      <c r="S177" s="876">
        <v>0</v>
      </c>
      <c r="T177" s="876">
        <v>1000000</v>
      </c>
      <c r="U177" s="878">
        <f>V177+W177</f>
        <v>0</v>
      </c>
      <c r="V177" s="876">
        <v>0</v>
      </c>
      <c r="W177" s="876">
        <v>0</v>
      </c>
    </row>
    <row r="178" spans="1:23" s="356" customFormat="1" ht="14.25" customHeight="1">
      <c r="A178" s="883"/>
      <c r="B178" s="879"/>
      <c r="C178" s="881"/>
      <c r="D178" s="919"/>
      <c r="E178" s="903"/>
      <c r="F178" s="883"/>
      <c r="G178" s="879"/>
      <c r="H178" s="355">
        <v>32233084</v>
      </c>
      <c r="I178" s="355">
        <v>0</v>
      </c>
      <c r="J178" s="878"/>
      <c r="K178" s="878"/>
      <c r="L178" s="876"/>
      <c r="M178" s="876"/>
      <c r="N178" s="878"/>
      <c r="O178" s="878"/>
      <c r="P178" s="876"/>
      <c r="Q178" s="876"/>
      <c r="R178" s="878"/>
      <c r="S178" s="876"/>
      <c r="T178" s="876"/>
      <c r="U178" s="878"/>
      <c r="V178" s="876"/>
      <c r="W178" s="876"/>
    </row>
    <row r="179" spans="1:23" s="356" customFormat="1" ht="14.25" customHeight="1">
      <c r="A179" s="883"/>
      <c r="B179" s="879"/>
      <c r="C179" s="881"/>
      <c r="D179" s="919"/>
      <c r="E179" s="903"/>
      <c r="F179" s="883"/>
      <c r="G179" s="879"/>
      <c r="H179" s="355">
        <v>0</v>
      </c>
      <c r="I179" s="355">
        <v>0</v>
      </c>
      <c r="J179" s="878"/>
      <c r="K179" s="878"/>
      <c r="L179" s="876"/>
      <c r="M179" s="876"/>
      <c r="N179" s="878"/>
      <c r="O179" s="878"/>
      <c r="P179" s="876"/>
      <c r="Q179" s="876"/>
      <c r="R179" s="878"/>
      <c r="S179" s="876"/>
      <c r="T179" s="876"/>
      <c r="U179" s="878"/>
      <c r="V179" s="876"/>
      <c r="W179" s="876"/>
    </row>
    <row r="180" spans="1:23" s="356" customFormat="1" ht="14.25" customHeight="1">
      <c r="A180" s="883"/>
      <c r="B180" s="879"/>
      <c r="C180" s="881"/>
      <c r="D180" s="919"/>
      <c r="E180" s="903"/>
      <c r="F180" s="883"/>
      <c r="G180" s="879"/>
      <c r="H180" s="355">
        <v>5706641</v>
      </c>
      <c r="I180" s="355">
        <v>224475</v>
      </c>
      <c r="J180" s="878"/>
      <c r="K180" s="878"/>
      <c r="L180" s="876"/>
      <c r="M180" s="876"/>
      <c r="N180" s="878"/>
      <c r="O180" s="878"/>
      <c r="P180" s="876"/>
      <c r="Q180" s="876"/>
      <c r="R180" s="878"/>
      <c r="S180" s="876"/>
      <c r="T180" s="876"/>
      <c r="U180" s="878"/>
      <c r="V180" s="876"/>
      <c r="W180" s="876"/>
    </row>
    <row r="181" spans="1:23" s="356" customFormat="1" ht="14.25" customHeight="1">
      <c r="A181" s="883"/>
      <c r="B181" s="879"/>
      <c r="C181" s="881"/>
      <c r="D181" s="919"/>
      <c r="E181" s="904"/>
      <c r="F181" s="883"/>
      <c r="G181" s="879"/>
      <c r="H181" s="355">
        <v>0</v>
      </c>
      <c r="I181" s="355">
        <v>0</v>
      </c>
      <c r="J181" s="878"/>
      <c r="K181" s="878"/>
      <c r="L181" s="876"/>
      <c r="M181" s="876"/>
      <c r="N181" s="878"/>
      <c r="O181" s="878"/>
      <c r="P181" s="876"/>
      <c r="Q181" s="876"/>
      <c r="R181" s="878"/>
      <c r="S181" s="876"/>
      <c r="T181" s="876"/>
      <c r="U181" s="878"/>
      <c r="V181" s="876"/>
      <c r="W181" s="876"/>
    </row>
    <row r="182" spans="1:23" s="356" customFormat="1" ht="14.25" customHeight="1">
      <c r="A182" s="883">
        <v>34</v>
      </c>
      <c r="B182" s="879" t="s">
        <v>626</v>
      </c>
      <c r="C182" s="881" t="s">
        <v>745</v>
      </c>
      <c r="D182" s="919" t="s">
        <v>758</v>
      </c>
      <c r="E182" s="902" t="s">
        <v>711</v>
      </c>
      <c r="F182" s="883" t="s">
        <v>712</v>
      </c>
      <c r="G182" s="879" t="s">
        <v>756</v>
      </c>
      <c r="H182" s="355">
        <f>H183+H184+H185+H186</f>
        <v>6250500</v>
      </c>
      <c r="I182" s="355">
        <f>I183+I184+I185+I186</f>
        <v>232470</v>
      </c>
      <c r="J182" s="878">
        <f>K182+N182</f>
        <v>706151</v>
      </c>
      <c r="K182" s="878">
        <f>L182+M182</f>
        <v>0</v>
      </c>
      <c r="L182" s="876">
        <v>0</v>
      </c>
      <c r="M182" s="876">
        <v>0</v>
      </c>
      <c r="N182" s="878">
        <f>O182+R182+U182</f>
        <v>706151</v>
      </c>
      <c r="O182" s="878">
        <f>P182+Q182</f>
        <v>0</v>
      </c>
      <c r="P182" s="876">
        <v>0</v>
      </c>
      <c r="Q182" s="876">
        <v>0</v>
      </c>
      <c r="R182" s="878">
        <f>S182+T182</f>
        <v>706151</v>
      </c>
      <c r="S182" s="876">
        <v>0</v>
      </c>
      <c r="T182" s="876">
        <v>706151</v>
      </c>
      <c r="U182" s="878">
        <f>V182+W182</f>
        <v>0</v>
      </c>
      <c r="V182" s="876">
        <v>0</v>
      </c>
      <c r="W182" s="876">
        <v>0</v>
      </c>
    </row>
    <row r="183" spans="1:23" s="356" customFormat="1" ht="14.25" customHeight="1">
      <c r="A183" s="883"/>
      <c r="B183" s="879"/>
      <c r="C183" s="881"/>
      <c r="D183" s="919"/>
      <c r="E183" s="903"/>
      <c r="F183" s="883"/>
      <c r="G183" s="879"/>
      <c r="H183" s="355">
        <v>5311879</v>
      </c>
      <c r="I183" s="355">
        <v>0</v>
      </c>
      <c r="J183" s="878"/>
      <c r="K183" s="878"/>
      <c r="L183" s="876"/>
      <c r="M183" s="876"/>
      <c r="N183" s="878"/>
      <c r="O183" s="878"/>
      <c r="P183" s="876"/>
      <c r="Q183" s="876"/>
      <c r="R183" s="878"/>
      <c r="S183" s="876"/>
      <c r="T183" s="876"/>
      <c r="U183" s="878"/>
      <c r="V183" s="876"/>
      <c r="W183" s="876"/>
    </row>
    <row r="184" spans="1:23" s="356" customFormat="1" ht="14.25" customHeight="1">
      <c r="A184" s="883"/>
      <c r="B184" s="879"/>
      <c r="C184" s="881"/>
      <c r="D184" s="919"/>
      <c r="E184" s="903"/>
      <c r="F184" s="883"/>
      <c r="G184" s="879"/>
      <c r="H184" s="355">
        <v>0</v>
      </c>
      <c r="I184" s="355">
        <v>0</v>
      </c>
      <c r="J184" s="878"/>
      <c r="K184" s="878"/>
      <c r="L184" s="876"/>
      <c r="M184" s="876"/>
      <c r="N184" s="878"/>
      <c r="O184" s="878"/>
      <c r="P184" s="876"/>
      <c r="Q184" s="876"/>
      <c r="R184" s="878"/>
      <c r="S184" s="876"/>
      <c r="T184" s="876"/>
      <c r="U184" s="878"/>
      <c r="V184" s="876"/>
      <c r="W184" s="876"/>
    </row>
    <row r="185" spans="1:23" s="356" customFormat="1" ht="14.25" customHeight="1">
      <c r="A185" s="883"/>
      <c r="B185" s="879"/>
      <c r="C185" s="881"/>
      <c r="D185" s="919"/>
      <c r="E185" s="903"/>
      <c r="F185" s="883"/>
      <c r="G185" s="879"/>
      <c r="H185" s="355">
        <v>938621</v>
      </c>
      <c r="I185" s="355">
        <v>232470</v>
      </c>
      <c r="J185" s="878"/>
      <c r="K185" s="878"/>
      <c r="L185" s="876"/>
      <c r="M185" s="876"/>
      <c r="N185" s="878"/>
      <c r="O185" s="878"/>
      <c r="P185" s="876"/>
      <c r="Q185" s="876"/>
      <c r="R185" s="878"/>
      <c r="S185" s="876"/>
      <c r="T185" s="876"/>
      <c r="U185" s="878"/>
      <c r="V185" s="876"/>
      <c r="W185" s="876"/>
    </row>
    <row r="186" spans="1:23" s="356" customFormat="1" ht="14.25" customHeight="1">
      <c r="A186" s="883"/>
      <c r="B186" s="879"/>
      <c r="C186" s="881"/>
      <c r="D186" s="919"/>
      <c r="E186" s="904"/>
      <c r="F186" s="883"/>
      <c r="G186" s="879"/>
      <c r="H186" s="355">
        <v>0</v>
      </c>
      <c r="I186" s="355">
        <v>0</v>
      </c>
      <c r="J186" s="878"/>
      <c r="K186" s="878"/>
      <c r="L186" s="876"/>
      <c r="M186" s="876"/>
      <c r="N186" s="878"/>
      <c r="O186" s="878"/>
      <c r="P186" s="876"/>
      <c r="Q186" s="876"/>
      <c r="R186" s="878"/>
      <c r="S186" s="876"/>
      <c r="T186" s="876"/>
      <c r="U186" s="878"/>
      <c r="V186" s="876"/>
      <c r="W186" s="876"/>
    </row>
    <row r="187" spans="1:23" s="356" customFormat="1" ht="14.25" customHeight="1">
      <c r="A187" s="883">
        <v>35</v>
      </c>
      <c r="B187" s="879" t="s">
        <v>626</v>
      </c>
      <c r="C187" s="881" t="s">
        <v>745</v>
      </c>
      <c r="D187" s="919" t="s">
        <v>759</v>
      </c>
      <c r="E187" s="902" t="s">
        <v>711</v>
      </c>
      <c r="F187" s="883" t="s">
        <v>712</v>
      </c>
      <c r="G187" s="879" t="s">
        <v>756</v>
      </c>
      <c r="H187" s="355">
        <f>H188+H189+H190+H191</f>
        <v>34982248</v>
      </c>
      <c r="I187" s="355">
        <f>I188+I189+I190+I191</f>
        <v>236445</v>
      </c>
      <c r="J187" s="878">
        <f>K187+N187</f>
        <v>1000000</v>
      </c>
      <c r="K187" s="878">
        <f>L187+M187</f>
        <v>0</v>
      </c>
      <c r="L187" s="876">
        <v>0</v>
      </c>
      <c r="M187" s="876">
        <v>0</v>
      </c>
      <c r="N187" s="878">
        <f>O187+R187+U187</f>
        <v>1000000</v>
      </c>
      <c r="O187" s="878">
        <f>P187+Q187</f>
        <v>0</v>
      </c>
      <c r="P187" s="876">
        <v>0</v>
      </c>
      <c r="Q187" s="876">
        <v>0</v>
      </c>
      <c r="R187" s="878">
        <f>S187+T187</f>
        <v>1000000</v>
      </c>
      <c r="S187" s="876">
        <v>0</v>
      </c>
      <c r="T187" s="876">
        <v>1000000</v>
      </c>
      <c r="U187" s="878">
        <f>V187+W187</f>
        <v>0</v>
      </c>
      <c r="V187" s="876">
        <v>0</v>
      </c>
      <c r="W187" s="876">
        <v>0</v>
      </c>
    </row>
    <row r="188" spans="1:23" s="356" customFormat="1" ht="14.25" customHeight="1">
      <c r="A188" s="883"/>
      <c r="B188" s="879"/>
      <c r="C188" s="881"/>
      <c r="D188" s="919"/>
      <c r="E188" s="903"/>
      <c r="F188" s="883"/>
      <c r="G188" s="879"/>
      <c r="H188" s="355">
        <v>29734911</v>
      </c>
      <c r="I188" s="355">
        <v>0</v>
      </c>
      <c r="J188" s="878"/>
      <c r="K188" s="878"/>
      <c r="L188" s="876"/>
      <c r="M188" s="876"/>
      <c r="N188" s="878"/>
      <c r="O188" s="878"/>
      <c r="P188" s="876"/>
      <c r="Q188" s="876"/>
      <c r="R188" s="878"/>
      <c r="S188" s="876"/>
      <c r="T188" s="876"/>
      <c r="U188" s="878"/>
      <c r="V188" s="876"/>
      <c r="W188" s="876"/>
    </row>
    <row r="189" spans="1:23" s="356" customFormat="1" ht="14.25" customHeight="1">
      <c r="A189" s="883"/>
      <c r="B189" s="879"/>
      <c r="C189" s="881"/>
      <c r="D189" s="919"/>
      <c r="E189" s="903"/>
      <c r="F189" s="883"/>
      <c r="G189" s="879"/>
      <c r="H189" s="355">
        <v>0</v>
      </c>
      <c r="I189" s="355">
        <v>0</v>
      </c>
      <c r="J189" s="878"/>
      <c r="K189" s="878"/>
      <c r="L189" s="876"/>
      <c r="M189" s="876"/>
      <c r="N189" s="878"/>
      <c r="O189" s="878"/>
      <c r="P189" s="876"/>
      <c r="Q189" s="876"/>
      <c r="R189" s="878"/>
      <c r="S189" s="876"/>
      <c r="T189" s="876"/>
      <c r="U189" s="878"/>
      <c r="V189" s="876"/>
      <c r="W189" s="876"/>
    </row>
    <row r="190" spans="1:23" s="356" customFormat="1" ht="14.25" customHeight="1">
      <c r="A190" s="883"/>
      <c r="B190" s="879"/>
      <c r="C190" s="881"/>
      <c r="D190" s="919"/>
      <c r="E190" s="903"/>
      <c r="F190" s="883"/>
      <c r="G190" s="879"/>
      <c r="H190" s="355">
        <v>5247337</v>
      </c>
      <c r="I190" s="355">
        <v>236445</v>
      </c>
      <c r="J190" s="878"/>
      <c r="K190" s="878"/>
      <c r="L190" s="876"/>
      <c r="M190" s="876"/>
      <c r="N190" s="878"/>
      <c r="O190" s="878"/>
      <c r="P190" s="876"/>
      <c r="Q190" s="876"/>
      <c r="R190" s="878"/>
      <c r="S190" s="876"/>
      <c r="T190" s="876"/>
      <c r="U190" s="878"/>
      <c r="V190" s="876"/>
      <c r="W190" s="876"/>
    </row>
    <row r="191" spans="1:23" s="356" customFormat="1" ht="14.25" customHeight="1">
      <c r="A191" s="883"/>
      <c r="B191" s="879"/>
      <c r="C191" s="881"/>
      <c r="D191" s="919"/>
      <c r="E191" s="904"/>
      <c r="F191" s="883"/>
      <c r="G191" s="879"/>
      <c r="H191" s="355">
        <v>0</v>
      </c>
      <c r="I191" s="355">
        <v>0</v>
      </c>
      <c r="J191" s="878"/>
      <c r="K191" s="878"/>
      <c r="L191" s="876"/>
      <c r="M191" s="876"/>
      <c r="N191" s="878"/>
      <c r="O191" s="878"/>
      <c r="P191" s="876"/>
      <c r="Q191" s="876"/>
      <c r="R191" s="878"/>
      <c r="S191" s="876"/>
      <c r="T191" s="876"/>
      <c r="U191" s="878"/>
      <c r="V191" s="876"/>
      <c r="W191" s="876"/>
    </row>
    <row r="192" spans="1:23" s="356" customFormat="1" ht="15" customHeight="1">
      <c r="A192" s="883">
        <v>36</v>
      </c>
      <c r="B192" s="879" t="s">
        <v>626</v>
      </c>
      <c r="C192" s="881" t="s">
        <v>745</v>
      </c>
      <c r="D192" s="919" t="s">
        <v>760</v>
      </c>
      <c r="E192" s="902" t="s">
        <v>711</v>
      </c>
      <c r="F192" s="883" t="s">
        <v>712</v>
      </c>
      <c r="G192" s="879" t="s">
        <v>756</v>
      </c>
      <c r="H192" s="355">
        <f>H193+H194+H195+H196</f>
        <v>50902548</v>
      </c>
      <c r="I192" s="355">
        <f>I193+I194+I195+I196</f>
        <v>191133</v>
      </c>
      <c r="J192" s="878">
        <f>K192+N192</f>
        <v>1000000</v>
      </c>
      <c r="K192" s="878">
        <f>L192+M192</f>
        <v>0</v>
      </c>
      <c r="L192" s="876">
        <v>0</v>
      </c>
      <c r="M192" s="876">
        <v>0</v>
      </c>
      <c r="N192" s="878">
        <f>O192+R192+U192</f>
        <v>1000000</v>
      </c>
      <c r="O192" s="878">
        <f>P192+Q192</f>
        <v>0</v>
      </c>
      <c r="P192" s="876">
        <v>0</v>
      </c>
      <c r="Q192" s="876">
        <v>0</v>
      </c>
      <c r="R192" s="878">
        <f>S192+T192</f>
        <v>1000000</v>
      </c>
      <c r="S192" s="876">
        <v>0</v>
      </c>
      <c r="T192" s="876">
        <v>1000000</v>
      </c>
      <c r="U192" s="878">
        <f>V192+W192</f>
        <v>0</v>
      </c>
      <c r="V192" s="876">
        <v>0</v>
      </c>
      <c r="W192" s="876">
        <v>0</v>
      </c>
    </row>
    <row r="193" spans="1:23" s="356" customFormat="1" ht="15" customHeight="1">
      <c r="A193" s="883"/>
      <c r="B193" s="879"/>
      <c r="C193" s="881"/>
      <c r="D193" s="919"/>
      <c r="E193" s="903"/>
      <c r="F193" s="883"/>
      <c r="G193" s="879"/>
      <c r="H193" s="355">
        <v>43264552</v>
      </c>
      <c r="I193" s="355">
        <v>0</v>
      </c>
      <c r="J193" s="878"/>
      <c r="K193" s="878"/>
      <c r="L193" s="876"/>
      <c r="M193" s="876"/>
      <c r="N193" s="878"/>
      <c r="O193" s="878"/>
      <c r="P193" s="876"/>
      <c r="Q193" s="876"/>
      <c r="R193" s="878"/>
      <c r="S193" s="876"/>
      <c r="T193" s="876"/>
      <c r="U193" s="878"/>
      <c r="V193" s="876"/>
      <c r="W193" s="876"/>
    </row>
    <row r="194" spans="1:23" s="356" customFormat="1" ht="15" customHeight="1">
      <c r="A194" s="883"/>
      <c r="B194" s="879"/>
      <c r="C194" s="881"/>
      <c r="D194" s="919"/>
      <c r="E194" s="903"/>
      <c r="F194" s="883"/>
      <c r="G194" s="879"/>
      <c r="H194" s="355">
        <v>0</v>
      </c>
      <c r="I194" s="355">
        <v>0</v>
      </c>
      <c r="J194" s="878"/>
      <c r="K194" s="878"/>
      <c r="L194" s="876"/>
      <c r="M194" s="876"/>
      <c r="N194" s="878"/>
      <c r="O194" s="878"/>
      <c r="P194" s="876"/>
      <c r="Q194" s="876"/>
      <c r="R194" s="878"/>
      <c r="S194" s="876"/>
      <c r="T194" s="876"/>
      <c r="U194" s="878"/>
      <c r="V194" s="876"/>
      <c r="W194" s="876"/>
    </row>
    <row r="195" spans="1:23" s="356" customFormat="1" ht="15" customHeight="1">
      <c r="A195" s="883"/>
      <c r="B195" s="879"/>
      <c r="C195" s="881"/>
      <c r="D195" s="919"/>
      <c r="E195" s="903"/>
      <c r="F195" s="883"/>
      <c r="G195" s="879"/>
      <c r="H195" s="355">
        <v>7637996</v>
      </c>
      <c r="I195" s="355">
        <v>191133</v>
      </c>
      <c r="J195" s="878"/>
      <c r="K195" s="878"/>
      <c r="L195" s="876"/>
      <c r="M195" s="876"/>
      <c r="N195" s="878"/>
      <c r="O195" s="878"/>
      <c r="P195" s="876"/>
      <c r="Q195" s="876"/>
      <c r="R195" s="878"/>
      <c r="S195" s="876"/>
      <c r="T195" s="876"/>
      <c r="U195" s="878"/>
      <c r="V195" s="876"/>
      <c r="W195" s="876"/>
    </row>
    <row r="196" spans="1:23" s="356" customFormat="1" ht="15" customHeight="1">
      <c r="A196" s="883"/>
      <c r="B196" s="879"/>
      <c r="C196" s="881"/>
      <c r="D196" s="919"/>
      <c r="E196" s="904"/>
      <c r="F196" s="883"/>
      <c r="G196" s="879"/>
      <c r="H196" s="355">
        <v>0</v>
      </c>
      <c r="I196" s="355">
        <v>0</v>
      </c>
      <c r="J196" s="878"/>
      <c r="K196" s="878"/>
      <c r="L196" s="876"/>
      <c r="M196" s="876"/>
      <c r="N196" s="878"/>
      <c r="O196" s="878"/>
      <c r="P196" s="876"/>
      <c r="Q196" s="876"/>
      <c r="R196" s="878"/>
      <c r="S196" s="876"/>
      <c r="T196" s="876"/>
      <c r="U196" s="878"/>
      <c r="V196" s="876"/>
      <c r="W196" s="876"/>
    </row>
    <row r="197" spans="1:23" s="356" customFormat="1" ht="15" customHeight="1">
      <c r="A197" s="883">
        <v>37</v>
      </c>
      <c r="B197" s="879" t="s">
        <v>626</v>
      </c>
      <c r="C197" s="881" t="s">
        <v>745</v>
      </c>
      <c r="D197" s="919" t="s">
        <v>761</v>
      </c>
      <c r="E197" s="902" t="s">
        <v>711</v>
      </c>
      <c r="F197" s="883" t="s">
        <v>712</v>
      </c>
      <c r="G197" s="879" t="s">
        <v>756</v>
      </c>
      <c r="H197" s="355">
        <f>H198+H199+H200+H201</f>
        <v>17022735</v>
      </c>
      <c r="I197" s="355">
        <f>I198+I199+I200+I201</f>
        <v>41943</v>
      </c>
      <c r="J197" s="878">
        <f>K197+N197</f>
        <v>1000000</v>
      </c>
      <c r="K197" s="878">
        <f>L197+M197</f>
        <v>0</v>
      </c>
      <c r="L197" s="876">
        <v>0</v>
      </c>
      <c r="M197" s="876">
        <v>0</v>
      </c>
      <c r="N197" s="878">
        <f>O197+R197+U197</f>
        <v>1000000</v>
      </c>
      <c r="O197" s="878">
        <f>P197+Q197</f>
        <v>0</v>
      </c>
      <c r="P197" s="876">
        <v>0</v>
      </c>
      <c r="Q197" s="876">
        <v>0</v>
      </c>
      <c r="R197" s="878">
        <f>S197+T197</f>
        <v>1000000</v>
      </c>
      <c r="S197" s="876">
        <v>0</v>
      </c>
      <c r="T197" s="876">
        <v>1000000</v>
      </c>
      <c r="U197" s="878">
        <f>V197+W197</f>
        <v>0</v>
      </c>
      <c r="V197" s="876">
        <v>0</v>
      </c>
      <c r="W197" s="876">
        <v>0</v>
      </c>
    </row>
    <row r="198" spans="1:23" s="356" customFormat="1" ht="15" customHeight="1">
      <c r="A198" s="883"/>
      <c r="B198" s="879"/>
      <c r="C198" s="881"/>
      <c r="D198" s="919"/>
      <c r="E198" s="903"/>
      <c r="F198" s="883"/>
      <c r="G198" s="879"/>
      <c r="H198" s="355">
        <v>14464620</v>
      </c>
      <c r="I198" s="355">
        <v>0</v>
      </c>
      <c r="J198" s="878"/>
      <c r="K198" s="878"/>
      <c r="L198" s="876"/>
      <c r="M198" s="876"/>
      <c r="N198" s="878"/>
      <c r="O198" s="878"/>
      <c r="P198" s="876"/>
      <c r="Q198" s="876"/>
      <c r="R198" s="878"/>
      <c r="S198" s="876"/>
      <c r="T198" s="876"/>
      <c r="U198" s="878"/>
      <c r="V198" s="876"/>
      <c r="W198" s="876"/>
    </row>
    <row r="199" spans="1:23" s="356" customFormat="1" ht="15" customHeight="1">
      <c r="A199" s="883"/>
      <c r="B199" s="879"/>
      <c r="C199" s="881"/>
      <c r="D199" s="919"/>
      <c r="E199" s="903"/>
      <c r="F199" s="883"/>
      <c r="G199" s="879"/>
      <c r="H199" s="355">
        <v>0</v>
      </c>
      <c r="I199" s="355">
        <v>0</v>
      </c>
      <c r="J199" s="878"/>
      <c r="K199" s="878"/>
      <c r="L199" s="876"/>
      <c r="M199" s="876"/>
      <c r="N199" s="878"/>
      <c r="O199" s="878"/>
      <c r="P199" s="876"/>
      <c r="Q199" s="876"/>
      <c r="R199" s="878"/>
      <c r="S199" s="876"/>
      <c r="T199" s="876"/>
      <c r="U199" s="878"/>
      <c r="V199" s="876"/>
      <c r="W199" s="876"/>
    </row>
    <row r="200" spans="1:23" s="356" customFormat="1" ht="15" customHeight="1">
      <c r="A200" s="883"/>
      <c r="B200" s="879"/>
      <c r="C200" s="881"/>
      <c r="D200" s="919"/>
      <c r="E200" s="903"/>
      <c r="F200" s="883"/>
      <c r="G200" s="879"/>
      <c r="H200" s="355">
        <v>2558115</v>
      </c>
      <c r="I200" s="355">
        <v>41943</v>
      </c>
      <c r="J200" s="878"/>
      <c r="K200" s="878"/>
      <c r="L200" s="876"/>
      <c r="M200" s="876"/>
      <c r="N200" s="878"/>
      <c r="O200" s="878"/>
      <c r="P200" s="876"/>
      <c r="Q200" s="876"/>
      <c r="R200" s="878"/>
      <c r="S200" s="876"/>
      <c r="T200" s="876"/>
      <c r="U200" s="878"/>
      <c r="V200" s="876"/>
      <c r="W200" s="876"/>
    </row>
    <row r="201" spans="1:23" s="356" customFormat="1" ht="15" customHeight="1">
      <c r="A201" s="883"/>
      <c r="B201" s="879"/>
      <c r="C201" s="881"/>
      <c r="D201" s="919"/>
      <c r="E201" s="904"/>
      <c r="F201" s="883"/>
      <c r="G201" s="879"/>
      <c r="H201" s="355">
        <v>0</v>
      </c>
      <c r="I201" s="355">
        <v>0</v>
      </c>
      <c r="J201" s="878"/>
      <c r="K201" s="878"/>
      <c r="L201" s="876"/>
      <c r="M201" s="876"/>
      <c r="N201" s="878"/>
      <c r="O201" s="878"/>
      <c r="P201" s="876"/>
      <c r="Q201" s="876"/>
      <c r="R201" s="878"/>
      <c r="S201" s="876"/>
      <c r="T201" s="876"/>
      <c r="U201" s="878"/>
      <c r="V201" s="876"/>
      <c r="W201" s="876"/>
    </row>
    <row r="202" spans="1:23" s="356" customFormat="1" ht="15" customHeight="1">
      <c r="A202" s="883">
        <v>38</v>
      </c>
      <c r="B202" s="879" t="s">
        <v>626</v>
      </c>
      <c r="C202" s="881" t="s">
        <v>745</v>
      </c>
      <c r="D202" s="919" t="s">
        <v>762</v>
      </c>
      <c r="E202" s="902" t="s">
        <v>711</v>
      </c>
      <c r="F202" s="883" t="s">
        <v>712</v>
      </c>
      <c r="G202" s="879" t="s">
        <v>747</v>
      </c>
      <c r="H202" s="355">
        <f>H203+H204+H205+H206</f>
        <v>19703603</v>
      </c>
      <c r="I202" s="355">
        <f>I203+I204+I205+I206</f>
        <v>6727582</v>
      </c>
      <c r="J202" s="878">
        <f>K202+N202</f>
        <v>12976021</v>
      </c>
      <c r="K202" s="878">
        <f>L202+M202</f>
        <v>11034259</v>
      </c>
      <c r="L202" s="876">
        <v>55571</v>
      </c>
      <c r="M202" s="876">
        <v>10978688</v>
      </c>
      <c r="N202" s="878">
        <f>O202+R202+U202</f>
        <v>1941762</v>
      </c>
      <c r="O202" s="878">
        <f>P202+Q202</f>
        <v>0</v>
      </c>
      <c r="P202" s="876">
        <v>0</v>
      </c>
      <c r="Q202" s="876">
        <v>0</v>
      </c>
      <c r="R202" s="878">
        <f>S202+T202</f>
        <v>936853</v>
      </c>
      <c r="S202" s="876">
        <v>9808</v>
      </c>
      <c r="T202" s="876">
        <v>927045</v>
      </c>
      <c r="U202" s="878">
        <f>V202+W202</f>
        <v>1004909</v>
      </c>
      <c r="V202" s="876">
        <v>0</v>
      </c>
      <c r="W202" s="876">
        <v>1004909</v>
      </c>
    </row>
    <row r="203" spans="1:23" s="356" customFormat="1" ht="15" customHeight="1">
      <c r="A203" s="883"/>
      <c r="B203" s="879"/>
      <c r="C203" s="881"/>
      <c r="D203" s="919"/>
      <c r="E203" s="903"/>
      <c r="F203" s="883"/>
      <c r="G203" s="879"/>
      <c r="H203" s="355">
        <v>15768662</v>
      </c>
      <c r="I203" s="355">
        <v>4734403</v>
      </c>
      <c r="J203" s="878"/>
      <c r="K203" s="878"/>
      <c r="L203" s="876"/>
      <c r="M203" s="876"/>
      <c r="N203" s="878"/>
      <c r="O203" s="878"/>
      <c r="P203" s="876"/>
      <c r="Q203" s="876"/>
      <c r="R203" s="878"/>
      <c r="S203" s="876"/>
      <c r="T203" s="876"/>
      <c r="U203" s="878"/>
      <c r="V203" s="876"/>
      <c r="W203" s="876"/>
    </row>
    <row r="204" spans="1:23" s="356" customFormat="1" ht="15" customHeight="1">
      <c r="A204" s="883"/>
      <c r="B204" s="879"/>
      <c r="C204" s="881"/>
      <c r="D204" s="919"/>
      <c r="E204" s="903"/>
      <c r="F204" s="883"/>
      <c r="G204" s="879"/>
      <c r="H204" s="355">
        <v>0</v>
      </c>
      <c r="I204" s="355">
        <v>0</v>
      </c>
      <c r="J204" s="878"/>
      <c r="K204" s="878"/>
      <c r="L204" s="876"/>
      <c r="M204" s="876"/>
      <c r="N204" s="878"/>
      <c r="O204" s="878"/>
      <c r="P204" s="876"/>
      <c r="Q204" s="876"/>
      <c r="R204" s="878"/>
      <c r="S204" s="876"/>
      <c r="T204" s="876"/>
      <c r="U204" s="878"/>
      <c r="V204" s="876"/>
      <c r="W204" s="876"/>
    </row>
    <row r="205" spans="1:23" s="356" customFormat="1" ht="15" customHeight="1">
      <c r="A205" s="883"/>
      <c r="B205" s="879"/>
      <c r="C205" s="881"/>
      <c r="D205" s="919"/>
      <c r="E205" s="903"/>
      <c r="F205" s="883"/>
      <c r="G205" s="879"/>
      <c r="H205" s="355">
        <v>2553411</v>
      </c>
      <c r="I205" s="355">
        <v>1616558</v>
      </c>
      <c r="J205" s="878"/>
      <c r="K205" s="878"/>
      <c r="L205" s="876"/>
      <c r="M205" s="876"/>
      <c r="N205" s="878"/>
      <c r="O205" s="878"/>
      <c r="P205" s="876"/>
      <c r="Q205" s="876"/>
      <c r="R205" s="878"/>
      <c r="S205" s="876"/>
      <c r="T205" s="876"/>
      <c r="U205" s="878"/>
      <c r="V205" s="876"/>
      <c r="W205" s="876"/>
    </row>
    <row r="206" spans="1:23" s="356" customFormat="1" ht="15" customHeight="1">
      <c r="A206" s="883"/>
      <c r="B206" s="879"/>
      <c r="C206" s="881"/>
      <c r="D206" s="919"/>
      <c r="E206" s="904"/>
      <c r="F206" s="883"/>
      <c r="G206" s="879"/>
      <c r="H206" s="355">
        <v>1381530</v>
      </c>
      <c r="I206" s="355">
        <v>376621</v>
      </c>
      <c r="J206" s="878"/>
      <c r="K206" s="878"/>
      <c r="L206" s="876"/>
      <c r="M206" s="876"/>
      <c r="N206" s="878"/>
      <c r="O206" s="878"/>
      <c r="P206" s="876"/>
      <c r="Q206" s="876"/>
      <c r="R206" s="878"/>
      <c r="S206" s="876"/>
      <c r="T206" s="876"/>
      <c r="U206" s="878"/>
      <c r="V206" s="876"/>
      <c r="W206" s="876"/>
    </row>
    <row r="207" spans="1:23" s="356" customFormat="1" ht="15" customHeight="1">
      <c r="A207" s="883">
        <v>39</v>
      </c>
      <c r="B207" s="879" t="s">
        <v>763</v>
      </c>
      <c r="C207" s="881" t="s">
        <v>764</v>
      </c>
      <c r="D207" s="919" t="s">
        <v>765</v>
      </c>
      <c r="E207" s="883" t="s">
        <v>686</v>
      </c>
      <c r="F207" s="883" t="s">
        <v>766</v>
      </c>
      <c r="G207" s="879" t="s">
        <v>713</v>
      </c>
      <c r="H207" s="355">
        <f>H208+H209+H210+H211</f>
        <v>7315501</v>
      </c>
      <c r="I207" s="355">
        <f>I208+I209+I210+I211</f>
        <v>470479</v>
      </c>
      <c r="J207" s="878">
        <f>K207+N207</f>
        <v>6845022</v>
      </c>
      <c r="K207" s="878">
        <f>L207+M207</f>
        <v>3996287</v>
      </c>
      <c r="L207" s="876">
        <v>92406</v>
      </c>
      <c r="M207" s="876">
        <v>3903881</v>
      </c>
      <c r="N207" s="878">
        <f>O207+R207+U207</f>
        <v>2848735</v>
      </c>
      <c r="O207" s="878">
        <f>P207+Q207</f>
        <v>0</v>
      </c>
      <c r="P207" s="876">
        <v>0</v>
      </c>
      <c r="Q207" s="876">
        <v>0</v>
      </c>
      <c r="R207" s="878">
        <f>S207+T207</f>
        <v>2848735</v>
      </c>
      <c r="S207" s="876">
        <v>16306</v>
      </c>
      <c r="T207" s="876">
        <v>2832429</v>
      </c>
      <c r="U207" s="878">
        <f>V207+W207</f>
        <v>0</v>
      </c>
      <c r="V207" s="876">
        <v>0</v>
      </c>
      <c r="W207" s="876">
        <v>0</v>
      </c>
    </row>
    <row r="208" spans="1:23" s="356" customFormat="1" ht="15" customHeight="1">
      <c r="A208" s="883"/>
      <c r="B208" s="879"/>
      <c r="C208" s="881"/>
      <c r="D208" s="919"/>
      <c r="E208" s="883"/>
      <c r="F208" s="883"/>
      <c r="G208" s="879"/>
      <c r="H208" s="355">
        <v>4395978</v>
      </c>
      <c r="I208" s="355">
        <v>399691</v>
      </c>
      <c r="J208" s="878"/>
      <c r="K208" s="878"/>
      <c r="L208" s="876"/>
      <c r="M208" s="876"/>
      <c r="N208" s="878"/>
      <c r="O208" s="878"/>
      <c r="P208" s="876"/>
      <c r="Q208" s="876"/>
      <c r="R208" s="878"/>
      <c r="S208" s="876"/>
      <c r="T208" s="876"/>
      <c r="U208" s="878"/>
      <c r="V208" s="876"/>
      <c r="W208" s="876"/>
    </row>
    <row r="209" spans="1:23" s="356" customFormat="1" ht="15" customHeight="1">
      <c r="A209" s="883"/>
      <c r="B209" s="879"/>
      <c r="C209" s="881"/>
      <c r="D209" s="919"/>
      <c r="E209" s="883"/>
      <c r="F209" s="883"/>
      <c r="G209" s="879"/>
      <c r="H209" s="355">
        <v>0</v>
      </c>
      <c r="I209" s="355">
        <v>0</v>
      </c>
      <c r="J209" s="878"/>
      <c r="K209" s="878"/>
      <c r="L209" s="876"/>
      <c r="M209" s="876"/>
      <c r="N209" s="878"/>
      <c r="O209" s="878"/>
      <c r="P209" s="876"/>
      <c r="Q209" s="876"/>
      <c r="R209" s="878"/>
      <c r="S209" s="876"/>
      <c r="T209" s="876"/>
      <c r="U209" s="878"/>
      <c r="V209" s="876"/>
      <c r="W209" s="876"/>
    </row>
    <row r="210" spans="1:23" s="356" customFormat="1" ht="15" customHeight="1">
      <c r="A210" s="883"/>
      <c r="B210" s="879"/>
      <c r="C210" s="881"/>
      <c r="D210" s="919"/>
      <c r="E210" s="883"/>
      <c r="F210" s="883"/>
      <c r="G210" s="879"/>
      <c r="H210" s="355">
        <v>2919523</v>
      </c>
      <c r="I210" s="355">
        <v>70788</v>
      </c>
      <c r="J210" s="878"/>
      <c r="K210" s="878"/>
      <c r="L210" s="876"/>
      <c r="M210" s="876"/>
      <c r="N210" s="878"/>
      <c r="O210" s="878"/>
      <c r="P210" s="876"/>
      <c r="Q210" s="876"/>
      <c r="R210" s="878"/>
      <c r="S210" s="876"/>
      <c r="T210" s="876"/>
      <c r="U210" s="878"/>
      <c r="V210" s="876"/>
      <c r="W210" s="876"/>
    </row>
    <row r="211" spans="1:23" s="356" customFormat="1" ht="15" customHeight="1">
      <c r="A211" s="883"/>
      <c r="B211" s="879"/>
      <c r="C211" s="881"/>
      <c r="D211" s="919"/>
      <c r="E211" s="883"/>
      <c r="F211" s="883"/>
      <c r="G211" s="879"/>
      <c r="H211" s="355">
        <v>0</v>
      </c>
      <c r="I211" s="355">
        <v>0</v>
      </c>
      <c r="J211" s="878"/>
      <c r="K211" s="878"/>
      <c r="L211" s="876"/>
      <c r="M211" s="876"/>
      <c r="N211" s="878"/>
      <c r="O211" s="878"/>
      <c r="P211" s="876"/>
      <c r="Q211" s="876"/>
      <c r="R211" s="878"/>
      <c r="S211" s="876"/>
      <c r="T211" s="876"/>
      <c r="U211" s="878"/>
      <c r="V211" s="876"/>
      <c r="W211" s="876"/>
    </row>
    <row r="212" spans="1:23" s="356" customFormat="1" ht="15" customHeight="1">
      <c r="A212" s="883">
        <v>40</v>
      </c>
      <c r="B212" s="879" t="s">
        <v>763</v>
      </c>
      <c r="C212" s="881" t="s">
        <v>764</v>
      </c>
      <c r="D212" s="919" t="s">
        <v>767</v>
      </c>
      <c r="E212" s="883" t="s">
        <v>686</v>
      </c>
      <c r="F212" s="883" t="s">
        <v>766</v>
      </c>
      <c r="G212" s="879" t="s">
        <v>698</v>
      </c>
      <c r="H212" s="355">
        <f>H213+H214+H215+H216</f>
        <v>4885843</v>
      </c>
      <c r="I212" s="355">
        <f>I213+I214+I215+I216</f>
        <v>30986</v>
      </c>
      <c r="J212" s="878">
        <f>K212+N212</f>
        <v>2182634</v>
      </c>
      <c r="K212" s="878">
        <f>L212+M212</f>
        <v>1855239</v>
      </c>
      <c r="L212" s="876">
        <v>66356</v>
      </c>
      <c r="M212" s="876">
        <v>1788883</v>
      </c>
      <c r="N212" s="878">
        <f>O212+R212+U212</f>
        <v>327395</v>
      </c>
      <c r="O212" s="878">
        <f>P212+Q212</f>
        <v>218264</v>
      </c>
      <c r="P212" s="876">
        <v>7807</v>
      </c>
      <c r="Q212" s="876">
        <v>210457</v>
      </c>
      <c r="R212" s="878">
        <f>S212+T212</f>
        <v>109131</v>
      </c>
      <c r="S212" s="876">
        <v>3903</v>
      </c>
      <c r="T212" s="876">
        <v>105228</v>
      </c>
      <c r="U212" s="878">
        <f>V212+W212</f>
        <v>0</v>
      </c>
      <c r="V212" s="876">
        <v>0</v>
      </c>
      <c r="W212" s="876">
        <v>0</v>
      </c>
    </row>
    <row r="213" spans="1:23" s="356" customFormat="1" ht="15" customHeight="1">
      <c r="A213" s="883"/>
      <c r="B213" s="879"/>
      <c r="C213" s="881"/>
      <c r="D213" s="919"/>
      <c r="E213" s="883"/>
      <c r="F213" s="883"/>
      <c r="G213" s="879"/>
      <c r="H213" s="355">
        <v>4152967</v>
      </c>
      <c r="I213" s="355">
        <v>26338</v>
      </c>
      <c r="J213" s="878"/>
      <c r="K213" s="878"/>
      <c r="L213" s="876"/>
      <c r="M213" s="876"/>
      <c r="N213" s="878"/>
      <c r="O213" s="878"/>
      <c r="P213" s="876"/>
      <c r="Q213" s="876"/>
      <c r="R213" s="878"/>
      <c r="S213" s="876"/>
      <c r="T213" s="876"/>
      <c r="U213" s="878"/>
      <c r="V213" s="876"/>
      <c r="W213" s="876"/>
    </row>
    <row r="214" spans="1:23" s="356" customFormat="1" ht="15" customHeight="1">
      <c r="A214" s="883"/>
      <c r="B214" s="879"/>
      <c r="C214" s="881"/>
      <c r="D214" s="919"/>
      <c r="E214" s="883"/>
      <c r="F214" s="883"/>
      <c r="G214" s="879"/>
      <c r="H214" s="355">
        <v>488586</v>
      </c>
      <c r="I214" s="355">
        <v>3099</v>
      </c>
      <c r="J214" s="878"/>
      <c r="K214" s="878"/>
      <c r="L214" s="876"/>
      <c r="M214" s="876"/>
      <c r="N214" s="878"/>
      <c r="O214" s="878"/>
      <c r="P214" s="876"/>
      <c r="Q214" s="876"/>
      <c r="R214" s="878"/>
      <c r="S214" s="876"/>
      <c r="T214" s="876"/>
      <c r="U214" s="878"/>
      <c r="V214" s="876"/>
      <c r="W214" s="876"/>
    </row>
    <row r="215" spans="1:23" s="356" customFormat="1" ht="15" customHeight="1">
      <c r="A215" s="883"/>
      <c r="B215" s="879"/>
      <c r="C215" s="881"/>
      <c r="D215" s="919"/>
      <c r="E215" s="883"/>
      <c r="F215" s="883"/>
      <c r="G215" s="879"/>
      <c r="H215" s="355">
        <v>244290</v>
      </c>
      <c r="I215" s="355">
        <v>1549</v>
      </c>
      <c r="J215" s="878"/>
      <c r="K215" s="878"/>
      <c r="L215" s="876"/>
      <c r="M215" s="876"/>
      <c r="N215" s="878"/>
      <c r="O215" s="878"/>
      <c r="P215" s="876"/>
      <c r="Q215" s="876"/>
      <c r="R215" s="878"/>
      <c r="S215" s="876"/>
      <c r="T215" s="876"/>
      <c r="U215" s="878"/>
      <c r="V215" s="876"/>
      <c r="W215" s="876"/>
    </row>
    <row r="216" spans="1:23" s="356" customFormat="1" ht="15" customHeight="1">
      <c r="A216" s="883"/>
      <c r="B216" s="879"/>
      <c r="C216" s="881"/>
      <c r="D216" s="919"/>
      <c r="E216" s="883"/>
      <c r="F216" s="883"/>
      <c r="G216" s="879"/>
      <c r="H216" s="355">
        <v>0</v>
      </c>
      <c r="I216" s="355">
        <v>0</v>
      </c>
      <c r="J216" s="878"/>
      <c r="K216" s="878"/>
      <c r="L216" s="876"/>
      <c r="M216" s="876"/>
      <c r="N216" s="878"/>
      <c r="O216" s="878"/>
      <c r="P216" s="876"/>
      <c r="Q216" s="876"/>
      <c r="R216" s="878"/>
      <c r="S216" s="876"/>
      <c r="T216" s="876"/>
      <c r="U216" s="878"/>
      <c r="V216" s="876"/>
      <c r="W216" s="876"/>
    </row>
    <row r="217" spans="1:23" s="356" customFormat="1" ht="15" customHeight="1">
      <c r="A217" s="883">
        <v>41</v>
      </c>
      <c r="B217" s="879" t="s">
        <v>768</v>
      </c>
      <c r="C217" s="881" t="s">
        <v>25</v>
      </c>
      <c r="D217" s="919" t="s">
        <v>769</v>
      </c>
      <c r="E217" s="883" t="s">
        <v>686</v>
      </c>
      <c r="F217" s="883" t="s">
        <v>766</v>
      </c>
      <c r="G217" s="879" t="s">
        <v>756</v>
      </c>
      <c r="H217" s="355">
        <f>H218+H219+H220+H221</f>
        <v>23910340</v>
      </c>
      <c r="I217" s="355">
        <f>I218+I219+I220+I221</f>
        <v>987924</v>
      </c>
      <c r="J217" s="878">
        <f>K217+N217</f>
        <v>14370916</v>
      </c>
      <c r="K217" s="878">
        <f>L217+M217</f>
        <v>4239112</v>
      </c>
      <c r="L217" s="876">
        <v>354875</v>
      </c>
      <c r="M217" s="876">
        <v>3884237</v>
      </c>
      <c r="N217" s="878">
        <f>O217+R217+U217</f>
        <v>10131804</v>
      </c>
      <c r="O217" s="878">
        <f>P217+Q217</f>
        <v>0</v>
      </c>
      <c r="P217" s="876">
        <v>0</v>
      </c>
      <c r="Q217" s="876">
        <v>0</v>
      </c>
      <c r="R217" s="878">
        <f>S217+T217</f>
        <v>10131804</v>
      </c>
      <c r="S217" s="876">
        <v>62625</v>
      </c>
      <c r="T217" s="876">
        <v>10069179</v>
      </c>
      <c r="U217" s="878">
        <f>V217+W217</f>
        <v>0</v>
      </c>
      <c r="V217" s="876">
        <v>0</v>
      </c>
      <c r="W217" s="876">
        <v>0</v>
      </c>
    </row>
    <row r="218" spans="1:23" s="356" customFormat="1" ht="15" customHeight="1">
      <c r="A218" s="883"/>
      <c r="B218" s="879"/>
      <c r="C218" s="881"/>
      <c r="D218" s="919"/>
      <c r="E218" s="883"/>
      <c r="F218" s="883"/>
      <c r="G218" s="879"/>
      <c r="H218" s="355">
        <v>7574594</v>
      </c>
      <c r="I218" s="355">
        <v>542370</v>
      </c>
      <c r="J218" s="878"/>
      <c r="K218" s="878"/>
      <c r="L218" s="876"/>
      <c r="M218" s="876"/>
      <c r="N218" s="878"/>
      <c r="O218" s="878"/>
      <c r="P218" s="876"/>
      <c r="Q218" s="876"/>
      <c r="R218" s="878"/>
      <c r="S218" s="876"/>
      <c r="T218" s="876"/>
      <c r="U218" s="878"/>
      <c r="V218" s="876"/>
      <c r="W218" s="876"/>
    </row>
    <row r="219" spans="1:23" s="356" customFormat="1" ht="15" customHeight="1">
      <c r="A219" s="883"/>
      <c r="B219" s="879"/>
      <c r="C219" s="881"/>
      <c r="D219" s="919"/>
      <c r="E219" s="883"/>
      <c r="F219" s="883"/>
      <c r="G219" s="879"/>
      <c r="H219" s="355">
        <v>0</v>
      </c>
      <c r="I219" s="355">
        <v>0</v>
      </c>
      <c r="J219" s="878"/>
      <c r="K219" s="878"/>
      <c r="L219" s="876"/>
      <c r="M219" s="876"/>
      <c r="N219" s="878"/>
      <c r="O219" s="878"/>
      <c r="P219" s="876"/>
      <c r="Q219" s="876"/>
      <c r="R219" s="878"/>
      <c r="S219" s="876"/>
      <c r="T219" s="876"/>
      <c r="U219" s="878"/>
      <c r="V219" s="876"/>
      <c r="W219" s="876"/>
    </row>
    <row r="220" spans="1:23" s="356" customFormat="1" ht="15" customHeight="1">
      <c r="A220" s="883"/>
      <c r="B220" s="879"/>
      <c r="C220" s="881"/>
      <c r="D220" s="919"/>
      <c r="E220" s="883"/>
      <c r="F220" s="883"/>
      <c r="G220" s="879"/>
      <c r="H220" s="355">
        <v>16335746</v>
      </c>
      <c r="I220" s="355">
        <v>445554</v>
      </c>
      <c r="J220" s="878"/>
      <c r="K220" s="878"/>
      <c r="L220" s="876"/>
      <c r="M220" s="876"/>
      <c r="N220" s="878"/>
      <c r="O220" s="878"/>
      <c r="P220" s="876"/>
      <c r="Q220" s="876"/>
      <c r="R220" s="878"/>
      <c r="S220" s="876"/>
      <c r="T220" s="876"/>
      <c r="U220" s="878"/>
      <c r="V220" s="876"/>
      <c r="W220" s="876"/>
    </row>
    <row r="221" spans="1:23" s="356" customFormat="1" ht="15" customHeight="1">
      <c r="A221" s="883"/>
      <c r="B221" s="879"/>
      <c r="C221" s="881"/>
      <c r="D221" s="919"/>
      <c r="E221" s="883"/>
      <c r="F221" s="883"/>
      <c r="G221" s="879"/>
      <c r="H221" s="355">
        <v>0</v>
      </c>
      <c r="I221" s="355">
        <v>0</v>
      </c>
      <c r="J221" s="878"/>
      <c r="K221" s="878"/>
      <c r="L221" s="876"/>
      <c r="M221" s="876"/>
      <c r="N221" s="878"/>
      <c r="O221" s="878"/>
      <c r="P221" s="876"/>
      <c r="Q221" s="876"/>
      <c r="R221" s="878"/>
      <c r="S221" s="876"/>
      <c r="T221" s="876"/>
      <c r="U221" s="878"/>
      <c r="V221" s="876"/>
      <c r="W221" s="876"/>
    </row>
    <row r="222" spans="1:23" s="356" customFormat="1" ht="15" customHeight="1">
      <c r="A222" s="883">
        <v>42</v>
      </c>
      <c r="B222" s="879" t="s">
        <v>768</v>
      </c>
      <c r="C222" s="881" t="s">
        <v>25</v>
      </c>
      <c r="D222" s="919" t="s">
        <v>770</v>
      </c>
      <c r="E222" s="883" t="s">
        <v>686</v>
      </c>
      <c r="F222" s="883" t="s">
        <v>766</v>
      </c>
      <c r="G222" s="879" t="s">
        <v>713</v>
      </c>
      <c r="H222" s="355">
        <f>H223+H224+H225+H226</f>
        <v>11218462</v>
      </c>
      <c r="I222" s="355">
        <f>I223+I224+I225+I226</f>
        <v>5164040</v>
      </c>
      <c r="J222" s="878">
        <f>K222+N222</f>
        <v>6054422</v>
      </c>
      <c r="K222" s="878">
        <f>L222+M222</f>
        <v>3284762</v>
      </c>
      <c r="L222" s="876">
        <v>359129</v>
      </c>
      <c r="M222" s="876">
        <v>2925633</v>
      </c>
      <c r="N222" s="878">
        <f>O222+R222+U222</f>
        <v>2769660</v>
      </c>
      <c r="O222" s="878">
        <f>P222+Q222</f>
        <v>0</v>
      </c>
      <c r="P222" s="876">
        <v>0</v>
      </c>
      <c r="Q222" s="876">
        <v>0</v>
      </c>
      <c r="R222" s="878">
        <f>S222+T222</f>
        <v>2769660</v>
      </c>
      <c r="S222" s="876">
        <v>63377</v>
      </c>
      <c r="T222" s="876">
        <v>2706283</v>
      </c>
      <c r="U222" s="878">
        <f>V222+W222</f>
        <v>0</v>
      </c>
      <c r="V222" s="876">
        <v>0</v>
      </c>
      <c r="W222" s="876">
        <v>0</v>
      </c>
    </row>
    <row r="223" spans="1:23" s="356" customFormat="1" ht="15" customHeight="1">
      <c r="A223" s="883"/>
      <c r="B223" s="879"/>
      <c r="C223" s="881"/>
      <c r="D223" s="919"/>
      <c r="E223" s="883"/>
      <c r="F223" s="883"/>
      <c r="G223" s="879"/>
      <c r="H223" s="355">
        <v>7046418</v>
      </c>
      <c r="I223" s="355">
        <v>3761656</v>
      </c>
      <c r="J223" s="878"/>
      <c r="K223" s="878"/>
      <c r="L223" s="876"/>
      <c r="M223" s="876"/>
      <c r="N223" s="878"/>
      <c r="O223" s="878"/>
      <c r="P223" s="876"/>
      <c r="Q223" s="876"/>
      <c r="R223" s="878"/>
      <c r="S223" s="876"/>
      <c r="T223" s="876"/>
      <c r="U223" s="878"/>
      <c r="V223" s="876"/>
      <c r="W223" s="876"/>
    </row>
    <row r="224" spans="1:23" s="356" customFormat="1" ht="15" customHeight="1">
      <c r="A224" s="883"/>
      <c r="B224" s="879"/>
      <c r="C224" s="881"/>
      <c r="D224" s="919"/>
      <c r="E224" s="883"/>
      <c r="F224" s="883"/>
      <c r="G224" s="879"/>
      <c r="H224" s="355">
        <v>0</v>
      </c>
      <c r="I224" s="355">
        <v>0</v>
      </c>
      <c r="J224" s="878"/>
      <c r="K224" s="878"/>
      <c r="L224" s="876"/>
      <c r="M224" s="876"/>
      <c r="N224" s="878"/>
      <c r="O224" s="878"/>
      <c r="P224" s="876"/>
      <c r="Q224" s="876"/>
      <c r="R224" s="878"/>
      <c r="S224" s="876"/>
      <c r="T224" s="876"/>
      <c r="U224" s="878"/>
      <c r="V224" s="876"/>
      <c r="W224" s="876"/>
    </row>
    <row r="225" spans="1:23" s="356" customFormat="1" ht="15" customHeight="1">
      <c r="A225" s="883"/>
      <c r="B225" s="879"/>
      <c r="C225" s="881"/>
      <c r="D225" s="919"/>
      <c r="E225" s="883"/>
      <c r="F225" s="883"/>
      <c r="G225" s="879"/>
      <c r="H225" s="355">
        <v>4172044</v>
      </c>
      <c r="I225" s="355">
        <v>1402384</v>
      </c>
      <c r="J225" s="878"/>
      <c r="K225" s="878"/>
      <c r="L225" s="876"/>
      <c r="M225" s="876"/>
      <c r="N225" s="878"/>
      <c r="O225" s="878"/>
      <c r="P225" s="876"/>
      <c r="Q225" s="876"/>
      <c r="R225" s="878"/>
      <c r="S225" s="876"/>
      <c r="T225" s="876"/>
      <c r="U225" s="878"/>
      <c r="V225" s="876"/>
      <c r="W225" s="876"/>
    </row>
    <row r="226" spans="1:23" s="356" customFormat="1" ht="15" customHeight="1">
      <c r="A226" s="883"/>
      <c r="B226" s="879"/>
      <c r="C226" s="881"/>
      <c r="D226" s="919"/>
      <c r="E226" s="883"/>
      <c r="F226" s="883"/>
      <c r="G226" s="879"/>
      <c r="H226" s="355">
        <v>0</v>
      </c>
      <c r="I226" s="355">
        <v>0</v>
      </c>
      <c r="J226" s="878"/>
      <c r="K226" s="878"/>
      <c r="L226" s="876"/>
      <c r="M226" s="876"/>
      <c r="N226" s="878"/>
      <c r="O226" s="878"/>
      <c r="P226" s="876"/>
      <c r="Q226" s="876"/>
      <c r="R226" s="878"/>
      <c r="S226" s="876"/>
      <c r="T226" s="876"/>
      <c r="U226" s="878"/>
      <c r="V226" s="876"/>
      <c r="W226" s="876"/>
    </row>
    <row r="227" spans="1:23" s="356" customFormat="1" ht="15" customHeight="1">
      <c r="A227" s="883">
        <v>43</v>
      </c>
      <c r="B227" s="879" t="s">
        <v>768</v>
      </c>
      <c r="C227" s="881" t="s">
        <v>25</v>
      </c>
      <c r="D227" s="919" t="s">
        <v>771</v>
      </c>
      <c r="E227" s="883" t="s">
        <v>686</v>
      </c>
      <c r="F227" s="883" t="s">
        <v>772</v>
      </c>
      <c r="G227" s="879" t="s">
        <v>725</v>
      </c>
      <c r="H227" s="355">
        <f>H228+H229+H230+H231</f>
        <v>5950628</v>
      </c>
      <c r="I227" s="355">
        <f>I228+I229+I230+I231</f>
        <v>578073</v>
      </c>
      <c r="J227" s="878">
        <f>K227+N227</f>
        <v>3578132</v>
      </c>
      <c r="K227" s="878">
        <f>L227+M227</f>
        <v>2012188</v>
      </c>
      <c r="L227" s="876">
        <v>62791</v>
      </c>
      <c r="M227" s="876">
        <v>1949397</v>
      </c>
      <c r="N227" s="878">
        <f>O227+R227+U227</f>
        <v>1565944</v>
      </c>
      <c r="O227" s="878">
        <f>P227+Q227</f>
        <v>0</v>
      </c>
      <c r="P227" s="876">
        <v>0</v>
      </c>
      <c r="Q227" s="876">
        <v>0</v>
      </c>
      <c r="R227" s="878">
        <f>S227+T227</f>
        <v>1565944</v>
      </c>
      <c r="S227" s="876">
        <v>11081</v>
      </c>
      <c r="T227" s="876">
        <v>1554863</v>
      </c>
      <c r="U227" s="878">
        <f>V227+W227</f>
        <v>0</v>
      </c>
      <c r="V227" s="876">
        <v>0</v>
      </c>
      <c r="W227" s="876">
        <v>0</v>
      </c>
    </row>
    <row r="228" spans="1:23" s="356" customFormat="1" ht="15" customHeight="1">
      <c r="A228" s="883"/>
      <c r="B228" s="879"/>
      <c r="C228" s="881"/>
      <c r="D228" s="919"/>
      <c r="E228" s="883"/>
      <c r="F228" s="883"/>
      <c r="G228" s="879"/>
      <c r="H228" s="355">
        <v>3943810</v>
      </c>
      <c r="I228" s="355">
        <v>406362</v>
      </c>
      <c r="J228" s="878"/>
      <c r="K228" s="878"/>
      <c r="L228" s="876"/>
      <c r="M228" s="876"/>
      <c r="N228" s="878"/>
      <c r="O228" s="878"/>
      <c r="P228" s="876"/>
      <c r="Q228" s="876"/>
      <c r="R228" s="878"/>
      <c r="S228" s="876"/>
      <c r="T228" s="876"/>
      <c r="U228" s="878"/>
      <c r="V228" s="876"/>
      <c r="W228" s="876"/>
    </row>
    <row r="229" spans="1:23" s="356" customFormat="1" ht="15" customHeight="1">
      <c r="A229" s="883"/>
      <c r="B229" s="879"/>
      <c r="C229" s="881"/>
      <c r="D229" s="919"/>
      <c r="E229" s="883"/>
      <c r="F229" s="883"/>
      <c r="G229" s="879"/>
      <c r="H229" s="355">
        <v>0</v>
      </c>
      <c r="I229" s="355">
        <v>0</v>
      </c>
      <c r="J229" s="878"/>
      <c r="K229" s="878"/>
      <c r="L229" s="876"/>
      <c r="M229" s="876"/>
      <c r="N229" s="878"/>
      <c r="O229" s="878"/>
      <c r="P229" s="876"/>
      <c r="Q229" s="876"/>
      <c r="R229" s="878"/>
      <c r="S229" s="876"/>
      <c r="T229" s="876"/>
      <c r="U229" s="878"/>
      <c r="V229" s="876"/>
      <c r="W229" s="876"/>
    </row>
    <row r="230" spans="1:23" s="356" customFormat="1" ht="15" customHeight="1">
      <c r="A230" s="883"/>
      <c r="B230" s="879"/>
      <c r="C230" s="881"/>
      <c r="D230" s="919"/>
      <c r="E230" s="883"/>
      <c r="F230" s="883"/>
      <c r="G230" s="879"/>
      <c r="H230" s="355">
        <v>2006818</v>
      </c>
      <c r="I230" s="355">
        <v>171711</v>
      </c>
      <c r="J230" s="878"/>
      <c r="K230" s="878"/>
      <c r="L230" s="876"/>
      <c r="M230" s="876"/>
      <c r="N230" s="878"/>
      <c r="O230" s="878"/>
      <c r="P230" s="876"/>
      <c r="Q230" s="876"/>
      <c r="R230" s="878"/>
      <c r="S230" s="876"/>
      <c r="T230" s="876"/>
      <c r="U230" s="878"/>
      <c r="V230" s="876"/>
      <c r="W230" s="876"/>
    </row>
    <row r="231" spans="1:23" s="356" customFormat="1" ht="15" customHeight="1">
      <c r="A231" s="883"/>
      <c r="B231" s="879"/>
      <c r="C231" s="881"/>
      <c r="D231" s="919"/>
      <c r="E231" s="883"/>
      <c r="F231" s="883"/>
      <c r="G231" s="879"/>
      <c r="H231" s="355">
        <v>0</v>
      </c>
      <c r="I231" s="355">
        <v>0</v>
      </c>
      <c r="J231" s="878"/>
      <c r="K231" s="878"/>
      <c r="L231" s="876"/>
      <c r="M231" s="876"/>
      <c r="N231" s="878"/>
      <c r="O231" s="878"/>
      <c r="P231" s="876"/>
      <c r="Q231" s="876"/>
      <c r="R231" s="878"/>
      <c r="S231" s="876"/>
      <c r="T231" s="876"/>
      <c r="U231" s="878"/>
      <c r="V231" s="876"/>
      <c r="W231" s="876"/>
    </row>
    <row r="232" spans="1:23" s="356" customFormat="1" ht="15" customHeight="1">
      <c r="A232" s="883">
        <v>44</v>
      </c>
      <c r="B232" s="879" t="s">
        <v>768</v>
      </c>
      <c r="C232" s="881" t="s">
        <v>25</v>
      </c>
      <c r="D232" s="919" t="s">
        <v>773</v>
      </c>
      <c r="E232" s="883" t="s">
        <v>686</v>
      </c>
      <c r="F232" s="883" t="s">
        <v>774</v>
      </c>
      <c r="G232" s="879" t="s">
        <v>725</v>
      </c>
      <c r="H232" s="355">
        <f>H233+H234+H235+H236</f>
        <v>11151710</v>
      </c>
      <c r="I232" s="355">
        <f>I233+I234+I235+I236</f>
        <v>808288</v>
      </c>
      <c r="J232" s="878">
        <f>K232+N232</f>
        <v>6694685</v>
      </c>
      <c r="K232" s="878">
        <f>L232+M232</f>
        <v>4395001</v>
      </c>
      <c r="L232" s="876">
        <v>110645</v>
      </c>
      <c r="M232" s="876">
        <v>4284356</v>
      </c>
      <c r="N232" s="878">
        <f>O232+R232+U232</f>
        <v>2299684</v>
      </c>
      <c r="O232" s="878">
        <f>P232+Q232</f>
        <v>0</v>
      </c>
      <c r="P232" s="876">
        <v>0</v>
      </c>
      <c r="Q232" s="876">
        <v>0</v>
      </c>
      <c r="R232" s="878">
        <f>S232+T232</f>
        <v>2299684</v>
      </c>
      <c r="S232" s="876">
        <v>19526</v>
      </c>
      <c r="T232" s="876">
        <v>2280158</v>
      </c>
      <c r="U232" s="878">
        <f>V232+W232</f>
        <v>0</v>
      </c>
      <c r="V232" s="876">
        <v>0</v>
      </c>
      <c r="W232" s="876">
        <v>0</v>
      </c>
    </row>
    <row r="233" spans="1:23" s="356" customFormat="1" ht="15" customHeight="1">
      <c r="A233" s="883"/>
      <c r="B233" s="879"/>
      <c r="C233" s="881"/>
      <c r="D233" s="919"/>
      <c r="E233" s="883"/>
      <c r="F233" s="883"/>
      <c r="G233" s="879"/>
      <c r="H233" s="355">
        <v>7508832</v>
      </c>
      <c r="I233" s="355">
        <v>507695</v>
      </c>
      <c r="J233" s="878"/>
      <c r="K233" s="878"/>
      <c r="L233" s="876"/>
      <c r="M233" s="876"/>
      <c r="N233" s="878"/>
      <c r="O233" s="878"/>
      <c r="P233" s="876"/>
      <c r="Q233" s="876"/>
      <c r="R233" s="878"/>
      <c r="S233" s="876"/>
      <c r="T233" s="876"/>
      <c r="U233" s="878"/>
      <c r="V233" s="876"/>
      <c r="W233" s="876"/>
    </row>
    <row r="234" spans="1:23" s="356" customFormat="1" ht="15" customHeight="1">
      <c r="A234" s="883"/>
      <c r="B234" s="879"/>
      <c r="C234" s="881"/>
      <c r="D234" s="919"/>
      <c r="E234" s="883"/>
      <c r="F234" s="883"/>
      <c r="G234" s="879"/>
      <c r="H234" s="355">
        <v>0</v>
      </c>
      <c r="I234" s="355">
        <v>0</v>
      </c>
      <c r="J234" s="878"/>
      <c r="K234" s="878"/>
      <c r="L234" s="876"/>
      <c r="M234" s="876"/>
      <c r="N234" s="878"/>
      <c r="O234" s="878"/>
      <c r="P234" s="876"/>
      <c r="Q234" s="876"/>
      <c r="R234" s="878"/>
      <c r="S234" s="876"/>
      <c r="T234" s="876"/>
      <c r="U234" s="878"/>
      <c r="V234" s="876"/>
      <c r="W234" s="876"/>
    </row>
    <row r="235" spans="1:23" s="356" customFormat="1" ht="15" customHeight="1">
      <c r="A235" s="883"/>
      <c r="B235" s="879"/>
      <c r="C235" s="881"/>
      <c r="D235" s="919"/>
      <c r="E235" s="883"/>
      <c r="F235" s="883"/>
      <c r="G235" s="879"/>
      <c r="H235" s="355">
        <v>3642878</v>
      </c>
      <c r="I235" s="355">
        <v>300593</v>
      </c>
      <c r="J235" s="878"/>
      <c r="K235" s="878"/>
      <c r="L235" s="876"/>
      <c r="M235" s="876"/>
      <c r="N235" s="878"/>
      <c r="O235" s="878"/>
      <c r="P235" s="876"/>
      <c r="Q235" s="876"/>
      <c r="R235" s="878"/>
      <c r="S235" s="876"/>
      <c r="T235" s="876"/>
      <c r="U235" s="878"/>
      <c r="V235" s="876"/>
      <c r="W235" s="876"/>
    </row>
    <row r="236" spans="1:23" s="356" customFormat="1" ht="15" customHeight="1">
      <c r="A236" s="883"/>
      <c r="B236" s="879"/>
      <c r="C236" s="881"/>
      <c r="D236" s="919"/>
      <c r="E236" s="883"/>
      <c r="F236" s="883"/>
      <c r="G236" s="879"/>
      <c r="H236" s="355">
        <v>0</v>
      </c>
      <c r="I236" s="355">
        <v>0</v>
      </c>
      <c r="J236" s="878"/>
      <c r="K236" s="878"/>
      <c r="L236" s="876"/>
      <c r="M236" s="876"/>
      <c r="N236" s="878"/>
      <c r="O236" s="878"/>
      <c r="P236" s="876"/>
      <c r="Q236" s="876"/>
      <c r="R236" s="878"/>
      <c r="S236" s="876"/>
      <c r="T236" s="876"/>
      <c r="U236" s="878"/>
      <c r="V236" s="876"/>
      <c r="W236" s="876"/>
    </row>
    <row r="237" spans="1:23" s="356" customFormat="1" ht="15" customHeight="1">
      <c r="A237" s="883">
        <v>45</v>
      </c>
      <c r="B237" s="879" t="s">
        <v>775</v>
      </c>
      <c r="C237" s="881" t="s">
        <v>776</v>
      </c>
      <c r="D237" s="919" t="s">
        <v>777</v>
      </c>
      <c r="E237" s="883" t="s">
        <v>778</v>
      </c>
      <c r="F237" s="883" t="s">
        <v>737</v>
      </c>
      <c r="G237" s="879" t="s">
        <v>756</v>
      </c>
      <c r="H237" s="355">
        <f>H238+H239+H240+H241</f>
        <v>3350626</v>
      </c>
      <c r="I237" s="355">
        <f>I238+I239+I240+I241</f>
        <v>68880</v>
      </c>
      <c r="J237" s="878">
        <f>K237+N237</f>
        <v>1096071</v>
      </c>
      <c r="K237" s="878">
        <f>L237+M237</f>
        <v>927594</v>
      </c>
      <c r="L237" s="876">
        <v>47660</v>
      </c>
      <c r="M237" s="876">
        <v>879934</v>
      </c>
      <c r="N237" s="878">
        <f>O237+R237+U237</f>
        <v>168477</v>
      </c>
      <c r="O237" s="878">
        <f>P237+Q237</f>
        <v>0</v>
      </c>
      <c r="P237" s="876">
        <v>0</v>
      </c>
      <c r="Q237" s="876">
        <v>0</v>
      </c>
      <c r="R237" s="878">
        <f>S237+T237</f>
        <v>168477</v>
      </c>
      <c r="S237" s="876">
        <v>8411</v>
      </c>
      <c r="T237" s="876">
        <v>160066</v>
      </c>
      <c r="U237" s="878">
        <f>V237+W237</f>
        <v>0</v>
      </c>
      <c r="V237" s="876">
        <v>0</v>
      </c>
      <c r="W237" s="876">
        <v>0</v>
      </c>
    </row>
    <row r="238" spans="1:23" s="356" customFormat="1" ht="15" customHeight="1">
      <c r="A238" s="883"/>
      <c r="B238" s="879"/>
      <c r="C238" s="881"/>
      <c r="D238" s="919"/>
      <c r="E238" s="883"/>
      <c r="F238" s="883"/>
      <c r="G238" s="879"/>
      <c r="H238" s="355">
        <v>2839143</v>
      </c>
      <c r="I238" s="355">
        <v>58279</v>
      </c>
      <c r="J238" s="878"/>
      <c r="K238" s="878"/>
      <c r="L238" s="876"/>
      <c r="M238" s="876"/>
      <c r="N238" s="878"/>
      <c r="O238" s="878"/>
      <c r="P238" s="876"/>
      <c r="Q238" s="876"/>
      <c r="R238" s="878"/>
      <c r="S238" s="876"/>
      <c r="T238" s="876"/>
      <c r="U238" s="878"/>
      <c r="V238" s="876"/>
      <c r="W238" s="876"/>
    </row>
    <row r="239" spans="1:23" s="356" customFormat="1" ht="15" customHeight="1">
      <c r="A239" s="883"/>
      <c r="B239" s="879"/>
      <c r="C239" s="881"/>
      <c r="D239" s="919"/>
      <c r="E239" s="883"/>
      <c r="F239" s="883"/>
      <c r="G239" s="879"/>
      <c r="H239" s="355">
        <v>0</v>
      </c>
      <c r="I239" s="355">
        <v>0</v>
      </c>
      <c r="J239" s="878"/>
      <c r="K239" s="878"/>
      <c r="L239" s="876"/>
      <c r="M239" s="876"/>
      <c r="N239" s="878"/>
      <c r="O239" s="878"/>
      <c r="P239" s="876"/>
      <c r="Q239" s="876"/>
      <c r="R239" s="878"/>
      <c r="S239" s="876"/>
      <c r="T239" s="876"/>
      <c r="U239" s="878"/>
      <c r="V239" s="876"/>
      <c r="W239" s="876"/>
    </row>
    <row r="240" spans="1:23" s="356" customFormat="1" ht="15" customHeight="1">
      <c r="A240" s="883"/>
      <c r="B240" s="879"/>
      <c r="C240" s="881"/>
      <c r="D240" s="919"/>
      <c r="E240" s="883"/>
      <c r="F240" s="883"/>
      <c r="G240" s="879"/>
      <c r="H240" s="355">
        <v>511483</v>
      </c>
      <c r="I240" s="355">
        <v>10601</v>
      </c>
      <c r="J240" s="878"/>
      <c r="K240" s="878"/>
      <c r="L240" s="876"/>
      <c r="M240" s="876"/>
      <c r="N240" s="878"/>
      <c r="O240" s="878"/>
      <c r="P240" s="876"/>
      <c r="Q240" s="876"/>
      <c r="R240" s="878"/>
      <c r="S240" s="876"/>
      <c r="T240" s="876"/>
      <c r="U240" s="878"/>
      <c r="V240" s="876"/>
      <c r="W240" s="876"/>
    </row>
    <row r="241" spans="1:23" s="356" customFormat="1" ht="15" customHeight="1">
      <c r="A241" s="883"/>
      <c r="B241" s="879"/>
      <c r="C241" s="881"/>
      <c r="D241" s="919"/>
      <c r="E241" s="883"/>
      <c r="F241" s="883"/>
      <c r="G241" s="879"/>
      <c r="H241" s="355">
        <v>0</v>
      </c>
      <c r="I241" s="355">
        <v>0</v>
      </c>
      <c r="J241" s="878"/>
      <c r="K241" s="878"/>
      <c r="L241" s="876"/>
      <c r="M241" s="876"/>
      <c r="N241" s="878"/>
      <c r="O241" s="878"/>
      <c r="P241" s="876"/>
      <c r="Q241" s="876"/>
      <c r="R241" s="878"/>
      <c r="S241" s="876"/>
      <c r="T241" s="876"/>
      <c r="U241" s="878"/>
      <c r="V241" s="876"/>
      <c r="W241" s="876"/>
    </row>
    <row r="242" spans="1:23" s="356" customFormat="1" ht="15" customHeight="1">
      <c r="A242" s="883">
        <v>46</v>
      </c>
      <c r="B242" s="879" t="s">
        <v>779</v>
      </c>
      <c r="C242" s="881" t="s">
        <v>780</v>
      </c>
      <c r="D242" s="919" t="s">
        <v>781</v>
      </c>
      <c r="E242" s="883" t="s">
        <v>705</v>
      </c>
      <c r="F242" s="883" t="s">
        <v>782</v>
      </c>
      <c r="G242" s="879" t="s">
        <v>783</v>
      </c>
      <c r="H242" s="355">
        <f>H243+H244+H245+H246</f>
        <v>12276164</v>
      </c>
      <c r="I242" s="355">
        <f>I243+I244+I245+I246</f>
        <v>3698738</v>
      </c>
      <c r="J242" s="887">
        <f>K242+N242</f>
        <v>7041533</v>
      </c>
      <c r="K242" s="887">
        <f>L242+M242</f>
        <v>6300319</v>
      </c>
      <c r="L242" s="884">
        <v>6300319</v>
      </c>
      <c r="M242" s="884">
        <v>0</v>
      </c>
      <c r="N242" s="887">
        <f>O242+R242+U242</f>
        <v>741214</v>
      </c>
      <c r="O242" s="887">
        <f>P242+Q242</f>
        <v>741214</v>
      </c>
      <c r="P242" s="884">
        <v>741214</v>
      </c>
      <c r="Q242" s="884">
        <v>0</v>
      </c>
      <c r="R242" s="887">
        <f>S242+T242</f>
        <v>0</v>
      </c>
      <c r="S242" s="884">
        <v>0</v>
      </c>
      <c r="T242" s="884">
        <v>0</v>
      </c>
      <c r="U242" s="887">
        <f>V242+W242</f>
        <v>0</v>
      </c>
      <c r="V242" s="884">
        <v>0</v>
      </c>
      <c r="W242" s="884">
        <v>0</v>
      </c>
    </row>
    <row r="243" spans="1:23" s="356" customFormat="1" ht="15" customHeight="1">
      <c r="A243" s="883"/>
      <c r="B243" s="879"/>
      <c r="C243" s="881"/>
      <c r="D243" s="919"/>
      <c r="E243" s="883"/>
      <c r="F243" s="883"/>
      <c r="G243" s="879"/>
      <c r="H243" s="355">
        <v>10983936</v>
      </c>
      <c r="I243" s="355">
        <v>3309396</v>
      </c>
      <c r="J243" s="888"/>
      <c r="K243" s="888"/>
      <c r="L243" s="885"/>
      <c r="M243" s="885"/>
      <c r="N243" s="888"/>
      <c r="O243" s="888"/>
      <c r="P243" s="885"/>
      <c r="Q243" s="885"/>
      <c r="R243" s="888"/>
      <c r="S243" s="885"/>
      <c r="T243" s="885"/>
      <c r="U243" s="888"/>
      <c r="V243" s="885"/>
      <c r="W243" s="885"/>
    </row>
    <row r="244" spans="1:23" s="356" customFormat="1" ht="15" customHeight="1">
      <c r="A244" s="883"/>
      <c r="B244" s="879"/>
      <c r="C244" s="881"/>
      <c r="D244" s="919"/>
      <c r="E244" s="883"/>
      <c r="F244" s="883"/>
      <c r="G244" s="879"/>
      <c r="H244" s="355">
        <v>1292228</v>
      </c>
      <c r="I244" s="355">
        <v>389342</v>
      </c>
      <c r="J244" s="888"/>
      <c r="K244" s="888"/>
      <c r="L244" s="885"/>
      <c r="M244" s="885"/>
      <c r="N244" s="888"/>
      <c r="O244" s="888"/>
      <c r="P244" s="885"/>
      <c r="Q244" s="885"/>
      <c r="R244" s="888"/>
      <c r="S244" s="885"/>
      <c r="T244" s="885"/>
      <c r="U244" s="888"/>
      <c r="V244" s="885"/>
      <c r="W244" s="885"/>
    </row>
    <row r="245" spans="1:23" s="356" customFormat="1" ht="15" customHeight="1">
      <c r="A245" s="883"/>
      <c r="B245" s="879"/>
      <c r="C245" s="881"/>
      <c r="D245" s="919"/>
      <c r="E245" s="883"/>
      <c r="F245" s="883"/>
      <c r="G245" s="879"/>
      <c r="H245" s="355">
        <v>0</v>
      </c>
      <c r="I245" s="355">
        <v>0</v>
      </c>
      <c r="J245" s="888"/>
      <c r="K245" s="888"/>
      <c r="L245" s="885"/>
      <c r="M245" s="885"/>
      <c r="N245" s="888"/>
      <c r="O245" s="888"/>
      <c r="P245" s="885"/>
      <c r="Q245" s="885"/>
      <c r="R245" s="888"/>
      <c r="S245" s="885"/>
      <c r="T245" s="885"/>
      <c r="U245" s="888"/>
      <c r="V245" s="885"/>
      <c r="W245" s="885"/>
    </row>
    <row r="246" spans="1:23" s="356" customFormat="1" ht="15" customHeight="1">
      <c r="A246" s="883"/>
      <c r="B246" s="879"/>
      <c r="C246" s="881"/>
      <c r="D246" s="919"/>
      <c r="E246" s="883"/>
      <c r="F246" s="883"/>
      <c r="G246" s="879"/>
      <c r="H246" s="355">
        <v>0</v>
      </c>
      <c r="I246" s="355">
        <v>0</v>
      </c>
      <c r="J246" s="889"/>
      <c r="K246" s="889"/>
      <c r="L246" s="886"/>
      <c r="M246" s="886"/>
      <c r="N246" s="889"/>
      <c r="O246" s="889"/>
      <c r="P246" s="886"/>
      <c r="Q246" s="886"/>
      <c r="R246" s="889"/>
      <c r="S246" s="886"/>
      <c r="T246" s="886"/>
      <c r="U246" s="889"/>
      <c r="V246" s="886"/>
      <c r="W246" s="886"/>
    </row>
    <row r="247" spans="1:23" s="356" customFormat="1" ht="15" customHeight="1">
      <c r="A247" s="883">
        <v>47</v>
      </c>
      <c r="B247" s="879" t="s">
        <v>784</v>
      </c>
      <c r="C247" s="881" t="s">
        <v>785</v>
      </c>
      <c r="D247" s="919" t="s">
        <v>786</v>
      </c>
      <c r="E247" s="883" t="s">
        <v>686</v>
      </c>
      <c r="F247" s="883" t="s">
        <v>787</v>
      </c>
      <c r="G247" s="879" t="s">
        <v>691</v>
      </c>
      <c r="H247" s="355">
        <f>H248+H249+H250+H251</f>
        <v>1078200</v>
      </c>
      <c r="I247" s="355">
        <f>I248+I249+I250+I251</f>
        <v>636631</v>
      </c>
      <c r="J247" s="878">
        <f>K247+N247</f>
        <v>441569</v>
      </c>
      <c r="K247" s="878">
        <f>L247+M247</f>
        <v>375334</v>
      </c>
      <c r="L247" s="876">
        <v>375334</v>
      </c>
      <c r="M247" s="876">
        <v>0</v>
      </c>
      <c r="N247" s="878">
        <f>O247+R247+U247</f>
        <v>66235</v>
      </c>
      <c r="O247" s="878">
        <f>P247+Q247</f>
        <v>44157</v>
      </c>
      <c r="P247" s="876">
        <v>44157</v>
      </c>
      <c r="Q247" s="876">
        <v>0</v>
      </c>
      <c r="R247" s="878">
        <f>S247+T247</f>
        <v>22078</v>
      </c>
      <c r="S247" s="876">
        <v>22078</v>
      </c>
      <c r="T247" s="876">
        <v>0</v>
      </c>
      <c r="U247" s="878">
        <f>V247+W247</f>
        <v>0</v>
      </c>
      <c r="V247" s="876">
        <v>0</v>
      </c>
      <c r="W247" s="876">
        <v>0</v>
      </c>
    </row>
    <row r="248" spans="1:23" s="356" customFormat="1" ht="15" customHeight="1">
      <c r="A248" s="883"/>
      <c r="B248" s="879"/>
      <c r="C248" s="881"/>
      <c r="D248" s="919"/>
      <c r="E248" s="883"/>
      <c r="F248" s="883"/>
      <c r="G248" s="879"/>
      <c r="H248" s="355">
        <v>916470</v>
      </c>
      <c r="I248" s="355">
        <v>541136</v>
      </c>
      <c r="J248" s="878"/>
      <c r="K248" s="878"/>
      <c r="L248" s="876"/>
      <c r="M248" s="876"/>
      <c r="N248" s="878"/>
      <c r="O248" s="878"/>
      <c r="P248" s="876"/>
      <c r="Q248" s="876"/>
      <c r="R248" s="878"/>
      <c r="S248" s="876"/>
      <c r="T248" s="876"/>
      <c r="U248" s="878"/>
      <c r="V248" s="876"/>
      <c r="W248" s="876"/>
    </row>
    <row r="249" spans="1:23" s="356" customFormat="1" ht="15" customHeight="1">
      <c r="A249" s="883"/>
      <c r="B249" s="879"/>
      <c r="C249" s="881"/>
      <c r="D249" s="919"/>
      <c r="E249" s="883"/>
      <c r="F249" s="883"/>
      <c r="G249" s="879"/>
      <c r="H249" s="355">
        <v>107820</v>
      </c>
      <c r="I249" s="355">
        <v>63663</v>
      </c>
      <c r="J249" s="878"/>
      <c r="K249" s="878"/>
      <c r="L249" s="876"/>
      <c r="M249" s="876"/>
      <c r="N249" s="878"/>
      <c r="O249" s="878"/>
      <c r="P249" s="876"/>
      <c r="Q249" s="876"/>
      <c r="R249" s="878"/>
      <c r="S249" s="876"/>
      <c r="T249" s="876"/>
      <c r="U249" s="878"/>
      <c r="V249" s="876"/>
      <c r="W249" s="876"/>
    </row>
    <row r="250" spans="1:23" s="356" customFormat="1" ht="15" customHeight="1">
      <c r="A250" s="883"/>
      <c r="B250" s="879"/>
      <c r="C250" s="881"/>
      <c r="D250" s="919"/>
      <c r="E250" s="883"/>
      <c r="F250" s="883"/>
      <c r="G250" s="879"/>
      <c r="H250" s="355">
        <v>53910</v>
      </c>
      <c r="I250" s="355">
        <v>31832</v>
      </c>
      <c r="J250" s="878"/>
      <c r="K250" s="878"/>
      <c r="L250" s="876"/>
      <c r="M250" s="876"/>
      <c r="N250" s="878"/>
      <c r="O250" s="878"/>
      <c r="P250" s="876"/>
      <c r="Q250" s="876"/>
      <c r="R250" s="878"/>
      <c r="S250" s="876"/>
      <c r="T250" s="876"/>
      <c r="U250" s="878"/>
      <c r="V250" s="876"/>
      <c r="W250" s="876"/>
    </row>
    <row r="251" spans="1:23" s="356" customFormat="1" ht="15" customHeight="1">
      <c r="A251" s="883"/>
      <c r="B251" s="879"/>
      <c r="C251" s="881"/>
      <c r="D251" s="919"/>
      <c r="E251" s="883"/>
      <c r="F251" s="883"/>
      <c r="G251" s="879"/>
      <c r="H251" s="355">
        <v>0</v>
      </c>
      <c r="I251" s="355">
        <v>0</v>
      </c>
      <c r="J251" s="878"/>
      <c r="K251" s="878"/>
      <c r="L251" s="876"/>
      <c r="M251" s="876"/>
      <c r="N251" s="878"/>
      <c r="O251" s="878"/>
      <c r="P251" s="876"/>
      <c r="Q251" s="876"/>
      <c r="R251" s="878"/>
      <c r="S251" s="876"/>
      <c r="T251" s="876"/>
      <c r="U251" s="878"/>
      <c r="V251" s="876"/>
      <c r="W251" s="876"/>
    </row>
    <row r="252" spans="1:23" s="356" customFormat="1" ht="15" customHeight="1">
      <c r="A252" s="883">
        <v>48</v>
      </c>
      <c r="B252" s="879" t="s">
        <v>784</v>
      </c>
      <c r="C252" s="881" t="s">
        <v>785</v>
      </c>
      <c r="D252" s="916" t="s">
        <v>788</v>
      </c>
      <c r="E252" s="902" t="s">
        <v>789</v>
      </c>
      <c r="F252" s="902" t="s">
        <v>790</v>
      </c>
      <c r="G252" s="890" t="s">
        <v>791</v>
      </c>
      <c r="H252" s="355">
        <f>H253+H254+H255+H256</f>
        <v>427204</v>
      </c>
      <c r="I252" s="355">
        <f>I253+I254+I255+I256</f>
        <v>0</v>
      </c>
      <c r="J252" s="887">
        <f>K252+N252</f>
        <v>294892</v>
      </c>
      <c r="K252" s="887">
        <f>L252+M252</f>
        <v>263851</v>
      </c>
      <c r="L252" s="884">
        <v>245956</v>
      </c>
      <c r="M252" s="884">
        <v>17895</v>
      </c>
      <c r="N252" s="887">
        <f>O252+R252+U252</f>
        <v>31041</v>
      </c>
      <c r="O252" s="887">
        <f>P252+Q252</f>
        <v>31041</v>
      </c>
      <c r="P252" s="884">
        <v>28936</v>
      </c>
      <c r="Q252" s="884">
        <v>2105</v>
      </c>
      <c r="R252" s="887">
        <f>S252+T252</f>
        <v>0</v>
      </c>
      <c r="S252" s="884">
        <v>0</v>
      </c>
      <c r="T252" s="884">
        <v>0</v>
      </c>
      <c r="U252" s="887">
        <f>V252+W252</f>
        <v>0</v>
      </c>
      <c r="V252" s="884">
        <v>0</v>
      </c>
      <c r="W252" s="884">
        <v>0</v>
      </c>
    </row>
    <row r="253" spans="1:23" s="356" customFormat="1" ht="15" customHeight="1">
      <c r="A253" s="883"/>
      <c r="B253" s="879"/>
      <c r="C253" s="881"/>
      <c r="D253" s="917"/>
      <c r="E253" s="903"/>
      <c r="F253" s="903"/>
      <c r="G253" s="891"/>
      <c r="H253" s="355">
        <v>382236</v>
      </c>
      <c r="I253" s="355">
        <v>0</v>
      </c>
      <c r="J253" s="888"/>
      <c r="K253" s="888"/>
      <c r="L253" s="885"/>
      <c r="M253" s="885"/>
      <c r="N253" s="888"/>
      <c r="O253" s="888"/>
      <c r="P253" s="885"/>
      <c r="Q253" s="885"/>
      <c r="R253" s="888"/>
      <c r="S253" s="885"/>
      <c r="T253" s="885"/>
      <c r="U253" s="888"/>
      <c r="V253" s="885"/>
      <c r="W253" s="885"/>
    </row>
    <row r="254" spans="1:23" s="356" customFormat="1" ht="15" customHeight="1">
      <c r="A254" s="883"/>
      <c r="B254" s="879"/>
      <c r="C254" s="881"/>
      <c r="D254" s="917"/>
      <c r="E254" s="903"/>
      <c r="F254" s="903"/>
      <c r="G254" s="891"/>
      <c r="H254" s="355">
        <v>44968</v>
      </c>
      <c r="I254" s="355">
        <v>0</v>
      </c>
      <c r="J254" s="888"/>
      <c r="K254" s="888"/>
      <c r="L254" s="885"/>
      <c r="M254" s="885"/>
      <c r="N254" s="888"/>
      <c r="O254" s="888"/>
      <c r="P254" s="885"/>
      <c r="Q254" s="885"/>
      <c r="R254" s="888"/>
      <c r="S254" s="885"/>
      <c r="T254" s="885"/>
      <c r="U254" s="888"/>
      <c r="V254" s="885"/>
      <c r="W254" s="885"/>
    </row>
    <row r="255" spans="1:23" s="356" customFormat="1" ht="15" customHeight="1">
      <c r="A255" s="883"/>
      <c r="B255" s="879"/>
      <c r="C255" s="881"/>
      <c r="D255" s="917"/>
      <c r="E255" s="903"/>
      <c r="F255" s="903"/>
      <c r="G255" s="891"/>
      <c r="H255" s="355">
        <v>0</v>
      </c>
      <c r="I255" s="355">
        <v>0</v>
      </c>
      <c r="J255" s="888"/>
      <c r="K255" s="888"/>
      <c r="L255" s="885"/>
      <c r="M255" s="885"/>
      <c r="N255" s="888"/>
      <c r="O255" s="888"/>
      <c r="P255" s="885"/>
      <c r="Q255" s="885"/>
      <c r="R255" s="888"/>
      <c r="S255" s="885"/>
      <c r="T255" s="885"/>
      <c r="U255" s="888"/>
      <c r="V255" s="885"/>
      <c r="W255" s="885"/>
    </row>
    <row r="256" spans="1:23" s="356" customFormat="1" ht="15" customHeight="1">
      <c r="A256" s="883"/>
      <c r="B256" s="879"/>
      <c r="C256" s="881"/>
      <c r="D256" s="918"/>
      <c r="E256" s="904"/>
      <c r="F256" s="904"/>
      <c r="G256" s="892"/>
      <c r="H256" s="355">
        <v>0</v>
      </c>
      <c r="I256" s="355">
        <v>0</v>
      </c>
      <c r="J256" s="889"/>
      <c r="K256" s="889"/>
      <c r="L256" s="886"/>
      <c r="M256" s="886"/>
      <c r="N256" s="889"/>
      <c r="O256" s="889"/>
      <c r="P256" s="886"/>
      <c r="Q256" s="886"/>
      <c r="R256" s="889"/>
      <c r="S256" s="886"/>
      <c r="T256" s="886"/>
      <c r="U256" s="889"/>
      <c r="V256" s="886"/>
      <c r="W256" s="886"/>
    </row>
    <row r="257" spans="1:23" s="356" customFormat="1" ht="16.5" customHeight="1">
      <c r="A257" s="883">
        <v>49</v>
      </c>
      <c r="B257" s="890" t="s">
        <v>792</v>
      </c>
      <c r="C257" s="881" t="s">
        <v>793</v>
      </c>
      <c r="D257" s="916" t="s">
        <v>794</v>
      </c>
      <c r="E257" s="883" t="s">
        <v>705</v>
      </c>
      <c r="F257" s="902" t="s">
        <v>795</v>
      </c>
      <c r="G257" s="890" t="s">
        <v>725</v>
      </c>
      <c r="H257" s="355">
        <f>H258+H259+H260+H261</f>
        <v>4691046</v>
      </c>
      <c r="I257" s="355">
        <f>I258+I259+I260+I261</f>
        <v>2074477</v>
      </c>
      <c r="J257" s="878">
        <f>K257+N257</f>
        <v>1487301</v>
      </c>
      <c r="K257" s="878">
        <f>L257+M257</f>
        <v>1330743</v>
      </c>
      <c r="L257" s="876">
        <v>1330743</v>
      </c>
      <c r="M257" s="876">
        <v>0</v>
      </c>
      <c r="N257" s="878">
        <f>O257+R257+U257</f>
        <v>156558</v>
      </c>
      <c r="O257" s="878">
        <f>P257+Q257</f>
        <v>156558</v>
      </c>
      <c r="P257" s="876">
        <v>156558</v>
      </c>
      <c r="Q257" s="876">
        <v>0</v>
      </c>
      <c r="R257" s="878">
        <f>S257+T257</f>
        <v>0</v>
      </c>
      <c r="S257" s="876">
        <v>0</v>
      </c>
      <c r="T257" s="876">
        <v>0</v>
      </c>
      <c r="U257" s="878">
        <f>V257+W257</f>
        <v>0</v>
      </c>
      <c r="V257" s="876">
        <v>0</v>
      </c>
      <c r="W257" s="876">
        <v>0</v>
      </c>
    </row>
    <row r="258" spans="1:23" s="356" customFormat="1" ht="16.5" customHeight="1">
      <c r="A258" s="883"/>
      <c r="B258" s="891"/>
      <c r="C258" s="881"/>
      <c r="D258" s="917"/>
      <c r="E258" s="883"/>
      <c r="F258" s="903"/>
      <c r="G258" s="891"/>
      <c r="H258" s="355">
        <v>4197251</v>
      </c>
      <c r="I258" s="355">
        <v>1856110</v>
      </c>
      <c r="J258" s="878"/>
      <c r="K258" s="878"/>
      <c r="L258" s="876"/>
      <c r="M258" s="876"/>
      <c r="N258" s="878"/>
      <c r="O258" s="878"/>
      <c r="P258" s="876"/>
      <c r="Q258" s="876"/>
      <c r="R258" s="878"/>
      <c r="S258" s="876"/>
      <c r="T258" s="876"/>
      <c r="U258" s="878"/>
      <c r="V258" s="876"/>
      <c r="W258" s="876"/>
    </row>
    <row r="259" spans="1:23" s="356" customFormat="1" ht="16.5" customHeight="1">
      <c r="A259" s="883"/>
      <c r="B259" s="891"/>
      <c r="C259" s="881"/>
      <c r="D259" s="917"/>
      <c r="E259" s="883"/>
      <c r="F259" s="903"/>
      <c r="G259" s="891"/>
      <c r="H259" s="355">
        <v>493795</v>
      </c>
      <c r="I259" s="355">
        <v>218367</v>
      </c>
      <c r="J259" s="878"/>
      <c r="K259" s="878"/>
      <c r="L259" s="876"/>
      <c r="M259" s="876"/>
      <c r="N259" s="878"/>
      <c r="O259" s="878"/>
      <c r="P259" s="876"/>
      <c r="Q259" s="876"/>
      <c r="R259" s="878"/>
      <c r="S259" s="876"/>
      <c r="T259" s="876"/>
      <c r="U259" s="878"/>
      <c r="V259" s="876"/>
      <c r="W259" s="876"/>
    </row>
    <row r="260" spans="1:23" s="356" customFormat="1" ht="16.5" customHeight="1">
      <c r="A260" s="883"/>
      <c r="B260" s="891"/>
      <c r="C260" s="881"/>
      <c r="D260" s="917"/>
      <c r="E260" s="883"/>
      <c r="F260" s="903"/>
      <c r="G260" s="891"/>
      <c r="H260" s="355">
        <v>0</v>
      </c>
      <c r="I260" s="355">
        <v>0</v>
      </c>
      <c r="J260" s="878"/>
      <c r="K260" s="878"/>
      <c r="L260" s="876"/>
      <c r="M260" s="876"/>
      <c r="N260" s="878"/>
      <c r="O260" s="878"/>
      <c r="P260" s="876"/>
      <c r="Q260" s="876"/>
      <c r="R260" s="878"/>
      <c r="S260" s="876"/>
      <c r="T260" s="876"/>
      <c r="U260" s="878"/>
      <c r="V260" s="876"/>
      <c r="W260" s="876"/>
    </row>
    <row r="261" spans="1:23" s="356" customFormat="1" ht="16.5" customHeight="1">
      <c r="A261" s="883"/>
      <c r="B261" s="892"/>
      <c r="C261" s="881"/>
      <c r="D261" s="918"/>
      <c r="E261" s="883"/>
      <c r="F261" s="904"/>
      <c r="G261" s="892"/>
      <c r="H261" s="355">
        <v>0</v>
      </c>
      <c r="I261" s="355">
        <v>0</v>
      </c>
      <c r="J261" s="878"/>
      <c r="K261" s="878"/>
      <c r="L261" s="876"/>
      <c r="M261" s="876"/>
      <c r="N261" s="878"/>
      <c r="O261" s="878"/>
      <c r="P261" s="876"/>
      <c r="Q261" s="876"/>
      <c r="R261" s="878"/>
      <c r="S261" s="876"/>
      <c r="T261" s="876"/>
      <c r="U261" s="878"/>
      <c r="V261" s="876"/>
      <c r="W261" s="876"/>
    </row>
    <row r="262" spans="1:23" s="356" customFormat="1" ht="16.5" customHeight="1">
      <c r="A262" s="883">
        <v>50</v>
      </c>
      <c r="B262" s="890" t="s">
        <v>792</v>
      </c>
      <c r="C262" s="881" t="s">
        <v>793</v>
      </c>
      <c r="D262" s="916" t="s">
        <v>796</v>
      </c>
      <c r="E262" s="883" t="s">
        <v>705</v>
      </c>
      <c r="F262" s="902" t="s">
        <v>795</v>
      </c>
      <c r="G262" s="890" t="s">
        <v>691</v>
      </c>
      <c r="H262" s="355">
        <f>H263+H264+H265+H266</f>
        <v>7315715</v>
      </c>
      <c r="I262" s="355">
        <f>I263+I264+I265+I266</f>
        <v>4755683</v>
      </c>
      <c r="J262" s="887">
        <f>K262+N262</f>
        <v>2560032</v>
      </c>
      <c r="K262" s="887">
        <f>L262+M262</f>
        <v>2290555</v>
      </c>
      <c r="L262" s="884">
        <v>2290555</v>
      </c>
      <c r="M262" s="884">
        <v>0</v>
      </c>
      <c r="N262" s="887">
        <f>O262+R262+U262</f>
        <v>269477</v>
      </c>
      <c r="O262" s="887">
        <f>P262+Q262</f>
        <v>269477</v>
      </c>
      <c r="P262" s="884">
        <v>269477</v>
      </c>
      <c r="Q262" s="884">
        <v>0</v>
      </c>
      <c r="R262" s="887">
        <f>S262+T262</f>
        <v>0</v>
      </c>
      <c r="S262" s="884">
        <v>0</v>
      </c>
      <c r="T262" s="884">
        <v>0</v>
      </c>
      <c r="U262" s="887">
        <f>V262+W262</f>
        <v>0</v>
      </c>
      <c r="V262" s="884">
        <v>0</v>
      </c>
      <c r="W262" s="884">
        <v>0</v>
      </c>
    </row>
    <row r="263" spans="1:23" s="356" customFormat="1" ht="16.5" customHeight="1">
      <c r="A263" s="883"/>
      <c r="B263" s="891"/>
      <c r="C263" s="881"/>
      <c r="D263" s="917"/>
      <c r="E263" s="883"/>
      <c r="F263" s="903"/>
      <c r="G263" s="891"/>
      <c r="H263" s="355">
        <v>6545639</v>
      </c>
      <c r="I263" s="355">
        <v>4255084</v>
      </c>
      <c r="J263" s="888"/>
      <c r="K263" s="888"/>
      <c r="L263" s="885"/>
      <c r="M263" s="885"/>
      <c r="N263" s="888"/>
      <c r="O263" s="888"/>
      <c r="P263" s="885"/>
      <c r="Q263" s="885"/>
      <c r="R263" s="888"/>
      <c r="S263" s="885"/>
      <c r="T263" s="885"/>
      <c r="U263" s="888"/>
      <c r="V263" s="885"/>
      <c r="W263" s="885"/>
    </row>
    <row r="264" spans="1:23" s="356" customFormat="1" ht="16.5" customHeight="1">
      <c r="A264" s="883"/>
      <c r="B264" s="891"/>
      <c r="C264" s="881"/>
      <c r="D264" s="917"/>
      <c r="E264" s="883"/>
      <c r="F264" s="903"/>
      <c r="G264" s="891"/>
      <c r="H264" s="355">
        <v>770076</v>
      </c>
      <c r="I264" s="355">
        <v>500599</v>
      </c>
      <c r="J264" s="888"/>
      <c r="K264" s="888"/>
      <c r="L264" s="885"/>
      <c r="M264" s="885"/>
      <c r="N264" s="888"/>
      <c r="O264" s="888"/>
      <c r="P264" s="885"/>
      <c r="Q264" s="885"/>
      <c r="R264" s="888"/>
      <c r="S264" s="885"/>
      <c r="T264" s="885"/>
      <c r="U264" s="888"/>
      <c r="V264" s="885"/>
      <c r="W264" s="885"/>
    </row>
    <row r="265" spans="1:23" s="356" customFormat="1" ht="16.5" customHeight="1">
      <c r="A265" s="883"/>
      <c r="B265" s="891"/>
      <c r="C265" s="881"/>
      <c r="D265" s="917"/>
      <c r="E265" s="883"/>
      <c r="F265" s="903"/>
      <c r="G265" s="891"/>
      <c r="H265" s="355">
        <v>0</v>
      </c>
      <c r="I265" s="355">
        <v>0</v>
      </c>
      <c r="J265" s="888"/>
      <c r="K265" s="888"/>
      <c r="L265" s="885"/>
      <c r="M265" s="885"/>
      <c r="N265" s="888"/>
      <c r="O265" s="888"/>
      <c r="P265" s="885"/>
      <c r="Q265" s="885"/>
      <c r="R265" s="888"/>
      <c r="S265" s="885"/>
      <c r="T265" s="885"/>
      <c r="U265" s="888"/>
      <c r="V265" s="885"/>
      <c r="W265" s="885"/>
    </row>
    <row r="266" spans="1:23" s="356" customFormat="1" ht="16.5" customHeight="1">
      <c r="A266" s="883"/>
      <c r="B266" s="892"/>
      <c r="C266" s="881"/>
      <c r="D266" s="918"/>
      <c r="E266" s="883"/>
      <c r="F266" s="904"/>
      <c r="G266" s="892"/>
      <c r="H266" s="355">
        <v>0</v>
      </c>
      <c r="I266" s="355">
        <v>0</v>
      </c>
      <c r="J266" s="889"/>
      <c r="K266" s="889"/>
      <c r="L266" s="886"/>
      <c r="M266" s="886"/>
      <c r="N266" s="889"/>
      <c r="O266" s="889"/>
      <c r="P266" s="886"/>
      <c r="Q266" s="886"/>
      <c r="R266" s="889"/>
      <c r="S266" s="886"/>
      <c r="T266" s="886"/>
      <c r="U266" s="889"/>
      <c r="V266" s="886"/>
      <c r="W266" s="886"/>
    </row>
    <row r="267" spans="1:23" s="356" customFormat="1" ht="16.5" customHeight="1">
      <c r="A267" s="883">
        <v>51</v>
      </c>
      <c r="B267" s="890" t="s">
        <v>797</v>
      </c>
      <c r="C267" s="881" t="s">
        <v>798</v>
      </c>
      <c r="D267" s="916" t="s">
        <v>799</v>
      </c>
      <c r="E267" s="883" t="s">
        <v>705</v>
      </c>
      <c r="F267" s="902" t="s">
        <v>795</v>
      </c>
      <c r="G267" s="890" t="s">
        <v>691</v>
      </c>
      <c r="H267" s="355">
        <f>H268+H269+H270+H271</f>
        <v>11609693</v>
      </c>
      <c r="I267" s="355">
        <f>I268+I269+I270+I271</f>
        <v>8608757</v>
      </c>
      <c r="J267" s="887">
        <f>K267+N267</f>
        <v>3000936</v>
      </c>
      <c r="K267" s="887">
        <f>L267+M267</f>
        <v>2772604</v>
      </c>
      <c r="L267" s="884">
        <v>2772604</v>
      </c>
      <c r="M267" s="884">
        <v>0</v>
      </c>
      <c r="N267" s="887">
        <f>O267+R267+U267</f>
        <v>228332</v>
      </c>
      <c r="O267" s="887">
        <f>P267+Q267</f>
        <v>228332</v>
      </c>
      <c r="P267" s="884">
        <v>228332</v>
      </c>
      <c r="Q267" s="884">
        <v>0</v>
      </c>
      <c r="R267" s="887">
        <f>S267+T267</f>
        <v>0</v>
      </c>
      <c r="S267" s="884">
        <v>0</v>
      </c>
      <c r="T267" s="884">
        <v>0</v>
      </c>
      <c r="U267" s="887">
        <f>V267+W267</f>
        <v>0</v>
      </c>
      <c r="V267" s="884">
        <v>0</v>
      </c>
      <c r="W267" s="884">
        <v>0</v>
      </c>
    </row>
    <row r="268" spans="1:23" s="356" customFormat="1" ht="16.5" customHeight="1">
      <c r="A268" s="883"/>
      <c r="B268" s="891"/>
      <c r="C268" s="881"/>
      <c r="D268" s="917"/>
      <c r="E268" s="883"/>
      <c r="F268" s="903"/>
      <c r="G268" s="891"/>
      <c r="H268" s="355">
        <v>10726347</v>
      </c>
      <c r="I268" s="355">
        <v>7953743</v>
      </c>
      <c r="J268" s="888"/>
      <c r="K268" s="888"/>
      <c r="L268" s="885"/>
      <c r="M268" s="885"/>
      <c r="N268" s="888"/>
      <c r="O268" s="888"/>
      <c r="P268" s="885"/>
      <c r="Q268" s="885"/>
      <c r="R268" s="888"/>
      <c r="S268" s="885"/>
      <c r="T268" s="885"/>
      <c r="U268" s="888"/>
      <c r="V268" s="885"/>
      <c r="W268" s="885"/>
    </row>
    <row r="269" spans="1:23" s="356" customFormat="1" ht="16.5" customHeight="1">
      <c r="A269" s="883"/>
      <c r="B269" s="891"/>
      <c r="C269" s="881"/>
      <c r="D269" s="917"/>
      <c r="E269" s="883"/>
      <c r="F269" s="903"/>
      <c r="G269" s="891"/>
      <c r="H269" s="355">
        <v>883346</v>
      </c>
      <c r="I269" s="355">
        <v>655014</v>
      </c>
      <c r="J269" s="888"/>
      <c r="K269" s="888"/>
      <c r="L269" s="885"/>
      <c r="M269" s="885"/>
      <c r="N269" s="888"/>
      <c r="O269" s="888"/>
      <c r="P269" s="885"/>
      <c r="Q269" s="885"/>
      <c r="R269" s="888"/>
      <c r="S269" s="885"/>
      <c r="T269" s="885"/>
      <c r="U269" s="888"/>
      <c r="V269" s="885"/>
      <c r="W269" s="885"/>
    </row>
    <row r="270" spans="1:23" s="356" customFormat="1" ht="16.5" customHeight="1">
      <c r="A270" s="883"/>
      <c r="B270" s="891"/>
      <c r="C270" s="881"/>
      <c r="D270" s="917"/>
      <c r="E270" s="883"/>
      <c r="F270" s="903"/>
      <c r="G270" s="891"/>
      <c r="H270" s="355">
        <v>0</v>
      </c>
      <c r="I270" s="355">
        <v>0</v>
      </c>
      <c r="J270" s="888"/>
      <c r="K270" s="888"/>
      <c r="L270" s="885"/>
      <c r="M270" s="885"/>
      <c r="N270" s="888"/>
      <c r="O270" s="888"/>
      <c r="P270" s="885"/>
      <c r="Q270" s="885"/>
      <c r="R270" s="888"/>
      <c r="S270" s="885"/>
      <c r="T270" s="885"/>
      <c r="U270" s="888"/>
      <c r="V270" s="885"/>
      <c r="W270" s="885"/>
    </row>
    <row r="271" spans="1:23" s="356" customFormat="1" ht="16.5" customHeight="1">
      <c r="A271" s="883"/>
      <c r="B271" s="892"/>
      <c r="C271" s="881"/>
      <c r="D271" s="918"/>
      <c r="E271" s="883"/>
      <c r="F271" s="904"/>
      <c r="G271" s="892"/>
      <c r="H271" s="355">
        <v>0</v>
      </c>
      <c r="I271" s="355">
        <v>0</v>
      </c>
      <c r="J271" s="889"/>
      <c r="K271" s="889"/>
      <c r="L271" s="886"/>
      <c r="M271" s="886"/>
      <c r="N271" s="889"/>
      <c r="O271" s="889"/>
      <c r="P271" s="886"/>
      <c r="Q271" s="886"/>
      <c r="R271" s="889"/>
      <c r="S271" s="886"/>
      <c r="T271" s="886"/>
      <c r="U271" s="889"/>
      <c r="V271" s="886"/>
      <c r="W271" s="886"/>
    </row>
    <row r="272" spans="1:23" s="356" customFormat="1" ht="16.5" customHeight="1">
      <c r="A272" s="883">
        <v>52</v>
      </c>
      <c r="B272" s="890" t="s">
        <v>797</v>
      </c>
      <c r="C272" s="881" t="s">
        <v>798</v>
      </c>
      <c r="D272" s="916" t="s">
        <v>800</v>
      </c>
      <c r="E272" s="883" t="s">
        <v>705</v>
      </c>
      <c r="F272" s="902" t="s">
        <v>795</v>
      </c>
      <c r="G272" s="890" t="s">
        <v>691</v>
      </c>
      <c r="H272" s="355">
        <f>H273+H274+H275+H276</f>
        <v>1509371</v>
      </c>
      <c r="I272" s="355">
        <f>I273+I274+I275+I276</f>
        <v>1478858</v>
      </c>
      <c r="J272" s="887">
        <f>K272+N272</f>
        <v>30513</v>
      </c>
      <c r="K272" s="887">
        <f>L272+M272</f>
        <v>28239</v>
      </c>
      <c r="L272" s="884">
        <v>28239</v>
      </c>
      <c r="M272" s="884">
        <v>0</v>
      </c>
      <c r="N272" s="887">
        <f>O272+R272+U272</f>
        <v>2274</v>
      </c>
      <c r="O272" s="887">
        <f>P272+Q272</f>
        <v>2274</v>
      </c>
      <c r="P272" s="884">
        <v>2274</v>
      </c>
      <c r="Q272" s="884">
        <v>0</v>
      </c>
      <c r="R272" s="887">
        <f>S272+T272</f>
        <v>0</v>
      </c>
      <c r="S272" s="884">
        <v>0</v>
      </c>
      <c r="T272" s="884">
        <v>0</v>
      </c>
      <c r="U272" s="887">
        <f>V272+W272</f>
        <v>0</v>
      </c>
      <c r="V272" s="884">
        <v>0</v>
      </c>
      <c r="W272" s="884">
        <v>0</v>
      </c>
    </row>
    <row r="273" spans="1:23" s="356" customFormat="1" ht="16.5" customHeight="1">
      <c r="A273" s="883"/>
      <c r="B273" s="891"/>
      <c r="C273" s="881"/>
      <c r="D273" s="917"/>
      <c r="E273" s="883"/>
      <c r="F273" s="903"/>
      <c r="G273" s="891"/>
      <c r="H273" s="355">
        <v>1396876</v>
      </c>
      <c r="I273" s="355">
        <v>1368637</v>
      </c>
      <c r="J273" s="888"/>
      <c r="K273" s="888"/>
      <c r="L273" s="885"/>
      <c r="M273" s="885"/>
      <c r="N273" s="888"/>
      <c r="O273" s="888"/>
      <c r="P273" s="885"/>
      <c r="Q273" s="885"/>
      <c r="R273" s="888"/>
      <c r="S273" s="885"/>
      <c r="T273" s="885"/>
      <c r="U273" s="888"/>
      <c r="V273" s="885"/>
      <c r="W273" s="885"/>
    </row>
    <row r="274" spans="1:23" s="356" customFormat="1" ht="16.5" customHeight="1">
      <c r="A274" s="883"/>
      <c r="B274" s="891"/>
      <c r="C274" s="881"/>
      <c r="D274" s="917"/>
      <c r="E274" s="883"/>
      <c r="F274" s="903"/>
      <c r="G274" s="891"/>
      <c r="H274" s="355">
        <v>112495</v>
      </c>
      <c r="I274" s="355">
        <v>110221</v>
      </c>
      <c r="J274" s="888"/>
      <c r="K274" s="888"/>
      <c r="L274" s="885"/>
      <c r="M274" s="885"/>
      <c r="N274" s="888"/>
      <c r="O274" s="888"/>
      <c r="P274" s="885"/>
      <c r="Q274" s="885"/>
      <c r="R274" s="888"/>
      <c r="S274" s="885"/>
      <c r="T274" s="885"/>
      <c r="U274" s="888"/>
      <c r="V274" s="885"/>
      <c r="W274" s="885"/>
    </row>
    <row r="275" spans="1:23" s="356" customFormat="1" ht="16.5" customHeight="1">
      <c r="A275" s="883"/>
      <c r="B275" s="891"/>
      <c r="C275" s="881"/>
      <c r="D275" s="917"/>
      <c r="E275" s="883"/>
      <c r="F275" s="903"/>
      <c r="G275" s="891"/>
      <c r="H275" s="355">
        <v>0</v>
      </c>
      <c r="I275" s="355">
        <v>0</v>
      </c>
      <c r="J275" s="888"/>
      <c r="K275" s="888"/>
      <c r="L275" s="885"/>
      <c r="M275" s="885"/>
      <c r="N275" s="888"/>
      <c r="O275" s="888"/>
      <c r="P275" s="885"/>
      <c r="Q275" s="885"/>
      <c r="R275" s="888"/>
      <c r="S275" s="885"/>
      <c r="T275" s="885"/>
      <c r="U275" s="888"/>
      <c r="V275" s="885"/>
      <c r="W275" s="885"/>
    </row>
    <row r="276" spans="1:23" s="356" customFormat="1" ht="16.5" customHeight="1">
      <c r="A276" s="883"/>
      <c r="B276" s="892"/>
      <c r="C276" s="881"/>
      <c r="D276" s="918"/>
      <c r="E276" s="883"/>
      <c r="F276" s="904"/>
      <c r="G276" s="892"/>
      <c r="H276" s="355">
        <v>0</v>
      </c>
      <c r="I276" s="355">
        <v>0</v>
      </c>
      <c r="J276" s="889"/>
      <c r="K276" s="889"/>
      <c r="L276" s="886"/>
      <c r="M276" s="886"/>
      <c r="N276" s="889"/>
      <c r="O276" s="889"/>
      <c r="P276" s="886"/>
      <c r="Q276" s="886"/>
      <c r="R276" s="889"/>
      <c r="S276" s="886"/>
      <c r="T276" s="886"/>
      <c r="U276" s="889"/>
      <c r="V276" s="886"/>
      <c r="W276" s="886"/>
    </row>
    <row r="277" spans="1:23" s="356" customFormat="1" ht="16.5" customHeight="1">
      <c r="A277" s="883">
        <v>53</v>
      </c>
      <c r="B277" s="890" t="s">
        <v>801</v>
      </c>
      <c r="C277" s="881" t="s">
        <v>802</v>
      </c>
      <c r="D277" s="916" t="s">
        <v>803</v>
      </c>
      <c r="E277" s="883" t="s">
        <v>705</v>
      </c>
      <c r="F277" s="902" t="s">
        <v>795</v>
      </c>
      <c r="G277" s="890" t="s">
        <v>804</v>
      </c>
      <c r="H277" s="355">
        <f>H278+H279+H280+H281</f>
        <v>3240000</v>
      </c>
      <c r="I277" s="355">
        <f>I278+I279+I280+I281</f>
        <v>720000</v>
      </c>
      <c r="J277" s="887">
        <f>K277+N277</f>
        <v>653000</v>
      </c>
      <c r="K277" s="887">
        <f>L277+M277</f>
        <v>555050</v>
      </c>
      <c r="L277" s="884">
        <v>555050</v>
      </c>
      <c r="M277" s="884">
        <v>0</v>
      </c>
      <c r="N277" s="887">
        <f>O277+R277+U277</f>
        <v>97950</v>
      </c>
      <c r="O277" s="887">
        <f>P277+Q277</f>
        <v>0</v>
      </c>
      <c r="P277" s="884">
        <v>0</v>
      </c>
      <c r="Q277" s="884">
        <v>0</v>
      </c>
      <c r="R277" s="887">
        <f>S277+T277</f>
        <v>97950</v>
      </c>
      <c r="S277" s="884">
        <v>97950</v>
      </c>
      <c r="T277" s="884">
        <v>0</v>
      </c>
      <c r="U277" s="887">
        <f>V277+W277</f>
        <v>0</v>
      </c>
      <c r="V277" s="884">
        <v>0</v>
      </c>
      <c r="W277" s="884">
        <v>0</v>
      </c>
    </row>
    <row r="278" spans="1:23" s="356" customFormat="1" ht="16.5" customHeight="1">
      <c r="A278" s="883"/>
      <c r="B278" s="891"/>
      <c r="C278" s="881"/>
      <c r="D278" s="917"/>
      <c r="E278" s="883"/>
      <c r="F278" s="903"/>
      <c r="G278" s="891"/>
      <c r="H278" s="355">
        <v>2754000</v>
      </c>
      <c r="I278" s="355">
        <v>612000</v>
      </c>
      <c r="J278" s="888"/>
      <c r="K278" s="888"/>
      <c r="L278" s="885"/>
      <c r="M278" s="885"/>
      <c r="N278" s="888"/>
      <c r="O278" s="888"/>
      <c r="P278" s="885"/>
      <c r="Q278" s="885"/>
      <c r="R278" s="888"/>
      <c r="S278" s="885"/>
      <c r="T278" s="885"/>
      <c r="U278" s="888"/>
      <c r="V278" s="885"/>
      <c r="W278" s="885"/>
    </row>
    <row r="279" spans="1:23" s="356" customFormat="1" ht="16.5" customHeight="1">
      <c r="A279" s="883"/>
      <c r="B279" s="891"/>
      <c r="C279" s="881"/>
      <c r="D279" s="917"/>
      <c r="E279" s="883"/>
      <c r="F279" s="903"/>
      <c r="G279" s="891"/>
      <c r="H279" s="355">
        <v>0</v>
      </c>
      <c r="I279" s="355">
        <v>0</v>
      </c>
      <c r="J279" s="888"/>
      <c r="K279" s="888"/>
      <c r="L279" s="885"/>
      <c r="M279" s="885"/>
      <c r="N279" s="888"/>
      <c r="O279" s="888"/>
      <c r="P279" s="885"/>
      <c r="Q279" s="885"/>
      <c r="R279" s="888"/>
      <c r="S279" s="885"/>
      <c r="T279" s="885"/>
      <c r="U279" s="888"/>
      <c r="V279" s="885"/>
      <c r="W279" s="885"/>
    </row>
    <row r="280" spans="1:23" s="356" customFormat="1" ht="16.5" customHeight="1">
      <c r="A280" s="883"/>
      <c r="B280" s="891"/>
      <c r="C280" s="881"/>
      <c r="D280" s="917"/>
      <c r="E280" s="883"/>
      <c r="F280" s="903"/>
      <c r="G280" s="891"/>
      <c r="H280" s="355">
        <v>486000</v>
      </c>
      <c r="I280" s="355">
        <v>108000</v>
      </c>
      <c r="J280" s="888"/>
      <c r="K280" s="888"/>
      <c r="L280" s="885"/>
      <c r="M280" s="885"/>
      <c r="N280" s="888"/>
      <c r="O280" s="888"/>
      <c r="P280" s="885"/>
      <c r="Q280" s="885"/>
      <c r="R280" s="888"/>
      <c r="S280" s="885"/>
      <c r="T280" s="885"/>
      <c r="U280" s="888"/>
      <c r="V280" s="885"/>
      <c r="W280" s="885"/>
    </row>
    <row r="281" spans="1:23" s="356" customFormat="1" ht="16.5" customHeight="1">
      <c r="A281" s="883"/>
      <c r="B281" s="892"/>
      <c r="C281" s="881"/>
      <c r="D281" s="918"/>
      <c r="E281" s="883"/>
      <c r="F281" s="904"/>
      <c r="G281" s="892"/>
      <c r="H281" s="355">
        <v>0</v>
      </c>
      <c r="I281" s="355">
        <v>0</v>
      </c>
      <c r="J281" s="889"/>
      <c r="K281" s="889"/>
      <c r="L281" s="886"/>
      <c r="M281" s="886"/>
      <c r="N281" s="889"/>
      <c r="O281" s="889"/>
      <c r="P281" s="886"/>
      <c r="Q281" s="886"/>
      <c r="R281" s="889"/>
      <c r="S281" s="886"/>
      <c r="T281" s="886"/>
      <c r="U281" s="889"/>
      <c r="V281" s="886"/>
      <c r="W281" s="886"/>
    </row>
    <row r="282" spans="1:23" s="356" customFormat="1" ht="16.5" customHeight="1">
      <c r="A282" s="883">
        <v>54</v>
      </c>
      <c r="B282" s="890" t="s">
        <v>805</v>
      </c>
      <c r="C282" s="881" t="s">
        <v>806</v>
      </c>
      <c r="D282" s="916" t="s">
        <v>807</v>
      </c>
      <c r="E282" s="883" t="s">
        <v>686</v>
      </c>
      <c r="F282" s="902" t="s">
        <v>808</v>
      </c>
      <c r="G282" s="890" t="s">
        <v>809</v>
      </c>
      <c r="H282" s="355">
        <f>H283+H284+H285+H286</f>
        <v>2441365</v>
      </c>
      <c r="I282" s="355">
        <f>I283+I284+I285+I286</f>
        <v>0</v>
      </c>
      <c r="J282" s="887">
        <f>K282+N282</f>
        <v>787480</v>
      </c>
      <c r="K282" s="887">
        <f>L282+M282</f>
        <v>669358</v>
      </c>
      <c r="L282" s="884">
        <v>669358</v>
      </c>
      <c r="M282" s="884">
        <v>0</v>
      </c>
      <c r="N282" s="887">
        <f>O282+R282+U282</f>
        <v>118122</v>
      </c>
      <c r="O282" s="887">
        <f>P282+Q282</f>
        <v>0</v>
      </c>
      <c r="P282" s="884">
        <v>0</v>
      </c>
      <c r="Q282" s="884">
        <v>0</v>
      </c>
      <c r="R282" s="887">
        <f>S282+T282</f>
        <v>118122</v>
      </c>
      <c r="S282" s="884">
        <v>118122</v>
      </c>
      <c r="T282" s="884">
        <v>0</v>
      </c>
      <c r="U282" s="887">
        <f>V282+W282</f>
        <v>0</v>
      </c>
      <c r="V282" s="884">
        <v>0</v>
      </c>
      <c r="W282" s="884">
        <v>0</v>
      </c>
    </row>
    <row r="283" spans="1:23" s="356" customFormat="1" ht="16.5" customHeight="1">
      <c r="A283" s="883"/>
      <c r="B283" s="891"/>
      <c r="C283" s="881"/>
      <c r="D283" s="917"/>
      <c r="E283" s="883"/>
      <c r="F283" s="903"/>
      <c r="G283" s="891"/>
      <c r="H283" s="355">
        <v>2075160</v>
      </c>
      <c r="I283" s="355">
        <v>0</v>
      </c>
      <c r="J283" s="888"/>
      <c r="K283" s="888"/>
      <c r="L283" s="885"/>
      <c r="M283" s="885"/>
      <c r="N283" s="888"/>
      <c r="O283" s="888"/>
      <c r="P283" s="885"/>
      <c r="Q283" s="885"/>
      <c r="R283" s="888"/>
      <c r="S283" s="885"/>
      <c r="T283" s="885"/>
      <c r="U283" s="888"/>
      <c r="V283" s="885"/>
      <c r="W283" s="885"/>
    </row>
    <row r="284" spans="1:23" s="356" customFormat="1" ht="16.5" customHeight="1">
      <c r="A284" s="883"/>
      <c r="B284" s="891"/>
      <c r="C284" s="881"/>
      <c r="D284" s="917"/>
      <c r="E284" s="883"/>
      <c r="F284" s="903"/>
      <c r="G284" s="891"/>
      <c r="H284" s="355">
        <v>0</v>
      </c>
      <c r="I284" s="355">
        <v>0</v>
      </c>
      <c r="J284" s="888"/>
      <c r="K284" s="888"/>
      <c r="L284" s="885"/>
      <c r="M284" s="885"/>
      <c r="N284" s="888"/>
      <c r="O284" s="888"/>
      <c r="P284" s="885"/>
      <c r="Q284" s="885"/>
      <c r="R284" s="888"/>
      <c r="S284" s="885"/>
      <c r="T284" s="885"/>
      <c r="U284" s="888"/>
      <c r="V284" s="885"/>
      <c r="W284" s="885"/>
    </row>
    <row r="285" spans="1:23" s="356" customFormat="1" ht="16.5" customHeight="1">
      <c r="A285" s="883"/>
      <c r="B285" s="891"/>
      <c r="C285" s="881"/>
      <c r="D285" s="917"/>
      <c r="E285" s="883"/>
      <c r="F285" s="903"/>
      <c r="G285" s="891"/>
      <c r="H285" s="355">
        <v>366205</v>
      </c>
      <c r="I285" s="355">
        <v>0</v>
      </c>
      <c r="J285" s="888"/>
      <c r="K285" s="888"/>
      <c r="L285" s="885"/>
      <c r="M285" s="885"/>
      <c r="N285" s="888"/>
      <c r="O285" s="888"/>
      <c r="P285" s="885"/>
      <c r="Q285" s="885"/>
      <c r="R285" s="888"/>
      <c r="S285" s="885"/>
      <c r="T285" s="885"/>
      <c r="U285" s="888"/>
      <c r="V285" s="885"/>
      <c r="W285" s="885"/>
    </row>
    <row r="286" spans="1:23" s="356" customFormat="1" ht="16.5" customHeight="1">
      <c r="A286" s="883"/>
      <c r="B286" s="892"/>
      <c r="C286" s="881"/>
      <c r="D286" s="918"/>
      <c r="E286" s="883"/>
      <c r="F286" s="904"/>
      <c r="G286" s="892"/>
      <c r="H286" s="355">
        <v>0</v>
      </c>
      <c r="I286" s="355">
        <v>0</v>
      </c>
      <c r="J286" s="889"/>
      <c r="K286" s="889"/>
      <c r="L286" s="886"/>
      <c r="M286" s="886"/>
      <c r="N286" s="889"/>
      <c r="O286" s="889"/>
      <c r="P286" s="886"/>
      <c r="Q286" s="886"/>
      <c r="R286" s="889"/>
      <c r="S286" s="886"/>
      <c r="T286" s="886"/>
      <c r="U286" s="889"/>
      <c r="V286" s="886"/>
      <c r="W286" s="886"/>
    </row>
    <row r="287" spans="1:23" s="356" customFormat="1" ht="16.5" customHeight="1">
      <c r="A287" s="883">
        <v>55</v>
      </c>
      <c r="B287" s="890" t="s">
        <v>810</v>
      </c>
      <c r="C287" s="881" t="s">
        <v>806</v>
      </c>
      <c r="D287" s="916" t="s">
        <v>811</v>
      </c>
      <c r="E287" s="883" t="s">
        <v>686</v>
      </c>
      <c r="F287" s="902" t="s">
        <v>812</v>
      </c>
      <c r="G287" s="890" t="s">
        <v>725</v>
      </c>
      <c r="H287" s="355">
        <f>H288+H289+H290+H291</f>
        <v>2764483</v>
      </c>
      <c r="I287" s="355">
        <f>I288+I289+I290+I291</f>
        <v>1211514</v>
      </c>
      <c r="J287" s="887">
        <f>K287+N287</f>
        <v>1332550</v>
      </c>
      <c r="K287" s="887">
        <f>L287+M287</f>
        <v>1192282</v>
      </c>
      <c r="L287" s="884">
        <v>1192282</v>
      </c>
      <c r="M287" s="884">
        <v>0</v>
      </c>
      <c r="N287" s="887">
        <f>O287+R287+U287</f>
        <v>140268</v>
      </c>
      <c r="O287" s="887">
        <f>P287+Q287</f>
        <v>140268</v>
      </c>
      <c r="P287" s="884">
        <v>140268</v>
      </c>
      <c r="Q287" s="884">
        <v>0</v>
      </c>
      <c r="R287" s="887">
        <f>S287+T287</f>
        <v>0</v>
      </c>
      <c r="S287" s="884">
        <v>0</v>
      </c>
      <c r="T287" s="884">
        <v>0</v>
      </c>
      <c r="U287" s="887">
        <f>V287+W287</f>
        <v>0</v>
      </c>
      <c r="V287" s="884">
        <v>0</v>
      </c>
      <c r="W287" s="884">
        <v>0</v>
      </c>
    </row>
    <row r="288" spans="1:23" s="356" customFormat="1" ht="16.5" customHeight="1">
      <c r="A288" s="883"/>
      <c r="B288" s="891"/>
      <c r="C288" s="881"/>
      <c r="D288" s="917"/>
      <c r="E288" s="883"/>
      <c r="F288" s="903"/>
      <c r="G288" s="891"/>
      <c r="H288" s="355">
        <v>2473485</v>
      </c>
      <c r="I288" s="355">
        <v>1083980</v>
      </c>
      <c r="J288" s="888"/>
      <c r="K288" s="888"/>
      <c r="L288" s="885"/>
      <c r="M288" s="885"/>
      <c r="N288" s="888"/>
      <c r="O288" s="888"/>
      <c r="P288" s="885"/>
      <c r="Q288" s="885"/>
      <c r="R288" s="888"/>
      <c r="S288" s="885"/>
      <c r="T288" s="885"/>
      <c r="U288" s="888"/>
      <c r="V288" s="885"/>
      <c r="W288" s="885"/>
    </row>
    <row r="289" spans="1:23" s="356" customFormat="1" ht="16.5" customHeight="1">
      <c r="A289" s="883"/>
      <c r="B289" s="891"/>
      <c r="C289" s="881"/>
      <c r="D289" s="917"/>
      <c r="E289" s="883"/>
      <c r="F289" s="903"/>
      <c r="G289" s="891"/>
      <c r="H289" s="355">
        <v>290998</v>
      </c>
      <c r="I289" s="355">
        <v>127534</v>
      </c>
      <c r="J289" s="888"/>
      <c r="K289" s="888"/>
      <c r="L289" s="885"/>
      <c r="M289" s="885"/>
      <c r="N289" s="888"/>
      <c r="O289" s="888"/>
      <c r="P289" s="885"/>
      <c r="Q289" s="885"/>
      <c r="R289" s="888"/>
      <c r="S289" s="885"/>
      <c r="T289" s="885"/>
      <c r="U289" s="888"/>
      <c r="V289" s="885"/>
      <c r="W289" s="885"/>
    </row>
    <row r="290" spans="1:23" s="356" customFormat="1" ht="16.5" customHeight="1">
      <c r="A290" s="883"/>
      <c r="B290" s="891"/>
      <c r="C290" s="881"/>
      <c r="D290" s="917"/>
      <c r="E290" s="883"/>
      <c r="F290" s="903"/>
      <c r="G290" s="891"/>
      <c r="H290" s="355">
        <v>0</v>
      </c>
      <c r="I290" s="355">
        <v>0</v>
      </c>
      <c r="J290" s="888"/>
      <c r="K290" s="888"/>
      <c r="L290" s="885"/>
      <c r="M290" s="885"/>
      <c r="N290" s="888"/>
      <c r="O290" s="888"/>
      <c r="P290" s="885"/>
      <c r="Q290" s="885"/>
      <c r="R290" s="888"/>
      <c r="S290" s="885"/>
      <c r="T290" s="885"/>
      <c r="U290" s="888"/>
      <c r="V290" s="885"/>
      <c r="W290" s="885"/>
    </row>
    <row r="291" spans="1:23" s="356" customFormat="1" ht="16.5" customHeight="1">
      <c r="A291" s="883"/>
      <c r="B291" s="892"/>
      <c r="C291" s="881"/>
      <c r="D291" s="918"/>
      <c r="E291" s="883"/>
      <c r="F291" s="904"/>
      <c r="G291" s="892"/>
      <c r="H291" s="355">
        <v>0</v>
      </c>
      <c r="I291" s="355">
        <v>0</v>
      </c>
      <c r="J291" s="889"/>
      <c r="K291" s="889"/>
      <c r="L291" s="886"/>
      <c r="M291" s="886"/>
      <c r="N291" s="889"/>
      <c r="O291" s="889"/>
      <c r="P291" s="886"/>
      <c r="Q291" s="886"/>
      <c r="R291" s="889"/>
      <c r="S291" s="886"/>
      <c r="T291" s="886"/>
      <c r="U291" s="889"/>
      <c r="V291" s="886"/>
      <c r="W291" s="886"/>
    </row>
    <row r="292" spans="1:23" s="356" customFormat="1" ht="16.5" customHeight="1">
      <c r="A292" s="883">
        <v>56</v>
      </c>
      <c r="B292" s="890" t="s">
        <v>810</v>
      </c>
      <c r="C292" s="881" t="s">
        <v>806</v>
      </c>
      <c r="D292" s="916" t="s">
        <v>813</v>
      </c>
      <c r="E292" s="883" t="s">
        <v>686</v>
      </c>
      <c r="F292" s="902" t="s">
        <v>812</v>
      </c>
      <c r="G292" s="890" t="s">
        <v>804</v>
      </c>
      <c r="H292" s="355">
        <f>H293+H294+H295+H296</f>
        <v>3517126</v>
      </c>
      <c r="I292" s="355">
        <f>I293+I294+I295+I296</f>
        <v>1854256</v>
      </c>
      <c r="J292" s="887">
        <f>K292+N292</f>
        <v>680326</v>
      </c>
      <c r="K292" s="887">
        <f>L292+M292</f>
        <v>680326</v>
      </c>
      <c r="L292" s="884">
        <v>680326</v>
      </c>
      <c r="M292" s="884">
        <v>0</v>
      </c>
      <c r="N292" s="887">
        <f>O292+R292+U292</f>
        <v>0</v>
      </c>
      <c r="O292" s="887">
        <f>P292+Q292</f>
        <v>0</v>
      </c>
      <c r="P292" s="884">
        <v>0</v>
      </c>
      <c r="Q292" s="884">
        <v>0</v>
      </c>
      <c r="R292" s="887">
        <f>S292+T292</f>
        <v>0</v>
      </c>
      <c r="S292" s="884">
        <v>0</v>
      </c>
      <c r="T292" s="884">
        <v>0</v>
      </c>
      <c r="U292" s="887">
        <f>V292+W292</f>
        <v>0</v>
      </c>
      <c r="V292" s="884">
        <v>0</v>
      </c>
      <c r="W292" s="884">
        <v>0</v>
      </c>
    </row>
    <row r="293" spans="1:23" s="356" customFormat="1" ht="16.5" customHeight="1">
      <c r="A293" s="883"/>
      <c r="B293" s="891"/>
      <c r="C293" s="881"/>
      <c r="D293" s="917"/>
      <c r="E293" s="883"/>
      <c r="F293" s="903"/>
      <c r="G293" s="891"/>
      <c r="H293" s="355">
        <v>3517126</v>
      </c>
      <c r="I293" s="355">
        <v>1854256</v>
      </c>
      <c r="J293" s="888"/>
      <c r="K293" s="888"/>
      <c r="L293" s="885"/>
      <c r="M293" s="885"/>
      <c r="N293" s="888"/>
      <c r="O293" s="888"/>
      <c r="P293" s="885"/>
      <c r="Q293" s="885"/>
      <c r="R293" s="888"/>
      <c r="S293" s="885"/>
      <c r="T293" s="885"/>
      <c r="U293" s="888"/>
      <c r="V293" s="885"/>
      <c r="W293" s="885"/>
    </row>
    <row r="294" spans="1:23" s="356" customFormat="1" ht="16.5" customHeight="1">
      <c r="A294" s="883"/>
      <c r="B294" s="891"/>
      <c r="C294" s="881"/>
      <c r="D294" s="917"/>
      <c r="E294" s="883"/>
      <c r="F294" s="903"/>
      <c r="G294" s="891"/>
      <c r="H294" s="355">
        <v>0</v>
      </c>
      <c r="I294" s="355">
        <v>0</v>
      </c>
      <c r="J294" s="888"/>
      <c r="K294" s="888"/>
      <c r="L294" s="885"/>
      <c r="M294" s="885"/>
      <c r="N294" s="888"/>
      <c r="O294" s="888"/>
      <c r="P294" s="885"/>
      <c r="Q294" s="885"/>
      <c r="R294" s="888"/>
      <c r="S294" s="885"/>
      <c r="T294" s="885"/>
      <c r="U294" s="888"/>
      <c r="V294" s="885"/>
      <c r="W294" s="885"/>
    </row>
    <row r="295" spans="1:23" s="356" customFormat="1" ht="16.5" customHeight="1">
      <c r="A295" s="883"/>
      <c r="B295" s="891"/>
      <c r="C295" s="881"/>
      <c r="D295" s="917"/>
      <c r="E295" s="883"/>
      <c r="F295" s="903"/>
      <c r="G295" s="891"/>
      <c r="H295" s="355">
        <v>0</v>
      </c>
      <c r="I295" s="355">
        <v>0</v>
      </c>
      <c r="J295" s="888"/>
      <c r="K295" s="888"/>
      <c r="L295" s="885"/>
      <c r="M295" s="885"/>
      <c r="N295" s="888"/>
      <c r="O295" s="888"/>
      <c r="P295" s="885"/>
      <c r="Q295" s="885"/>
      <c r="R295" s="888"/>
      <c r="S295" s="885"/>
      <c r="T295" s="885"/>
      <c r="U295" s="888"/>
      <c r="V295" s="885"/>
      <c r="W295" s="885"/>
    </row>
    <row r="296" spans="1:23" s="356" customFormat="1" ht="16.5" customHeight="1">
      <c r="A296" s="883"/>
      <c r="B296" s="892"/>
      <c r="C296" s="881"/>
      <c r="D296" s="918"/>
      <c r="E296" s="883"/>
      <c r="F296" s="904"/>
      <c r="G296" s="892"/>
      <c r="H296" s="355">
        <v>0</v>
      </c>
      <c r="I296" s="355">
        <v>0</v>
      </c>
      <c r="J296" s="889"/>
      <c r="K296" s="889"/>
      <c r="L296" s="886"/>
      <c r="M296" s="886"/>
      <c r="N296" s="889"/>
      <c r="O296" s="889"/>
      <c r="P296" s="886"/>
      <c r="Q296" s="886"/>
      <c r="R296" s="889"/>
      <c r="S296" s="886"/>
      <c r="T296" s="886"/>
      <c r="U296" s="889"/>
      <c r="V296" s="886"/>
      <c r="W296" s="886"/>
    </row>
    <row r="297" spans="1:23" s="356" customFormat="1" ht="15" customHeight="1">
      <c r="A297" s="883">
        <v>57</v>
      </c>
      <c r="B297" s="890" t="s">
        <v>814</v>
      </c>
      <c r="C297" s="881" t="s">
        <v>806</v>
      </c>
      <c r="D297" s="916" t="s">
        <v>815</v>
      </c>
      <c r="E297" s="883" t="s">
        <v>686</v>
      </c>
      <c r="F297" s="902" t="s">
        <v>816</v>
      </c>
      <c r="G297" s="890" t="s">
        <v>688</v>
      </c>
      <c r="H297" s="355">
        <f>H298+H299+H300+H301</f>
        <v>19999350</v>
      </c>
      <c r="I297" s="355">
        <f>I298+I299+I300+I301</f>
        <v>12796824</v>
      </c>
      <c r="J297" s="887">
        <f>K297+N297</f>
        <v>2248700</v>
      </c>
      <c r="K297" s="887">
        <f>L297+M297</f>
        <v>1911395</v>
      </c>
      <c r="L297" s="884">
        <v>1911395</v>
      </c>
      <c r="M297" s="884">
        <v>0</v>
      </c>
      <c r="N297" s="887">
        <f>O297+R297+U297</f>
        <v>337305</v>
      </c>
      <c r="O297" s="887">
        <f>P297+Q297</f>
        <v>337305</v>
      </c>
      <c r="P297" s="884">
        <v>337305</v>
      </c>
      <c r="Q297" s="884">
        <v>0</v>
      </c>
      <c r="R297" s="887">
        <f>S297+T297</f>
        <v>0</v>
      </c>
      <c r="S297" s="884">
        <v>0</v>
      </c>
      <c r="T297" s="884">
        <v>0</v>
      </c>
      <c r="U297" s="887">
        <f>V297+W297</f>
        <v>0</v>
      </c>
      <c r="V297" s="884">
        <v>0</v>
      </c>
      <c r="W297" s="884">
        <v>0</v>
      </c>
    </row>
    <row r="298" spans="1:23" s="356" customFormat="1" ht="15" customHeight="1">
      <c r="A298" s="883"/>
      <c r="B298" s="891"/>
      <c r="C298" s="881"/>
      <c r="D298" s="917"/>
      <c r="E298" s="883"/>
      <c r="F298" s="903"/>
      <c r="G298" s="891"/>
      <c r="H298" s="355">
        <v>16999447</v>
      </c>
      <c r="I298" s="355">
        <v>10877300</v>
      </c>
      <c r="J298" s="888"/>
      <c r="K298" s="888"/>
      <c r="L298" s="885"/>
      <c r="M298" s="885"/>
      <c r="N298" s="888"/>
      <c r="O298" s="888"/>
      <c r="P298" s="885"/>
      <c r="Q298" s="885"/>
      <c r="R298" s="888"/>
      <c r="S298" s="885"/>
      <c r="T298" s="885"/>
      <c r="U298" s="888"/>
      <c r="V298" s="885"/>
      <c r="W298" s="885"/>
    </row>
    <row r="299" spans="1:23" s="356" customFormat="1" ht="15" customHeight="1">
      <c r="A299" s="883"/>
      <c r="B299" s="891"/>
      <c r="C299" s="881"/>
      <c r="D299" s="917"/>
      <c r="E299" s="883"/>
      <c r="F299" s="903"/>
      <c r="G299" s="891"/>
      <c r="H299" s="355">
        <v>2999903</v>
      </c>
      <c r="I299" s="355">
        <v>1919524</v>
      </c>
      <c r="J299" s="888"/>
      <c r="K299" s="888"/>
      <c r="L299" s="885"/>
      <c r="M299" s="885"/>
      <c r="N299" s="888"/>
      <c r="O299" s="888"/>
      <c r="P299" s="885"/>
      <c r="Q299" s="885"/>
      <c r="R299" s="888"/>
      <c r="S299" s="885"/>
      <c r="T299" s="885"/>
      <c r="U299" s="888"/>
      <c r="V299" s="885"/>
      <c r="W299" s="885"/>
    </row>
    <row r="300" spans="1:23" s="356" customFormat="1" ht="15" customHeight="1">
      <c r="A300" s="883"/>
      <c r="B300" s="891"/>
      <c r="C300" s="881"/>
      <c r="D300" s="917"/>
      <c r="E300" s="883"/>
      <c r="F300" s="903"/>
      <c r="G300" s="891"/>
      <c r="H300" s="355">
        <v>0</v>
      </c>
      <c r="I300" s="355">
        <v>0</v>
      </c>
      <c r="J300" s="888"/>
      <c r="K300" s="888"/>
      <c r="L300" s="885"/>
      <c r="M300" s="885"/>
      <c r="N300" s="888"/>
      <c r="O300" s="888"/>
      <c r="P300" s="885"/>
      <c r="Q300" s="885"/>
      <c r="R300" s="888"/>
      <c r="S300" s="885"/>
      <c r="T300" s="885"/>
      <c r="U300" s="888"/>
      <c r="V300" s="885"/>
      <c r="W300" s="885"/>
    </row>
    <row r="301" spans="1:23" s="356" customFormat="1" ht="15" customHeight="1">
      <c r="A301" s="883"/>
      <c r="B301" s="892"/>
      <c r="C301" s="881"/>
      <c r="D301" s="918"/>
      <c r="E301" s="883"/>
      <c r="F301" s="904"/>
      <c r="G301" s="892"/>
      <c r="H301" s="355">
        <v>0</v>
      </c>
      <c r="I301" s="355">
        <v>0</v>
      </c>
      <c r="J301" s="889"/>
      <c r="K301" s="889"/>
      <c r="L301" s="886"/>
      <c r="M301" s="886"/>
      <c r="N301" s="889"/>
      <c r="O301" s="889"/>
      <c r="P301" s="886"/>
      <c r="Q301" s="886"/>
      <c r="R301" s="889"/>
      <c r="S301" s="886"/>
      <c r="T301" s="886"/>
      <c r="U301" s="889"/>
      <c r="V301" s="886"/>
      <c r="W301" s="886"/>
    </row>
    <row r="302" spans="1:23" s="356" customFormat="1" ht="15" customHeight="1">
      <c r="A302" s="883">
        <v>58</v>
      </c>
      <c r="B302" s="890" t="s">
        <v>814</v>
      </c>
      <c r="C302" s="881" t="s">
        <v>806</v>
      </c>
      <c r="D302" s="916" t="s">
        <v>817</v>
      </c>
      <c r="E302" s="883" t="s">
        <v>686</v>
      </c>
      <c r="F302" s="902" t="s">
        <v>816</v>
      </c>
      <c r="G302" s="890" t="s">
        <v>725</v>
      </c>
      <c r="H302" s="355">
        <f>H303+H304+H305+H306</f>
        <v>5081851</v>
      </c>
      <c r="I302" s="355">
        <f>I303+I304+I305+I306</f>
        <v>1240357</v>
      </c>
      <c r="J302" s="887">
        <f>K302+N302</f>
        <v>2081500</v>
      </c>
      <c r="K302" s="887">
        <f>L302+M302</f>
        <v>1769276</v>
      </c>
      <c r="L302" s="884">
        <v>1769276</v>
      </c>
      <c r="M302" s="884">
        <v>0</v>
      </c>
      <c r="N302" s="887">
        <f>O302+R302+U302</f>
        <v>312224</v>
      </c>
      <c r="O302" s="887">
        <f>P302+Q302</f>
        <v>312224</v>
      </c>
      <c r="P302" s="884">
        <v>312224</v>
      </c>
      <c r="Q302" s="884">
        <v>0</v>
      </c>
      <c r="R302" s="887">
        <f>S302+T302</f>
        <v>0</v>
      </c>
      <c r="S302" s="884">
        <v>0</v>
      </c>
      <c r="T302" s="884">
        <v>0</v>
      </c>
      <c r="U302" s="887">
        <f>V302+W302</f>
        <v>0</v>
      </c>
      <c r="V302" s="884">
        <v>0</v>
      </c>
      <c r="W302" s="884">
        <v>0</v>
      </c>
    </row>
    <row r="303" spans="1:23" s="356" customFormat="1" ht="15" customHeight="1">
      <c r="A303" s="883"/>
      <c r="B303" s="891"/>
      <c r="C303" s="881"/>
      <c r="D303" s="917"/>
      <c r="E303" s="883"/>
      <c r="F303" s="903"/>
      <c r="G303" s="891"/>
      <c r="H303" s="355">
        <v>4319573</v>
      </c>
      <c r="I303" s="355">
        <v>1054303</v>
      </c>
      <c r="J303" s="888"/>
      <c r="K303" s="888"/>
      <c r="L303" s="885"/>
      <c r="M303" s="885"/>
      <c r="N303" s="888"/>
      <c r="O303" s="888"/>
      <c r="P303" s="885"/>
      <c r="Q303" s="885"/>
      <c r="R303" s="888"/>
      <c r="S303" s="885"/>
      <c r="T303" s="885"/>
      <c r="U303" s="888"/>
      <c r="V303" s="885"/>
      <c r="W303" s="885"/>
    </row>
    <row r="304" spans="1:23" s="356" customFormat="1" ht="15" customHeight="1">
      <c r="A304" s="883"/>
      <c r="B304" s="891"/>
      <c r="C304" s="881"/>
      <c r="D304" s="917"/>
      <c r="E304" s="883"/>
      <c r="F304" s="903"/>
      <c r="G304" s="891"/>
      <c r="H304" s="355">
        <v>762278</v>
      </c>
      <c r="I304" s="355">
        <v>186054</v>
      </c>
      <c r="J304" s="888"/>
      <c r="K304" s="888"/>
      <c r="L304" s="885"/>
      <c r="M304" s="885"/>
      <c r="N304" s="888"/>
      <c r="O304" s="888"/>
      <c r="P304" s="885"/>
      <c r="Q304" s="885"/>
      <c r="R304" s="888"/>
      <c r="S304" s="885"/>
      <c r="T304" s="885"/>
      <c r="U304" s="888"/>
      <c r="V304" s="885"/>
      <c r="W304" s="885"/>
    </row>
    <row r="305" spans="1:23" s="356" customFormat="1" ht="15" customHeight="1">
      <c r="A305" s="883"/>
      <c r="B305" s="891"/>
      <c r="C305" s="881"/>
      <c r="D305" s="917"/>
      <c r="E305" s="883"/>
      <c r="F305" s="903"/>
      <c r="G305" s="891"/>
      <c r="H305" s="355">
        <v>0</v>
      </c>
      <c r="I305" s="355">
        <v>0</v>
      </c>
      <c r="J305" s="888"/>
      <c r="K305" s="888"/>
      <c r="L305" s="885"/>
      <c r="M305" s="885"/>
      <c r="N305" s="888"/>
      <c r="O305" s="888"/>
      <c r="P305" s="885"/>
      <c r="Q305" s="885"/>
      <c r="R305" s="888"/>
      <c r="S305" s="885"/>
      <c r="T305" s="885"/>
      <c r="U305" s="888"/>
      <c r="V305" s="885"/>
      <c r="W305" s="885"/>
    </row>
    <row r="306" spans="1:23" s="356" customFormat="1" ht="15" customHeight="1">
      <c r="A306" s="883"/>
      <c r="B306" s="892"/>
      <c r="C306" s="881"/>
      <c r="D306" s="918"/>
      <c r="E306" s="883"/>
      <c r="F306" s="904"/>
      <c r="G306" s="892"/>
      <c r="H306" s="355">
        <v>0</v>
      </c>
      <c r="I306" s="355">
        <v>0</v>
      </c>
      <c r="J306" s="889"/>
      <c r="K306" s="889"/>
      <c r="L306" s="886"/>
      <c r="M306" s="886"/>
      <c r="N306" s="889"/>
      <c r="O306" s="889"/>
      <c r="P306" s="886"/>
      <c r="Q306" s="886"/>
      <c r="R306" s="889"/>
      <c r="S306" s="886"/>
      <c r="T306" s="886"/>
      <c r="U306" s="889"/>
      <c r="V306" s="886"/>
      <c r="W306" s="886"/>
    </row>
    <row r="307" spans="1:23" s="356" customFormat="1" ht="15" customHeight="1">
      <c r="A307" s="883">
        <v>59</v>
      </c>
      <c r="B307" s="890" t="s">
        <v>818</v>
      </c>
      <c r="C307" s="881" t="s">
        <v>819</v>
      </c>
      <c r="D307" s="916" t="s">
        <v>820</v>
      </c>
      <c r="E307" s="883" t="s">
        <v>686</v>
      </c>
      <c r="F307" s="902" t="s">
        <v>816</v>
      </c>
      <c r="G307" s="890" t="s">
        <v>804</v>
      </c>
      <c r="H307" s="355">
        <f>H308+H309+H310+H311</f>
        <v>7483300</v>
      </c>
      <c r="I307" s="355">
        <f>I308+I309+I310+I311</f>
        <v>1537250</v>
      </c>
      <c r="J307" s="887">
        <f>K307+N307</f>
        <v>1537250</v>
      </c>
      <c r="K307" s="887">
        <f>L307+M307</f>
        <v>1306662</v>
      </c>
      <c r="L307" s="884">
        <v>1306662</v>
      </c>
      <c r="M307" s="884">
        <v>0</v>
      </c>
      <c r="N307" s="887">
        <f>O307+R307+U307</f>
        <v>230588</v>
      </c>
      <c r="O307" s="887">
        <f>P307+Q307</f>
        <v>230588</v>
      </c>
      <c r="P307" s="884">
        <v>230588</v>
      </c>
      <c r="Q307" s="884">
        <v>0</v>
      </c>
      <c r="R307" s="887">
        <f>S307+T307</f>
        <v>0</v>
      </c>
      <c r="S307" s="884">
        <v>0</v>
      </c>
      <c r="T307" s="884">
        <v>0</v>
      </c>
      <c r="U307" s="887">
        <f>V307+W307</f>
        <v>0</v>
      </c>
      <c r="V307" s="884">
        <v>0</v>
      </c>
      <c r="W307" s="884">
        <v>0</v>
      </c>
    </row>
    <row r="308" spans="1:23" s="356" customFormat="1" ht="15" customHeight="1">
      <c r="A308" s="883"/>
      <c r="B308" s="891"/>
      <c r="C308" s="881"/>
      <c r="D308" s="917"/>
      <c r="E308" s="883"/>
      <c r="F308" s="903"/>
      <c r="G308" s="891"/>
      <c r="H308" s="355">
        <v>6360805</v>
      </c>
      <c r="I308" s="355">
        <v>1306662</v>
      </c>
      <c r="J308" s="888"/>
      <c r="K308" s="888"/>
      <c r="L308" s="885"/>
      <c r="M308" s="885"/>
      <c r="N308" s="888"/>
      <c r="O308" s="888"/>
      <c r="P308" s="885"/>
      <c r="Q308" s="885"/>
      <c r="R308" s="888"/>
      <c r="S308" s="885"/>
      <c r="T308" s="885"/>
      <c r="U308" s="888"/>
      <c r="V308" s="885"/>
      <c r="W308" s="885"/>
    </row>
    <row r="309" spans="1:23" s="356" customFormat="1" ht="15" customHeight="1">
      <c r="A309" s="883"/>
      <c r="B309" s="891"/>
      <c r="C309" s="881"/>
      <c r="D309" s="917"/>
      <c r="E309" s="883"/>
      <c r="F309" s="903"/>
      <c r="G309" s="891"/>
      <c r="H309" s="355">
        <v>1122495</v>
      </c>
      <c r="I309" s="355">
        <v>230588</v>
      </c>
      <c r="J309" s="888"/>
      <c r="K309" s="888"/>
      <c r="L309" s="885"/>
      <c r="M309" s="885"/>
      <c r="N309" s="888"/>
      <c r="O309" s="888"/>
      <c r="P309" s="885"/>
      <c r="Q309" s="885"/>
      <c r="R309" s="888"/>
      <c r="S309" s="885"/>
      <c r="T309" s="885"/>
      <c r="U309" s="888"/>
      <c r="V309" s="885"/>
      <c r="W309" s="885"/>
    </row>
    <row r="310" spans="1:23" s="356" customFormat="1" ht="15" customHeight="1">
      <c r="A310" s="883"/>
      <c r="B310" s="891"/>
      <c r="C310" s="881"/>
      <c r="D310" s="917"/>
      <c r="E310" s="883"/>
      <c r="F310" s="903"/>
      <c r="G310" s="891"/>
      <c r="H310" s="355">
        <v>0</v>
      </c>
      <c r="I310" s="355">
        <v>0</v>
      </c>
      <c r="J310" s="888"/>
      <c r="K310" s="888"/>
      <c r="L310" s="885"/>
      <c r="M310" s="885"/>
      <c r="N310" s="888"/>
      <c r="O310" s="888"/>
      <c r="P310" s="885"/>
      <c r="Q310" s="885"/>
      <c r="R310" s="888"/>
      <c r="S310" s="885"/>
      <c r="T310" s="885"/>
      <c r="U310" s="888"/>
      <c r="V310" s="885"/>
      <c r="W310" s="885"/>
    </row>
    <row r="311" spans="1:23" s="356" customFormat="1" ht="15" customHeight="1">
      <c r="A311" s="883"/>
      <c r="B311" s="892"/>
      <c r="C311" s="881"/>
      <c r="D311" s="918"/>
      <c r="E311" s="883"/>
      <c r="F311" s="904"/>
      <c r="G311" s="892"/>
      <c r="H311" s="355">
        <v>0</v>
      </c>
      <c r="I311" s="355">
        <v>0</v>
      </c>
      <c r="J311" s="889"/>
      <c r="K311" s="889"/>
      <c r="L311" s="886"/>
      <c r="M311" s="886"/>
      <c r="N311" s="889"/>
      <c r="O311" s="889"/>
      <c r="P311" s="886"/>
      <c r="Q311" s="886"/>
      <c r="R311" s="889"/>
      <c r="S311" s="886"/>
      <c r="T311" s="886"/>
      <c r="U311" s="889"/>
      <c r="V311" s="886"/>
      <c r="W311" s="886"/>
    </row>
    <row r="312" spans="1:23" s="356" customFormat="1" ht="15" customHeight="1">
      <c r="A312" s="883">
        <v>60</v>
      </c>
      <c r="B312" s="890" t="s">
        <v>821</v>
      </c>
      <c r="C312" s="881" t="s">
        <v>822</v>
      </c>
      <c r="D312" s="916" t="s">
        <v>823</v>
      </c>
      <c r="E312" s="883" t="s">
        <v>686</v>
      </c>
      <c r="F312" s="902" t="s">
        <v>824</v>
      </c>
      <c r="G312" s="890" t="s">
        <v>725</v>
      </c>
      <c r="H312" s="355">
        <f>H313+H314+H315+H316</f>
        <v>26644347</v>
      </c>
      <c r="I312" s="355">
        <f>I313+I314+I315+I316</f>
        <v>6909026</v>
      </c>
      <c r="J312" s="887">
        <f>K312+N312</f>
        <v>8617212</v>
      </c>
      <c r="K312" s="887">
        <f>L312+M312</f>
        <v>8005591</v>
      </c>
      <c r="L312" s="884">
        <v>8005591</v>
      </c>
      <c r="M312" s="884">
        <v>0</v>
      </c>
      <c r="N312" s="887">
        <f>O312+R312+U312</f>
        <v>611621</v>
      </c>
      <c r="O312" s="887">
        <f>P312+Q312</f>
        <v>474031</v>
      </c>
      <c r="P312" s="884">
        <v>474031</v>
      </c>
      <c r="Q312" s="884">
        <v>0</v>
      </c>
      <c r="R312" s="887">
        <f>S312+T312</f>
        <v>137590</v>
      </c>
      <c r="S312" s="884">
        <v>137590</v>
      </c>
      <c r="T312" s="884">
        <v>0</v>
      </c>
      <c r="U312" s="887">
        <f>V312+W312</f>
        <v>0</v>
      </c>
      <c r="V312" s="884">
        <v>0</v>
      </c>
      <c r="W312" s="884">
        <v>0</v>
      </c>
    </row>
    <row r="313" spans="1:23" s="356" customFormat="1" ht="15" customHeight="1">
      <c r="A313" s="883"/>
      <c r="B313" s="891"/>
      <c r="C313" s="881"/>
      <c r="D313" s="917"/>
      <c r="E313" s="883"/>
      <c r="F313" s="903"/>
      <c r="G313" s="891"/>
      <c r="H313" s="355">
        <v>24793944</v>
      </c>
      <c r="I313" s="355">
        <v>6352202</v>
      </c>
      <c r="J313" s="888"/>
      <c r="K313" s="888"/>
      <c r="L313" s="885"/>
      <c r="M313" s="885"/>
      <c r="N313" s="888"/>
      <c r="O313" s="888"/>
      <c r="P313" s="885"/>
      <c r="Q313" s="885"/>
      <c r="R313" s="888"/>
      <c r="S313" s="885"/>
      <c r="T313" s="885"/>
      <c r="U313" s="888"/>
      <c r="V313" s="885"/>
      <c r="W313" s="885"/>
    </row>
    <row r="314" spans="1:23" s="356" customFormat="1" ht="15" customHeight="1">
      <c r="A314" s="883"/>
      <c r="B314" s="891"/>
      <c r="C314" s="881"/>
      <c r="D314" s="917"/>
      <c r="E314" s="883"/>
      <c r="F314" s="903"/>
      <c r="G314" s="891"/>
      <c r="H314" s="355">
        <v>1458468</v>
      </c>
      <c r="I314" s="355">
        <v>373659</v>
      </c>
      <c r="J314" s="888"/>
      <c r="K314" s="888"/>
      <c r="L314" s="885"/>
      <c r="M314" s="885"/>
      <c r="N314" s="888"/>
      <c r="O314" s="888"/>
      <c r="P314" s="885"/>
      <c r="Q314" s="885"/>
      <c r="R314" s="888"/>
      <c r="S314" s="885"/>
      <c r="T314" s="885"/>
      <c r="U314" s="888"/>
      <c r="V314" s="885"/>
      <c r="W314" s="885"/>
    </row>
    <row r="315" spans="1:23" s="356" customFormat="1" ht="15" customHeight="1">
      <c r="A315" s="883"/>
      <c r="B315" s="891"/>
      <c r="C315" s="881"/>
      <c r="D315" s="917"/>
      <c r="E315" s="883"/>
      <c r="F315" s="903"/>
      <c r="G315" s="891"/>
      <c r="H315" s="355">
        <v>391935</v>
      </c>
      <c r="I315" s="355">
        <v>183165</v>
      </c>
      <c r="J315" s="888"/>
      <c r="K315" s="888"/>
      <c r="L315" s="885"/>
      <c r="M315" s="885"/>
      <c r="N315" s="888"/>
      <c r="O315" s="888"/>
      <c r="P315" s="885"/>
      <c r="Q315" s="885"/>
      <c r="R315" s="888"/>
      <c r="S315" s="885"/>
      <c r="T315" s="885"/>
      <c r="U315" s="888"/>
      <c r="V315" s="885"/>
      <c r="W315" s="885"/>
    </row>
    <row r="316" spans="1:23" s="356" customFormat="1" ht="15" customHeight="1">
      <c r="A316" s="883"/>
      <c r="B316" s="892"/>
      <c r="C316" s="881"/>
      <c r="D316" s="918"/>
      <c r="E316" s="883"/>
      <c r="F316" s="904"/>
      <c r="G316" s="892"/>
      <c r="H316" s="355">
        <v>0</v>
      </c>
      <c r="I316" s="355">
        <v>0</v>
      </c>
      <c r="J316" s="889"/>
      <c r="K316" s="889"/>
      <c r="L316" s="886"/>
      <c r="M316" s="886"/>
      <c r="N316" s="889"/>
      <c r="O316" s="889"/>
      <c r="P316" s="886"/>
      <c r="Q316" s="886"/>
      <c r="R316" s="889"/>
      <c r="S316" s="886"/>
      <c r="T316" s="886"/>
      <c r="U316" s="889"/>
      <c r="V316" s="886"/>
      <c r="W316" s="886"/>
    </row>
    <row r="317" spans="1:23" s="358" customFormat="1" ht="17.25" customHeight="1">
      <c r="A317" s="877" t="s">
        <v>825</v>
      </c>
      <c r="B317" s="877"/>
      <c r="C317" s="877"/>
      <c r="D317" s="877"/>
      <c r="E317" s="877"/>
      <c r="F317" s="877"/>
      <c r="G317" s="877"/>
      <c r="H317" s="357">
        <f aca="true" t="shared" si="0" ref="H317:I321">H17+H22+H27+H32+H37+H42+H47+H52+H62+H67+H72+H77+H82+H87+H92+H97+H107+H112+H117+H122+H127+H132+H137+H142+H147+H157+H152+H162+H167+H172+H177+H182+H187+H192+H197+H202+H207+H212+H217+H222+H227+H232+H237+H247+H257+H262+H267+H272+H242+H277+H282+H287+H292+H297+H302+H307+H312+H57+H102+H252</f>
        <v>1190224981</v>
      </c>
      <c r="I317" s="357">
        <f t="shared" si="0"/>
        <v>362965307</v>
      </c>
      <c r="J317" s="914">
        <f aca="true" t="shared" si="1" ref="J317:W317">SUM(J17:J316)</f>
        <v>344661852</v>
      </c>
      <c r="K317" s="914">
        <f t="shared" si="1"/>
        <v>277935637</v>
      </c>
      <c r="L317" s="914">
        <f t="shared" si="1"/>
        <v>57046395</v>
      </c>
      <c r="M317" s="914">
        <f t="shared" si="1"/>
        <v>220889242</v>
      </c>
      <c r="N317" s="914">
        <f t="shared" si="1"/>
        <v>66726215</v>
      </c>
      <c r="O317" s="914">
        <f t="shared" si="1"/>
        <v>3707417</v>
      </c>
      <c r="P317" s="914">
        <f t="shared" si="1"/>
        <v>2973171</v>
      </c>
      <c r="Q317" s="914">
        <f t="shared" si="1"/>
        <v>734246</v>
      </c>
      <c r="R317" s="914">
        <f t="shared" si="1"/>
        <v>45746968</v>
      </c>
      <c r="S317" s="914">
        <f t="shared" si="1"/>
        <v>3626121</v>
      </c>
      <c r="T317" s="914">
        <f t="shared" si="1"/>
        <v>42120847</v>
      </c>
      <c r="U317" s="914">
        <f t="shared" si="1"/>
        <v>17271830</v>
      </c>
      <c r="V317" s="914">
        <f t="shared" si="1"/>
        <v>606195</v>
      </c>
      <c r="W317" s="914">
        <f t="shared" si="1"/>
        <v>16665635</v>
      </c>
    </row>
    <row r="318" spans="1:23" s="358" customFormat="1" ht="17.25" customHeight="1">
      <c r="A318" s="877"/>
      <c r="B318" s="877"/>
      <c r="C318" s="877"/>
      <c r="D318" s="877"/>
      <c r="E318" s="877"/>
      <c r="F318" s="877"/>
      <c r="G318" s="877"/>
      <c r="H318" s="357">
        <f t="shared" si="0"/>
        <v>991680154</v>
      </c>
      <c r="I318" s="357">
        <f t="shared" si="0"/>
        <v>285393618</v>
      </c>
      <c r="J318" s="914"/>
      <c r="K318" s="914"/>
      <c r="L318" s="914"/>
      <c r="M318" s="914"/>
      <c r="N318" s="914"/>
      <c r="O318" s="914"/>
      <c r="P318" s="914"/>
      <c r="Q318" s="914"/>
      <c r="R318" s="914"/>
      <c r="S318" s="914"/>
      <c r="T318" s="914"/>
      <c r="U318" s="914"/>
      <c r="V318" s="914"/>
      <c r="W318" s="914"/>
    </row>
    <row r="319" spans="1:23" s="358" customFormat="1" ht="17.25" customHeight="1">
      <c r="A319" s="877"/>
      <c r="B319" s="877"/>
      <c r="C319" s="877"/>
      <c r="D319" s="877"/>
      <c r="E319" s="877"/>
      <c r="F319" s="877"/>
      <c r="G319" s="877"/>
      <c r="H319" s="357">
        <f t="shared" si="0"/>
        <v>12567982</v>
      </c>
      <c r="I319" s="357">
        <f t="shared" si="0"/>
        <v>5996506</v>
      </c>
      <c r="J319" s="914"/>
      <c r="K319" s="914"/>
      <c r="L319" s="914"/>
      <c r="M319" s="914"/>
      <c r="N319" s="914"/>
      <c r="O319" s="914"/>
      <c r="P319" s="914"/>
      <c r="Q319" s="914"/>
      <c r="R319" s="914"/>
      <c r="S319" s="914"/>
      <c r="T319" s="914"/>
      <c r="U319" s="914"/>
      <c r="V319" s="914"/>
      <c r="W319" s="914"/>
    </row>
    <row r="320" spans="1:23" s="358" customFormat="1" ht="17.25" customHeight="1">
      <c r="A320" s="877"/>
      <c r="B320" s="877"/>
      <c r="C320" s="877"/>
      <c r="D320" s="877"/>
      <c r="E320" s="877"/>
      <c r="F320" s="877"/>
      <c r="G320" s="877"/>
      <c r="H320" s="357">
        <f t="shared" si="0"/>
        <v>163760148</v>
      </c>
      <c r="I320" s="357">
        <f t="shared" si="0"/>
        <v>68041886</v>
      </c>
      <c r="J320" s="914"/>
      <c r="K320" s="914"/>
      <c r="L320" s="914"/>
      <c r="M320" s="914"/>
      <c r="N320" s="914"/>
      <c r="O320" s="914"/>
      <c r="P320" s="914"/>
      <c r="Q320" s="914"/>
      <c r="R320" s="914"/>
      <c r="S320" s="914"/>
      <c r="T320" s="914"/>
      <c r="U320" s="914"/>
      <c r="V320" s="914"/>
      <c r="W320" s="914"/>
    </row>
    <row r="321" spans="1:23" s="358" customFormat="1" ht="17.25" customHeight="1">
      <c r="A321" s="877"/>
      <c r="B321" s="877"/>
      <c r="C321" s="877"/>
      <c r="D321" s="877"/>
      <c r="E321" s="877"/>
      <c r="F321" s="877"/>
      <c r="G321" s="877"/>
      <c r="H321" s="357">
        <f t="shared" si="0"/>
        <v>22216697</v>
      </c>
      <c r="I321" s="357">
        <f t="shared" si="0"/>
        <v>3533297</v>
      </c>
      <c r="J321" s="914"/>
      <c r="K321" s="914"/>
      <c r="L321" s="914"/>
      <c r="M321" s="914"/>
      <c r="N321" s="914"/>
      <c r="O321" s="914"/>
      <c r="P321" s="914"/>
      <c r="Q321" s="914"/>
      <c r="R321" s="914"/>
      <c r="S321" s="914"/>
      <c r="T321" s="914"/>
      <c r="U321" s="914"/>
      <c r="V321" s="914"/>
      <c r="W321" s="914"/>
    </row>
    <row r="322" spans="1:23" ht="5.25" customHeight="1">
      <c r="A322" s="359"/>
      <c r="B322" s="360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1"/>
    </row>
    <row r="323" spans="1:24" s="352" customFormat="1" ht="24" customHeight="1">
      <c r="A323" s="910" t="s">
        <v>826</v>
      </c>
      <c r="B323" s="911"/>
      <c r="C323" s="911"/>
      <c r="D323" s="911"/>
      <c r="E323" s="911"/>
      <c r="F323" s="911"/>
      <c r="G323" s="911"/>
      <c r="H323" s="911"/>
      <c r="I323" s="911"/>
      <c r="J323" s="911"/>
      <c r="K323" s="911"/>
      <c r="L323" s="911"/>
      <c r="M323" s="911"/>
      <c r="N323" s="911"/>
      <c r="O323" s="911"/>
      <c r="P323" s="911"/>
      <c r="Q323" s="911"/>
      <c r="R323" s="911"/>
      <c r="S323" s="911"/>
      <c r="T323" s="911"/>
      <c r="U323" s="911"/>
      <c r="V323" s="911"/>
      <c r="W323" s="912"/>
      <c r="X323" s="353"/>
    </row>
    <row r="324" spans="1:23" ht="4.5" customHeight="1">
      <c r="A324" s="915"/>
      <c r="B324" s="915"/>
      <c r="C324" s="915"/>
      <c r="D324" s="915"/>
      <c r="E324" s="915"/>
      <c r="F324" s="915"/>
      <c r="G324" s="915"/>
      <c r="H324" s="915"/>
      <c r="I324" s="915"/>
      <c r="J324" s="915"/>
      <c r="K324" s="915"/>
      <c r="L324" s="915"/>
      <c r="M324" s="915"/>
      <c r="N324" s="915"/>
      <c r="O324" s="915"/>
      <c r="P324" s="915"/>
      <c r="Q324" s="915"/>
      <c r="R324" s="915"/>
      <c r="S324" s="915"/>
      <c r="T324" s="915"/>
      <c r="U324" s="915"/>
      <c r="V324" s="915"/>
      <c r="W324" s="915"/>
    </row>
    <row r="325" spans="1:23" ht="15.75" customHeight="1">
      <c r="A325" s="879">
        <v>1</v>
      </c>
      <c r="B325" s="880" t="s">
        <v>827</v>
      </c>
      <c r="C325" s="879" t="s">
        <v>828</v>
      </c>
      <c r="D325" s="882" t="s">
        <v>829</v>
      </c>
      <c r="E325" s="883" t="s">
        <v>686</v>
      </c>
      <c r="F325" s="883" t="s">
        <v>830</v>
      </c>
      <c r="G325" s="883" t="s">
        <v>691</v>
      </c>
      <c r="H325" s="355">
        <f>H326+H328+H327+H329</f>
        <v>107734742</v>
      </c>
      <c r="I325" s="355">
        <f>I326+I328+I327+I329</f>
        <v>69705540</v>
      </c>
      <c r="J325" s="878">
        <f>K325+N325</f>
        <v>38029202</v>
      </c>
      <c r="K325" s="878">
        <f>L325+M325</f>
        <v>32324822</v>
      </c>
      <c r="L325" s="876">
        <v>32290822</v>
      </c>
      <c r="M325" s="876">
        <v>34000</v>
      </c>
      <c r="N325" s="878">
        <f>O325+R325+U325</f>
        <v>5704380</v>
      </c>
      <c r="O325" s="878">
        <f>P325+Q325</f>
        <v>0</v>
      </c>
      <c r="P325" s="876">
        <v>0</v>
      </c>
      <c r="Q325" s="876">
        <v>0</v>
      </c>
      <c r="R325" s="878">
        <f>S325+T325</f>
        <v>5704380</v>
      </c>
      <c r="S325" s="876">
        <v>5698380</v>
      </c>
      <c r="T325" s="876">
        <v>6000</v>
      </c>
      <c r="U325" s="878">
        <f>V325+W325</f>
        <v>0</v>
      </c>
      <c r="V325" s="876">
        <v>0</v>
      </c>
      <c r="W325" s="876">
        <v>0</v>
      </c>
    </row>
    <row r="326" spans="1:23" ht="15.75" customHeight="1">
      <c r="A326" s="879"/>
      <c r="B326" s="880"/>
      <c r="C326" s="879"/>
      <c r="D326" s="882"/>
      <c r="E326" s="883"/>
      <c r="F326" s="883"/>
      <c r="G326" s="883"/>
      <c r="H326" s="355">
        <v>91574531</v>
      </c>
      <c r="I326" s="355">
        <v>59249709</v>
      </c>
      <c r="J326" s="878"/>
      <c r="K326" s="878"/>
      <c r="L326" s="876"/>
      <c r="M326" s="876"/>
      <c r="N326" s="878"/>
      <c r="O326" s="878"/>
      <c r="P326" s="876"/>
      <c r="Q326" s="876"/>
      <c r="R326" s="878"/>
      <c r="S326" s="876"/>
      <c r="T326" s="876"/>
      <c r="U326" s="878"/>
      <c r="V326" s="876"/>
      <c r="W326" s="876"/>
    </row>
    <row r="327" spans="1:23" ht="15.75" customHeight="1">
      <c r="A327" s="879"/>
      <c r="B327" s="880"/>
      <c r="C327" s="879"/>
      <c r="D327" s="882"/>
      <c r="E327" s="883"/>
      <c r="F327" s="883"/>
      <c r="G327" s="883"/>
      <c r="H327" s="355">
        <v>0</v>
      </c>
      <c r="I327" s="355">
        <v>0</v>
      </c>
      <c r="J327" s="878"/>
      <c r="K327" s="878"/>
      <c r="L327" s="876"/>
      <c r="M327" s="876"/>
      <c r="N327" s="878"/>
      <c r="O327" s="878"/>
      <c r="P327" s="876"/>
      <c r="Q327" s="876"/>
      <c r="R327" s="878"/>
      <c r="S327" s="876"/>
      <c r="T327" s="876"/>
      <c r="U327" s="878"/>
      <c r="V327" s="876"/>
      <c r="W327" s="876"/>
    </row>
    <row r="328" spans="1:23" ht="15.75" customHeight="1">
      <c r="A328" s="879"/>
      <c r="B328" s="880"/>
      <c r="C328" s="879"/>
      <c r="D328" s="882"/>
      <c r="E328" s="883"/>
      <c r="F328" s="883"/>
      <c r="G328" s="883"/>
      <c r="H328" s="355">
        <v>16160211</v>
      </c>
      <c r="I328" s="355">
        <v>10455831</v>
      </c>
      <c r="J328" s="878"/>
      <c r="K328" s="878"/>
      <c r="L328" s="876"/>
      <c r="M328" s="876"/>
      <c r="N328" s="878"/>
      <c r="O328" s="878"/>
      <c r="P328" s="876"/>
      <c r="Q328" s="876"/>
      <c r="R328" s="878"/>
      <c r="S328" s="876"/>
      <c r="T328" s="876"/>
      <c r="U328" s="878"/>
      <c r="V328" s="876"/>
      <c r="W328" s="876"/>
    </row>
    <row r="329" spans="1:23" ht="15.75" customHeight="1">
      <c r="A329" s="879"/>
      <c r="B329" s="880"/>
      <c r="C329" s="879"/>
      <c r="D329" s="882"/>
      <c r="E329" s="883"/>
      <c r="F329" s="883"/>
      <c r="G329" s="883"/>
      <c r="H329" s="355">
        <v>0</v>
      </c>
      <c r="I329" s="355">
        <v>0</v>
      </c>
      <c r="J329" s="878"/>
      <c r="K329" s="878"/>
      <c r="L329" s="876"/>
      <c r="M329" s="876"/>
      <c r="N329" s="878"/>
      <c r="O329" s="878"/>
      <c r="P329" s="876"/>
      <c r="Q329" s="876"/>
      <c r="R329" s="878"/>
      <c r="S329" s="876"/>
      <c r="T329" s="876"/>
      <c r="U329" s="878"/>
      <c r="V329" s="876"/>
      <c r="W329" s="876"/>
    </row>
    <row r="330" spans="1:23" ht="15.75" customHeight="1">
      <c r="A330" s="879">
        <v>2</v>
      </c>
      <c r="B330" s="880" t="s">
        <v>827</v>
      </c>
      <c r="C330" s="879" t="s">
        <v>828</v>
      </c>
      <c r="D330" s="882" t="s">
        <v>829</v>
      </c>
      <c r="E330" s="902" t="s">
        <v>789</v>
      </c>
      <c r="F330" s="902" t="s">
        <v>790</v>
      </c>
      <c r="G330" s="883" t="s">
        <v>691</v>
      </c>
      <c r="H330" s="355">
        <f>H331+H333+H332+H334</f>
        <v>5650992</v>
      </c>
      <c r="I330" s="355">
        <f>I331+I333+I332+I334</f>
        <v>3712488</v>
      </c>
      <c r="J330" s="878">
        <f>K330+N330</f>
        <v>1938504</v>
      </c>
      <c r="K330" s="878">
        <f>L330+M330</f>
        <v>1647728</v>
      </c>
      <c r="L330" s="876">
        <v>1647728</v>
      </c>
      <c r="M330" s="876">
        <v>0</v>
      </c>
      <c r="N330" s="878">
        <f>O330+R330+U330</f>
        <v>290776</v>
      </c>
      <c r="O330" s="878">
        <f>P330+Q330</f>
        <v>0</v>
      </c>
      <c r="P330" s="876">
        <v>0</v>
      </c>
      <c r="Q330" s="876">
        <v>0</v>
      </c>
      <c r="R330" s="878">
        <f>S330+T330</f>
        <v>290776</v>
      </c>
      <c r="S330" s="876">
        <v>290776</v>
      </c>
      <c r="T330" s="876">
        <v>0</v>
      </c>
      <c r="U330" s="878">
        <f>V330+W330</f>
        <v>0</v>
      </c>
      <c r="V330" s="876">
        <v>0</v>
      </c>
      <c r="W330" s="876">
        <v>0</v>
      </c>
    </row>
    <row r="331" spans="1:23" ht="15.75" customHeight="1">
      <c r="A331" s="879"/>
      <c r="B331" s="880"/>
      <c r="C331" s="879"/>
      <c r="D331" s="882"/>
      <c r="E331" s="903"/>
      <c r="F331" s="903"/>
      <c r="G331" s="883"/>
      <c r="H331" s="355">
        <v>4803344</v>
      </c>
      <c r="I331" s="355">
        <v>3155616</v>
      </c>
      <c r="J331" s="878"/>
      <c r="K331" s="878"/>
      <c r="L331" s="876"/>
      <c r="M331" s="876"/>
      <c r="N331" s="878"/>
      <c r="O331" s="878"/>
      <c r="P331" s="876"/>
      <c r="Q331" s="876"/>
      <c r="R331" s="878"/>
      <c r="S331" s="876"/>
      <c r="T331" s="876"/>
      <c r="U331" s="878"/>
      <c r="V331" s="876"/>
      <c r="W331" s="876"/>
    </row>
    <row r="332" spans="1:23" ht="15.75" customHeight="1">
      <c r="A332" s="879"/>
      <c r="B332" s="880"/>
      <c r="C332" s="879"/>
      <c r="D332" s="882"/>
      <c r="E332" s="903"/>
      <c r="F332" s="903"/>
      <c r="G332" s="883"/>
      <c r="H332" s="355">
        <v>0</v>
      </c>
      <c r="I332" s="355">
        <v>0</v>
      </c>
      <c r="J332" s="878"/>
      <c r="K332" s="878"/>
      <c r="L332" s="876"/>
      <c r="M332" s="876"/>
      <c r="N332" s="878"/>
      <c r="O332" s="878"/>
      <c r="P332" s="876"/>
      <c r="Q332" s="876"/>
      <c r="R332" s="878"/>
      <c r="S332" s="876"/>
      <c r="T332" s="876"/>
      <c r="U332" s="878"/>
      <c r="V332" s="876"/>
      <c r="W332" s="876"/>
    </row>
    <row r="333" spans="1:23" ht="15.75" customHeight="1">
      <c r="A333" s="879"/>
      <c r="B333" s="880"/>
      <c r="C333" s="879"/>
      <c r="D333" s="882"/>
      <c r="E333" s="903"/>
      <c r="F333" s="903"/>
      <c r="G333" s="883"/>
      <c r="H333" s="355">
        <v>847648</v>
      </c>
      <c r="I333" s="355">
        <v>556872</v>
      </c>
      <c r="J333" s="878"/>
      <c r="K333" s="878"/>
      <c r="L333" s="876"/>
      <c r="M333" s="876"/>
      <c r="N333" s="878"/>
      <c r="O333" s="878"/>
      <c r="P333" s="876"/>
      <c r="Q333" s="876"/>
      <c r="R333" s="878"/>
      <c r="S333" s="876"/>
      <c r="T333" s="876"/>
      <c r="U333" s="878"/>
      <c r="V333" s="876"/>
      <c r="W333" s="876"/>
    </row>
    <row r="334" spans="1:23" ht="15.75" customHeight="1">
      <c r="A334" s="879"/>
      <c r="B334" s="880"/>
      <c r="C334" s="879"/>
      <c r="D334" s="882"/>
      <c r="E334" s="904"/>
      <c r="F334" s="904"/>
      <c r="G334" s="883"/>
      <c r="H334" s="355">
        <v>0</v>
      </c>
      <c r="I334" s="355">
        <v>0</v>
      </c>
      <c r="J334" s="878"/>
      <c r="K334" s="878"/>
      <c r="L334" s="876"/>
      <c r="M334" s="876"/>
      <c r="N334" s="878"/>
      <c r="O334" s="878"/>
      <c r="P334" s="876"/>
      <c r="Q334" s="876"/>
      <c r="R334" s="878"/>
      <c r="S334" s="876"/>
      <c r="T334" s="876"/>
      <c r="U334" s="878"/>
      <c r="V334" s="876"/>
      <c r="W334" s="876"/>
    </row>
    <row r="335" spans="1:23" ht="15.75" customHeight="1">
      <c r="A335" s="890">
        <v>3</v>
      </c>
      <c r="B335" s="893" t="s">
        <v>831</v>
      </c>
      <c r="C335" s="890">
        <v>123</v>
      </c>
      <c r="D335" s="899" t="s">
        <v>832</v>
      </c>
      <c r="E335" s="883" t="s">
        <v>686</v>
      </c>
      <c r="F335" s="902" t="s">
        <v>830</v>
      </c>
      <c r="G335" s="902">
        <v>2020</v>
      </c>
      <c r="H335" s="355">
        <f>H336+H338+H337+H339</f>
        <v>2395000</v>
      </c>
      <c r="I335" s="355">
        <f>I336+I338+I337+I339</f>
        <v>0</v>
      </c>
      <c r="J335" s="887">
        <f>K335+N335</f>
        <v>2395000</v>
      </c>
      <c r="K335" s="887">
        <f>L335+M335</f>
        <v>2035750</v>
      </c>
      <c r="L335" s="884">
        <v>2035750</v>
      </c>
      <c r="M335" s="884">
        <v>0</v>
      </c>
      <c r="N335" s="887">
        <f>O335+R335+U335</f>
        <v>359250</v>
      </c>
      <c r="O335" s="887">
        <f>P335+Q335</f>
        <v>0</v>
      </c>
      <c r="P335" s="884">
        <v>0</v>
      </c>
      <c r="Q335" s="884">
        <v>0</v>
      </c>
      <c r="R335" s="887">
        <f>S335+T335</f>
        <v>359250</v>
      </c>
      <c r="S335" s="884">
        <v>359250</v>
      </c>
      <c r="T335" s="884">
        <v>0</v>
      </c>
      <c r="U335" s="887">
        <f>V335+W335</f>
        <v>0</v>
      </c>
      <c r="V335" s="884">
        <v>0</v>
      </c>
      <c r="W335" s="884">
        <v>0</v>
      </c>
    </row>
    <row r="336" spans="1:23" ht="15.75" customHeight="1">
      <c r="A336" s="891"/>
      <c r="B336" s="894"/>
      <c r="C336" s="891"/>
      <c r="D336" s="900"/>
      <c r="E336" s="883"/>
      <c r="F336" s="903"/>
      <c r="G336" s="903"/>
      <c r="H336" s="355">
        <f>K335</f>
        <v>2035750</v>
      </c>
      <c r="I336" s="355">
        <v>0</v>
      </c>
      <c r="J336" s="888"/>
      <c r="K336" s="888"/>
      <c r="L336" s="885"/>
      <c r="M336" s="885"/>
      <c r="N336" s="888"/>
      <c r="O336" s="888"/>
      <c r="P336" s="885"/>
      <c r="Q336" s="885"/>
      <c r="R336" s="888"/>
      <c r="S336" s="885"/>
      <c r="T336" s="885"/>
      <c r="U336" s="888"/>
      <c r="V336" s="885"/>
      <c r="W336" s="885"/>
    </row>
    <row r="337" spans="1:23" ht="15.75" customHeight="1">
      <c r="A337" s="891"/>
      <c r="B337" s="894"/>
      <c r="C337" s="891"/>
      <c r="D337" s="900"/>
      <c r="E337" s="883"/>
      <c r="F337" s="903"/>
      <c r="G337" s="903"/>
      <c r="H337" s="355">
        <v>0</v>
      </c>
      <c r="I337" s="355">
        <v>0</v>
      </c>
      <c r="J337" s="888"/>
      <c r="K337" s="888"/>
      <c r="L337" s="885"/>
      <c r="M337" s="885"/>
      <c r="N337" s="888"/>
      <c r="O337" s="888"/>
      <c r="P337" s="885"/>
      <c r="Q337" s="885"/>
      <c r="R337" s="888"/>
      <c r="S337" s="885"/>
      <c r="T337" s="885"/>
      <c r="U337" s="888"/>
      <c r="V337" s="885"/>
      <c r="W337" s="885"/>
    </row>
    <row r="338" spans="1:23" ht="15.75" customHeight="1">
      <c r="A338" s="891"/>
      <c r="B338" s="894"/>
      <c r="C338" s="891"/>
      <c r="D338" s="900"/>
      <c r="E338" s="883"/>
      <c r="F338" s="903"/>
      <c r="G338" s="903"/>
      <c r="H338" s="355">
        <f>R335</f>
        <v>359250</v>
      </c>
      <c r="I338" s="355">
        <v>0</v>
      </c>
      <c r="J338" s="888"/>
      <c r="K338" s="888"/>
      <c r="L338" s="885"/>
      <c r="M338" s="885"/>
      <c r="N338" s="888"/>
      <c r="O338" s="888"/>
      <c r="P338" s="885"/>
      <c r="Q338" s="885"/>
      <c r="R338" s="888"/>
      <c r="S338" s="885"/>
      <c r="T338" s="885"/>
      <c r="U338" s="888"/>
      <c r="V338" s="885"/>
      <c r="W338" s="885"/>
    </row>
    <row r="339" spans="1:23" ht="15.75" customHeight="1">
      <c r="A339" s="892"/>
      <c r="B339" s="895"/>
      <c r="C339" s="892"/>
      <c r="D339" s="901"/>
      <c r="E339" s="883"/>
      <c r="F339" s="904"/>
      <c r="G339" s="904"/>
      <c r="H339" s="355">
        <v>0</v>
      </c>
      <c r="I339" s="355">
        <v>0</v>
      </c>
      <c r="J339" s="889"/>
      <c r="K339" s="889"/>
      <c r="L339" s="886"/>
      <c r="M339" s="886"/>
      <c r="N339" s="889"/>
      <c r="O339" s="889"/>
      <c r="P339" s="886"/>
      <c r="Q339" s="886"/>
      <c r="R339" s="889"/>
      <c r="S339" s="886"/>
      <c r="T339" s="886"/>
      <c r="U339" s="889"/>
      <c r="V339" s="886"/>
      <c r="W339" s="886"/>
    </row>
    <row r="340" spans="1:23" ht="15.75" customHeight="1">
      <c r="A340" s="890">
        <v>4</v>
      </c>
      <c r="B340" s="893" t="s">
        <v>831</v>
      </c>
      <c r="C340" s="890">
        <v>123</v>
      </c>
      <c r="D340" s="899" t="s">
        <v>832</v>
      </c>
      <c r="E340" s="902" t="s">
        <v>789</v>
      </c>
      <c r="F340" s="902" t="s">
        <v>790</v>
      </c>
      <c r="G340" s="902">
        <v>2020</v>
      </c>
      <c r="H340" s="355">
        <f>H341+H343+H342+H344</f>
        <v>15000</v>
      </c>
      <c r="I340" s="355">
        <f>I341+I343+I342+I344</f>
        <v>0</v>
      </c>
      <c r="J340" s="887">
        <f>K340+N340</f>
        <v>15000</v>
      </c>
      <c r="K340" s="887">
        <f>L340+M340</f>
        <v>12750</v>
      </c>
      <c r="L340" s="884">
        <v>12750</v>
      </c>
      <c r="M340" s="884">
        <v>0</v>
      </c>
      <c r="N340" s="887">
        <f>O340+R340+U340</f>
        <v>2250</v>
      </c>
      <c r="O340" s="887">
        <f>P340+Q340</f>
        <v>0</v>
      </c>
      <c r="P340" s="884">
        <v>0</v>
      </c>
      <c r="Q340" s="884">
        <v>0</v>
      </c>
      <c r="R340" s="887">
        <f>S340+T340</f>
        <v>2250</v>
      </c>
      <c r="S340" s="884">
        <v>2250</v>
      </c>
      <c r="T340" s="884">
        <v>0</v>
      </c>
      <c r="U340" s="887">
        <f>V340+W340</f>
        <v>0</v>
      </c>
      <c r="V340" s="884">
        <v>0</v>
      </c>
      <c r="W340" s="884">
        <v>0</v>
      </c>
    </row>
    <row r="341" spans="1:23" ht="15.75" customHeight="1">
      <c r="A341" s="891"/>
      <c r="B341" s="894"/>
      <c r="C341" s="891"/>
      <c r="D341" s="900"/>
      <c r="E341" s="903"/>
      <c r="F341" s="903"/>
      <c r="G341" s="903"/>
      <c r="H341" s="355">
        <f>K340</f>
        <v>12750</v>
      </c>
      <c r="I341" s="355">
        <v>0</v>
      </c>
      <c r="J341" s="888"/>
      <c r="K341" s="888"/>
      <c r="L341" s="885"/>
      <c r="M341" s="885"/>
      <c r="N341" s="888"/>
      <c r="O341" s="888"/>
      <c r="P341" s="885"/>
      <c r="Q341" s="885"/>
      <c r="R341" s="888"/>
      <c r="S341" s="885"/>
      <c r="T341" s="885"/>
      <c r="U341" s="888"/>
      <c r="V341" s="885"/>
      <c r="W341" s="885"/>
    </row>
    <row r="342" spans="1:23" ht="15.75" customHeight="1">
      <c r="A342" s="891"/>
      <c r="B342" s="894"/>
      <c r="C342" s="891"/>
      <c r="D342" s="900"/>
      <c r="E342" s="903"/>
      <c r="F342" s="903"/>
      <c r="G342" s="903"/>
      <c r="H342" s="355">
        <v>0</v>
      </c>
      <c r="I342" s="355">
        <v>0</v>
      </c>
      <c r="J342" s="888"/>
      <c r="K342" s="888"/>
      <c r="L342" s="885"/>
      <c r="M342" s="885"/>
      <c r="N342" s="888"/>
      <c r="O342" s="888"/>
      <c r="P342" s="885"/>
      <c r="Q342" s="885"/>
      <c r="R342" s="888"/>
      <c r="S342" s="885"/>
      <c r="T342" s="885"/>
      <c r="U342" s="888"/>
      <c r="V342" s="885"/>
      <c r="W342" s="885"/>
    </row>
    <row r="343" spans="1:23" ht="15.75" customHeight="1">
      <c r="A343" s="891"/>
      <c r="B343" s="894"/>
      <c r="C343" s="891"/>
      <c r="D343" s="900"/>
      <c r="E343" s="903"/>
      <c r="F343" s="903"/>
      <c r="G343" s="903"/>
      <c r="H343" s="355">
        <f>R340</f>
        <v>2250</v>
      </c>
      <c r="I343" s="355">
        <v>0</v>
      </c>
      <c r="J343" s="888"/>
      <c r="K343" s="888"/>
      <c r="L343" s="885"/>
      <c r="M343" s="885"/>
      <c r="N343" s="888"/>
      <c r="O343" s="888"/>
      <c r="P343" s="885"/>
      <c r="Q343" s="885"/>
      <c r="R343" s="888"/>
      <c r="S343" s="885"/>
      <c r="T343" s="885"/>
      <c r="U343" s="888"/>
      <c r="V343" s="885"/>
      <c r="W343" s="885"/>
    </row>
    <row r="344" spans="1:23" ht="15.75" customHeight="1">
      <c r="A344" s="892"/>
      <c r="B344" s="895"/>
      <c r="C344" s="892"/>
      <c r="D344" s="901"/>
      <c r="E344" s="904"/>
      <c r="F344" s="904"/>
      <c r="G344" s="904"/>
      <c r="H344" s="355">
        <v>0</v>
      </c>
      <c r="I344" s="355">
        <v>0</v>
      </c>
      <c r="J344" s="889"/>
      <c r="K344" s="889"/>
      <c r="L344" s="886"/>
      <c r="M344" s="886"/>
      <c r="N344" s="889"/>
      <c r="O344" s="889"/>
      <c r="P344" s="886"/>
      <c r="Q344" s="886"/>
      <c r="R344" s="889"/>
      <c r="S344" s="886"/>
      <c r="T344" s="886"/>
      <c r="U344" s="889"/>
      <c r="V344" s="886"/>
      <c r="W344" s="886"/>
    </row>
    <row r="345" spans="1:23" ht="15.75" customHeight="1">
      <c r="A345" s="913" t="s">
        <v>833</v>
      </c>
      <c r="B345" s="913"/>
      <c r="C345" s="913"/>
      <c r="D345" s="913"/>
      <c r="E345" s="913"/>
      <c r="F345" s="913"/>
      <c r="G345" s="913"/>
      <c r="H345" s="363">
        <f>H325+H330+H335+H340</f>
        <v>115795734</v>
      </c>
      <c r="I345" s="363">
        <f aca="true" t="shared" si="2" ref="H345:I349">I325+I330+I335+I340</f>
        <v>73418028</v>
      </c>
      <c r="J345" s="908">
        <f aca="true" t="shared" si="3" ref="J345:W345">SUM(J325:J344)</f>
        <v>42377706</v>
      </c>
      <c r="K345" s="908">
        <f t="shared" si="3"/>
        <v>36021050</v>
      </c>
      <c r="L345" s="908">
        <f t="shared" si="3"/>
        <v>35987050</v>
      </c>
      <c r="M345" s="908">
        <f t="shared" si="3"/>
        <v>34000</v>
      </c>
      <c r="N345" s="908">
        <f t="shared" si="3"/>
        <v>6356656</v>
      </c>
      <c r="O345" s="908">
        <f t="shared" si="3"/>
        <v>0</v>
      </c>
      <c r="P345" s="908">
        <f t="shared" si="3"/>
        <v>0</v>
      </c>
      <c r="Q345" s="908">
        <f t="shared" si="3"/>
        <v>0</v>
      </c>
      <c r="R345" s="908">
        <f t="shared" si="3"/>
        <v>6356656</v>
      </c>
      <c r="S345" s="908">
        <f t="shared" si="3"/>
        <v>6350656</v>
      </c>
      <c r="T345" s="908">
        <f t="shared" si="3"/>
        <v>6000</v>
      </c>
      <c r="U345" s="908">
        <f t="shared" si="3"/>
        <v>0</v>
      </c>
      <c r="V345" s="908">
        <f t="shared" si="3"/>
        <v>0</v>
      </c>
      <c r="W345" s="908">
        <f t="shared" si="3"/>
        <v>0</v>
      </c>
    </row>
    <row r="346" spans="1:23" ht="15.75" customHeight="1">
      <c r="A346" s="913"/>
      <c r="B346" s="913"/>
      <c r="C346" s="913"/>
      <c r="D346" s="913"/>
      <c r="E346" s="913"/>
      <c r="F346" s="913"/>
      <c r="G346" s="913"/>
      <c r="H346" s="363">
        <f t="shared" si="2"/>
        <v>98426375</v>
      </c>
      <c r="I346" s="363">
        <f t="shared" si="2"/>
        <v>62405325</v>
      </c>
      <c r="J346" s="909"/>
      <c r="K346" s="909"/>
      <c r="L346" s="909"/>
      <c r="M346" s="909"/>
      <c r="N346" s="909"/>
      <c r="O346" s="909"/>
      <c r="P346" s="909"/>
      <c r="Q346" s="909"/>
      <c r="R346" s="909"/>
      <c r="S346" s="909"/>
      <c r="T346" s="909"/>
      <c r="U346" s="909"/>
      <c r="V346" s="909"/>
      <c r="W346" s="909"/>
    </row>
    <row r="347" spans="1:23" ht="15.75" customHeight="1">
      <c r="A347" s="913"/>
      <c r="B347" s="913"/>
      <c r="C347" s="913"/>
      <c r="D347" s="913"/>
      <c r="E347" s="913"/>
      <c r="F347" s="913"/>
      <c r="G347" s="913"/>
      <c r="H347" s="363">
        <f t="shared" si="2"/>
        <v>0</v>
      </c>
      <c r="I347" s="363">
        <f t="shared" si="2"/>
        <v>0</v>
      </c>
      <c r="J347" s="909"/>
      <c r="K347" s="909"/>
      <c r="L347" s="909"/>
      <c r="M347" s="909"/>
      <c r="N347" s="909"/>
      <c r="O347" s="909"/>
      <c r="P347" s="909"/>
      <c r="Q347" s="909"/>
      <c r="R347" s="909"/>
      <c r="S347" s="909"/>
      <c r="T347" s="909"/>
      <c r="U347" s="909"/>
      <c r="V347" s="909"/>
      <c r="W347" s="909"/>
    </row>
    <row r="348" spans="1:23" ht="15.75" customHeight="1">
      <c r="A348" s="913"/>
      <c r="B348" s="913"/>
      <c r="C348" s="913"/>
      <c r="D348" s="913"/>
      <c r="E348" s="913"/>
      <c r="F348" s="913"/>
      <c r="G348" s="913"/>
      <c r="H348" s="363">
        <f t="shared" si="2"/>
        <v>17369359</v>
      </c>
      <c r="I348" s="363">
        <f t="shared" si="2"/>
        <v>11012703</v>
      </c>
      <c r="J348" s="909"/>
      <c r="K348" s="909"/>
      <c r="L348" s="909"/>
      <c r="M348" s="909"/>
      <c r="N348" s="909"/>
      <c r="O348" s="909"/>
      <c r="P348" s="909"/>
      <c r="Q348" s="909"/>
      <c r="R348" s="909"/>
      <c r="S348" s="909"/>
      <c r="T348" s="909"/>
      <c r="U348" s="909"/>
      <c r="V348" s="909"/>
      <c r="W348" s="909"/>
    </row>
    <row r="349" spans="1:23" ht="15.75" customHeight="1">
      <c r="A349" s="913"/>
      <c r="B349" s="913"/>
      <c r="C349" s="913"/>
      <c r="D349" s="913"/>
      <c r="E349" s="913"/>
      <c r="F349" s="913"/>
      <c r="G349" s="913"/>
      <c r="H349" s="363">
        <f t="shared" si="2"/>
        <v>0</v>
      </c>
      <c r="I349" s="363">
        <f t="shared" si="2"/>
        <v>0</v>
      </c>
      <c r="J349" s="909"/>
      <c r="K349" s="909"/>
      <c r="L349" s="909"/>
      <c r="M349" s="909"/>
      <c r="N349" s="909"/>
      <c r="O349" s="909"/>
      <c r="P349" s="909"/>
      <c r="Q349" s="909"/>
      <c r="R349" s="909"/>
      <c r="S349" s="909"/>
      <c r="T349" s="909"/>
      <c r="U349" s="909"/>
      <c r="V349" s="909"/>
      <c r="W349" s="909"/>
    </row>
    <row r="350" spans="1:24" s="365" customFormat="1" ht="9.75" customHeight="1">
      <c r="A350" s="879"/>
      <c r="B350" s="879"/>
      <c r="C350" s="879"/>
      <c r="D350" s="879"/>
      <c r="E350" s="879"/>
      <c r="F350" s="879"/>
      <c r="G350" s="879"/>
      <c r="H350" s="879"/>
      <c r="I350" s="879"/>
      <c r="J350" s="879"/>
      <c r="K350" s="879"/>
      <c r="L350" s="879"/>
      <c r="M350" s="879"/>
      <c r="N350" s="879"/>
      <c r="O350" s="879"/>
      <c r="P350" s="879"/>
      <c r="Q350" s="879"/>
      <c r="R350" s="879"/>
      <c r="S350" s="879"/>
      <c r="T350" s="879"/>
      <c r="U350" s="879"/>
      <c r="V350" s="879"/>
      <c r="W350" s="879"/>
      <c r="X350" s="364"/>
    </row>
    <row r="351" spans="1:24" s="352" customFormat="1" ht="28.5" customHeight="1">
      <c r="A351" s="910" t="s">
        <v>834</v>
      </c>
      <c r="B351" s="911"/>
      <c r="C351" s="911"/>
      <c r="D351" s="911"/>
      <c r="E351" s="911"/>
      <c r="F351" s="911"/>
      <c r="G351" s="911"/>
      <c r="H351" s="911"/>
      <c r="I351" s="911"/>
      <c r="J351" s="911"/>
      <c r="K351" s="911"/>
      <c r="L351" s="911"/>
      <c r="M351" s="911"/>
      <c r="N351" s="911"/>
      <c r="O351" s="911"/>
      <c r="P351" s="911"/>
      <c r="Q351" s="911"/>
      <c r="R351" s="911"/>
      <c r="S351" s="911"/>
      <c r="T351" s="911"/>
      <c r="U351" s="911"/>
      <c r="V351" s="911"/>
      <c r="W351" s="912"/>
      <c r="X351" s="353"/>
    </row>
    <row r="352" spans="1:24" s="365" customFormat="1" ht="9.75" customHeight="1">
      <c r="A352" s="879"/>
      <c r="B352" s="879"/>
      <c r="C352" s="879"/>
      <c r="D352" s="879"/>
      <c r="E352" s="879"/>
      <c r="F352" s="879"/>
      <c r="G352" s="879"/>
      <c r="H352" s="879"/>
      <c r="I352" s="879"/>
      <c r="J352" s="879"/>
      <c r="K352" s="879"/>
      <c r="L352" s="879"/>
      <c r="M352" s="879"/>
      <c r="N352" s="879"/>
      <c r="O352" s="879"/>
      <c r="P352" s="879"/>
      <c r="Q352" s="879"/>
      <c r="R352" s="879"/>
      <c r="S352" s="879"/>
      <c r="T352" s="879"/>
      <c r="U352" s="879"/>
      <c r="V352" s="879"/>
      <c r="W352" s="879"/>
      <c r="X352" s="364"/>
    </row>
    <row r="353" spans="1:23" ht="16.5" customHeight="1">
      <c r="A353" s="879">
        <v>1</v>
      </c>
      <c r="B353" s="880" t="s">
        <v>835</v>
      </c>
      <c r="C353" s="905" t="s">
        <v>836</v>
      </c>
      <c r="D353" s="882" t="s">
        <v>837</v>
      </c>
      <c r="E353" s="883" t="s">
        <v>686</v>
      </c>
      <c r="F353" s="883" t="s">
        <v>812</v>
      </c>
      <c r="G353" s="883" t="s">
        <v>838</v>
      </c>
      <c r="H353" s="355" t="s">
        <v>215</v>
      </c>
      <c r="I353" s="355" t="s">
        <v>215</v>
      </c>
      <c r="J353" s="878">
        <f>K353+N353</f>
        <v>923612</v>
      </c>
      <c r="K353" s="878">
        <f>L353+M353</f>
        <v>0</v>
      </c>
      <c r="L353" s="876">
        <v>0</v>
      </c>
      <c r="M353" s="876">
        <v>0</v>
      </c>
      <c r="N353" s="878">
        <f>O353+R353+U353</f>
        <v>923612</v>
      </c>
      <c r="O353" s="878">
        <f>P353+Q353</f>
        <v>923612</v>
      </c>
      <c r="P353" s="876">
        <v>0</v>
      </c>
      <c r="Q353" s="876">
        <v>923612</v>
      </c>
      <c r="R353" s="878">
        <f>S353+T353</f>
        <v>0</v>
      </c>
      <c r="S353" s="876">
        <v>0</v>
      </c>
      <c r="T353" s="876">
        <v>0</v>
      </c>
      <c r="U353" s="878">
        <f>V353+W353</f>
        <v>0</v>
      </c>
      <c r="V353" s="876">
        <v>0</v>
      </c>
      <c r="W353" s="876">
        <v>0</v>
      </c>
    </row>
    <row r="354" spans="1:23" ht="16.5" customHeight="1">
      <c r="A354" s="879"/>
      <c r="B354" s="880"/>
      <c r="C354" s="906"/>
      <c r="D354" s="882"/>
      <c r="E354" s="883"/>
      <c r="F354" s="883"/>
      <c r="G354" s="883"/>
      <c r="H354" s="355" t="s">
        <v>215</v>
      </c>
      <c r="I354" s="355" t="s">
        <v>215</v>
      </c>
      <c r="J354" s="878"/>
      <c r="K354" s="878"/>
      <c r="L354" s="876"/>
      <c r="M354" s="876"/>
      <c r="N354" s="878"/>
      <c r="O354" s="878"/>
      <c r="P354" s="876"/>
      <c r="Q354" s="876"/>
      <c r="R354" s="878"/>
      <c r="S354" s="876"/>
      <c r="T354" s="876"/>
      <c r="U354" s="878"/>
      <c r="V354" s="876"/>
      <c r="W354" s="876"/>
    </row>
    <row r="355" spans="1:23" ht="16.5" customHeight="1">
      <c r="A355" s="879"/>
      <c r="B355" s="880"/>
      <c r="C355" s="906"/>
      <c r="D355" s="882"/>
      <c r="E355" s="883"/>
      <c r="F355" s="883"/>
      <c r="G355" s="883"/>
      <c r="H355" s="355" t="s">
        <v>215</v>
      </c>
      <c r="I355" s="355" t="s">
        <v>215</v>
      </c>
      <c r="J355" s="878"/>
      <c r="K355" s="878"/>
      <c r="L355" s="876"/>
      <c r="M355" s="876"/>
      <c r="N355" s="878"/>
      <c r="O355" s="878"/>
      <c r="P355" s="876"/>
      <c r="Q355" s="876"/>
      <c r="R355" s="878"/>
      <c r="S355" s="876"/>
      <c r="T355" s="876"/>
      <c r="U355" s="878"/>
      <c r="V355" s="876"/>
      <c r="W355" s="876"/>
    </row>
    <row r="356" spans="1:23" ht="16.5" customHeight="1">
      <c r="A356" s="879"/>
      <c r="B356" s="880"/>
      <c r="C356" s="906"/>
      <c r="D356" s="882"/>
      <c r="E356" s="883"/>
      <c r="F356" s="883"/>
      <c r="G356" s="883"/>
      <c r="H356" s="355" t="s">
        <v>215</v>
      </c>
      <c r="I356" s="355" t="s">
        <v>215</v>
      </c>
      <c r="J356" s="878"/>
      <c r="K356" s="878"/>
      <c r="L356" s="876"/>
      <c r="M356" s="876"/>
      <c r="N356" s="878"/>
      <c r="O356" s="878"/>
      <c r="P356" s="876"/>
      <c r="Q356" s="876"/>
      <c r="R356" s="878"/>
      <c r="S356" s="876"/>
      <c r="T356" s="876"/>
      <c r="U356" s="878"/>
      <c r="V356" s="876"/>
      <c r="W356" s="876"/>
    </row>
    <row r="357" spans="1:23" ht="16.5" customHeight="1">
      <c r="A357" s="879"/>
      <c r="B357" s="880"/>
      <c r="C357" s="907"/>
      <c r="D357" s="882"/>
      <c r="E357" s="883"/>
      <c r="F357" s="883"/>
      <c r="G357" s="883"/>
      <c r="H357" s="355" t="s">
        <v>215</v>
      </c>
      <c r="I357" s="355" t="s">
        <v>215</v>
      </c>
      <c r="J357" s="878"/>
      <c r="K357" s="878"/>
      <c r="L357" s="876"/>
      <c r="M357" s="876"/>
      <c r="N357" s="878"/>
      <c r="O357" s="878"/>
      <c r="P357" s="876"/>
      <c r="Q357" s="876"/>
      <c r="R357" s="878"/>
      <c r="S357" s="876"/>
      <c r="T357" s="876"/>
      <c r="U357" s="878"/>
      <c r="V357" s="876"/>
      <c r="W357" s="876"/>
    </row>
    <row r="358" spans="1:23" ht="16.5" customHeight="1">
      <c r="A358" s="879">
        <v>2</v>
      </c>
      <c r="B358" s="880" t="s">
        <v>839</v>
      </c>
      <c r="C358" s="905" t="s">
        <v>840</v>
      </c>
      <c r="D358" s="882" t="s">
        <v>841</v>
      </c>
      <c r="E358" s="883" t="s">
        <v>686</v>
      </c>
      <c r="F358" s="883" t="s">
        <v>842</v>
      </c>
      <c r="G358" s="883" t="s">
        <v>838</v>
      </c>
      <c r="H358" s="355" t="s">
        <v>215</v>
      </c>
      <c r="I358" s="355" t="s">
        <v>215</v>
      </c>
      <c r="J358" s="878">
        <f>K358+N358</f>
        <v>10517057</v>
      </c>
      <c r="K358" s="878">
        <f>L358+M358</f>
        <v>0</v>
      </c>
      <c r="L358" s="876">
        <v>0</v>
      </c>
      <c r="M358" s="876">
        <v>0</v>
      </c>
      <c r="N358" s="878">
        <f>O358+R358+U358</f>
        <v>10517057</v>
      </c>
      <c r="O358" s="878">
        <f>P358+Q358</f>
        <v>10517057</v>
      </c>
      <c r="P358" s="876">
        <v>0</v>
      </c>
      <c r="Q358" s="876">
        <v>10517057</v>
      </c>
      <c r="R358" s="878">
        <f>S358+T358</f>
        <v>0</v>
      </c>
      <c r="S358" s="876">
        <v>0</v>
      </c>
      <c r="T358" s="876">
        <v>0</v>
      </c>
      <c r="U358" s="878">
        <f>V358+W358</f>
        <v>0</v>
      </c>
      <c r="V358" s="876">
        <v>0</v>
      </c>
      <c r="W358" s="876">
        <v>0</v>
      </c>
    </row>
    <row r="359" spans="1:23" ht="16.5" customHeight="1">
      <c r="A359" s="879"/>
      <c r="B359" s="880"/>
      <c r="C359" s="906"/>
      <c r="D359" s="882"/>
      <c r="E359" s="883"/>
      <c r="F359" s="883"/>
      <c r="G359" s="883"/>
      <c r="H359" s="355" t="s">
        <v>215</v>
      </c>
      <c r="I359" s="355" t="s">
        <v>215</v>
      </c>
      <c r="J359" s="878"/>
      <c r="K359" s="878"/>
      <c r="L359" s="876"/>
      <c r="M359" s="876"/>
      <c r="N359" s="878"/>
      <c r="O359" s="878"/>
      <c r="P359" s="876"/>
      <c r="Q359" s="876"/>
      <c r="R359" s="878"/>
      <c r="S359" s="876"/>
      <c r="T359" s="876"/>
      <c r="U359" s="878"/>
      <c r="V359" s="876"/>
      <c r="W359" s="876"/>
    </row>
    <row r="360" spans="1:23" ht="16.5" customHeight="1">
      <c r="A360" s="879"/>
      <c r="B360" s="880"/>
      <c r="C360" s="906"/>
      <c r="D360" s="882"/>
      <c r="E360" s="883"/>
      <c r="F360" s="883"/>
      <c r="G360" s="883"/>
      <c r="H360" s="355" t="s">
        <v>215</v>
      </c>
      <c r="I360" s="355" t="s">
        <v>215</v>
      </c>
      <c r="J360" s="878"/>
      <c r="K360" s="878"/>
      <c r="L360" s="876"/>
      <c r="M360" s="876"/>
      <c r="N360" s="878"/>
      <c r="O360" s="878"/>
      <c r="P360" s="876"/>
      <c r="Q360" s="876"/>
      <c r="R360" s="878"/>
      <c r="S360" s="876"/>
      <c r="T360" s="876"/>
      <c r="U360" s="878"/>
      <c r="V360" s="876"/>
      <c r="W360" s="876"/>
    </row>
    <row r="361" spans="1:23" ht="16.5" customHeight="1">
      <c r="A361" s="879"/>
      <c r="B361" s="880"/>
      <c r="C361" s="906"/>
      <c r="D361" s="882"/>
      <c r="E361" s="883"/>
      <c r="F361" s="883"/>
      <c r="G361" s="883"/>
      <c r="H361" s="355" t="s">
        <v>215</v>
      </c>
      <c r="I361" s="355" t="s">
        <v>215</v>
      </c>
      <c r="J361" s="878"/>
      <c r="K361" s="878"/>
      <c r="L361" s="876"/>
      <c r="M361" s="876"/>
      <c r="N361" s="878"/>
      <c r="O361" s="878"/>
      <c r="P361" s="876"/>
      <c r="Q361" s="876"/>
      <c r="R361" s="878"/>
      <c r="S361" s="876"/>
      <c r="T361" s="876"/>
      <c r="U361" s="878"/>
      <c r="V361" s="876"/>
      <c r="W361" s="876"/>
    </row>
    <row r="362" spans="1:23" ht="16.5" customHeight="1">
      <c r="A362" s="879"/>
      <c r="B362" s="880"/>
      <c r="C362" s="907"/>
      <c r="D362" s="882"/>
      <c r="E362" s="883"/>
      <c r="F362" s="883"/>
      <c r="G362" s="883"/>
      <c r="H362" s="355" t="s">
        <v>215</v>
      </c>
      <c r="I362" s="355" t="s">
        <v>215</v>
      </c>
      <c r="J362" s="878"/>
      <c r="K362" s="878"/>
      <c r="L362" s="876"/>
      <c r="M362" s="876"/>
      <c r="N362" s="878"/>
      <c r="O362" s="878"/>
      <c r="P362" s="876"/>
      <c r="Q362" s="876"/>
      <c r="R362" s="878"/>
      <c r="S362" s="876"/>
      <c r="T362" s="876"/>
      <c r="U362" s="878"/>
      <c r="V362" s="876"/>
      <c r="W362" s="876"/>
    </row>
    <row r="363" spans="1:23" ht="16.5" customHeight="1">
      <c r="A363" s="879">
        <v>3</v>
      </c>
      <c r="B363" s="880" t="s">
        <v>843</v>
      </c>
      <c r="C363" s="905" t="s">
        <v>844</v>
      </c>
      <c r="D363" s="882" t="s">
        <v>845</v>
      </c>
      <c r="E363" s="883" t="s">
        <v>686</v>
      </c>
      <c r="F363" s="883" t="s">
        <v>795</v>
      </c>
      <c r="G363" s="883" t="s">
        <v>838</v>
      </c>
      <c r="H363" s="355" t="s">
        <v>215</v>
      </c>
      <c r="I363" s="355" t="s">
        <v>215</v>
      </c>
      <c r="J363" s="878">
        <f>K363+N363</f>
        <v>1480532</v>
      </c>
      <c r="K363" s="878">
        <f>L363+M363</f>
        <v>0</v>
      </c>
      <c r="L363" s="876">
        <v>0</v>
      </c>
      <c r="M363" s="876">
        <v>0</v>
      </c>
      <c r="N363" s="878">
        <f>O363+R363+U363</f>
        <v>1480532</v>
      </c>
      <c r="O363" s="878">
        <f>P363+Q363</f>
        <v>1480532</v>
      </c>
      <c r="P363" s="876">
        <v>0</v>
      </c>
      <c r="Q363" s="876">
        <v>1480532</v>
      </c>
      <c r="R363" s="878">
        <f>S363+T363</f>
        <v>0</v>
      </c>
      <c r="S363" s="876">
        <v>0</v>
      </c>
      <c r="T363" s="876">
        <v>0</v>
      </c>
      <c r="U363" s="878">
        <f>V363+W363</f>
        <v>0</v>
      </c>
      <c r="V363" s="876">
        <v>0</v>
      </c>
      <c r="W363" s="876">
        <v>0</v>
      </c>
    </row>
    <row r="364" spans="1:23" ht="16.5" customHeight="1">
      <c r="A364" s="879"/>
      <c r="B364" s="880"/>
      <c r="C364" s="906"/>
      <c r="D364" s="882"/>
      <c r="E364" s="883"/>
      <c r="F364" s="883"/>
      <c r="G364" s="883"/>
      <c r="H364" s="355" t="s">
        <v>215</v>
      </c>
      <c r="I364" s="355" t="s">
        <v>215</v>
      </c>
      <c r="J364" s="878"/>
      <c r="K364" s="878"/>
      <c r="L364" s="876"/>
      <c r="M364" s="876"/>
      <c r="N364" s="878"/>
      <c r="O364" s="878"/>
      <c r="P364" s="876"/>
      <c r="Q364" s="876"/>
      <c r="R364" s="878"/>
      <c r="S364" s="876"/>
      <c r="T364" s="876"/>
      <c r="U364" s="878"/>
      <c r="V364" s="876"/>
      <c r="W364" s="876"/>
    </row>
    <row r="365" spans="1:23" ht="16.5" customHeight="1">
      <c r="A365" s="879"/>
      <c r="B365" s="880"/>
      <c r="C365" s="906"/>
      <c r="D365" s="882"/>
      <c r="E365" s="883"/>
      <c r="F365" s="883"/>
      <c r="G365" s="883"/>
      <c r="H365" s="355" t="s">
        <v>215</v>
      </c>
      <c r="I365" s="355" t="s">
        <v>215</v>
      </c>
      <c r="J365" s="878"/>
      <c r="K365" s="878"/>
      <c r="L365" s="876"/>
      <c r="M365" s="876"/>
      <c r="N365" s="878"/>
      <c r="O365" s="878"/>
      <c r="P365" s="876"/>
      <c r="Q365" s="876"/>
      <c r="R365" s="878"/>
      <c r="S365" s="876"/>
      <c r="T365" s="876"/>
      <c r="U365" s="878"/>
      <c r="V365" s="876"/>
      <c r="W365" s="876"/>
    </row>
    <row r="366" spans="1:23" ht="16.5" customHeight="1">
      <c r="A366" s="879"/>
      <c r="B366" s="880"/>
      <c r="C366" s="906"/>
      <c r="D366" s="882"/>
      <c r="E366" s="883"/>
      <c r="F366" s="883"/>
      <c r="G366" s="883"/>
      <c r="H366" s="355" t="s">
        <v>215</v>
      </c>
      <c r="I366" s="355" t="s">
        <v>215</v>
      </c>
      <c r="J366" s="878"/>
      <c r="K366" s="878"/>
      <c r="L366" s="876"/>
      <c r="M366" s="876"/>
      <c r="N366" s="878"/>
      <c r="O366" s="878"/>
      <c r="P366" s="876"/>
      <c r="Q366" s="876"/>
      <c r="R366" s="878"/>
      <c r="S366" s="876"/>
      <c r="T366" s="876"/>
      <c r="U366" s="878"/>
      <c r="V366" s="876"/>
      <c r="W366" s="876"/>
    </row>
    <row r="367" spans="1:23" ht="16.5" customHeight="1">
      <c r="A367" s="879"/>
      <c r="B367" s="880"/>
      <c r="C367" s="907"/>
      <c r="D367" s="882"/>
      <c r="E367" s="883"/>
      <c r="F367" s="883"/>
      <c r="G367" s="883"/>
      <c r="H367" s="355" t="s">
        <v>215</v>
      </c>
      <c r="I367" s="355" t="s">
        <v>215</v>
      </c>
      <c r="J367" s="878"/>
      <c r="K367" s="878"/>
      <c r="L367" s="876"/>
      <c r="M367" s="876"/>
      <c r="N367" s="878"/>
      <c r="O367" s="878"/>
      <c r="P367" s="876"/>
      <c r="Q367" s="876"/>
      <c r="R367" s="878"/>
      <c r="S367" s="876"/>
      <c r="T367" s="876"/>
      <c r="U367" s="878"/>
      <c r="V367" s="876"/>
      <c r="W367" s="876"/>
    </row>
    <row r="368" spans="1:23" ht="17.25" customHeight="1">
      <c r="A368" s="879">
        <v>4</v>
      </c>
      <c r="B368" s="880" t="s">
        <v>846</v>
      </c>
      <c r="C368" s="905" t="s">
        <v>847</v>
      </c>
      <c r="D368" s="882" t="s">
        <v>848</v>
      </c>
      <c r="E368" s="883" t="s">
        <v>686</v>
      </c>
      <c r="F368" s="883" t="s">
        <v>849</v>
      </c>
      <c r="G368" s="883" t="s">
        <v>838</v>
      </c>
      <c r="H368" s="355" t="s">
        <v>215</v>
      </c>
      <c r="I368" s="355" t="s">
        <v>215</v>
      </c>
      <c r="J368" s="878">
        <f>K368+N368</f>
        <v>1025231</v>
      </c>
      <c r="K368" s="878">
        <f>L368+M368</f>
        <v>0</v>
      </c>
      <c r="L368" s="876">
        <v>0</v>
      </c>
      <c r="M368" s="876">
        <v>0</v>
      </c>
      <c r="N368" s="878">
        <f>O368+R368+U368</f>
        <v>1025231</v>
      </c>
      <c r="O368" s="878">
        <f>P368+Q368</f>
        <v>1025231</v>
      </c>
      <c r="P368" s="876">
        <v>0</v>
      </c>
      <c r="Q368" s="876">
        <v>1025231</v>
      </c>
      <c r="R368" s="878">
        <f>S368+T368</f>
        <v>0</v>
      </c>
      <c r="S368" s="876">
        <v>0</v>
      </c>
      <c r="T368" s="876">
        <v>0</v>
      </c>
      <c r="U368" s="878">
        <f>V368+W368</f>
        <v>0</v>
      </c>
      <c r="V368" s="876">
        <v>0</v>
      </c>
      <c r="W368" s="876">
        <v>0</v>
      </c>
    </row>
    <row r="369" spans="1:23" ht="17.25" customHeight="1">
      <c r="A369" s="879"/>
      <c r="B369" s="880"/>
      <c r="C369" s="906"/>
      <c r="D369" s="882"/>
      <c r="E369" s="883"/>
      <c r="F369" s="883"/>
      <c r="G369" s="883"/>
      <c r="H369" s="355" t="s">
        <v>215</v>
      </c>
      <c r="I369" s="355" t="s">
        <v>215</v>
      </c>
      <c r="J369" s="878"/>
      <c r="K369" s="878"/>
      <c r="L369" s="876"/>
      <c r="M369" s="876"/>
      <c r="N369" s="878"/>
      <c r="O369" s="878"/>
      <c r="P369" s="876"/>
      <c r="Q369" s="876"/>
      <c r="R369" s="878"/>
      <c r="S369" s="876"/>
      <c r="T369" s="876"/>
      <c r="U369" s="878"/>
      <c r="V369" s="876"/>
      <c r="W369" s="876"/>
    </row>
    <row r="370" spans="1:23" ht="17.25" customHeight="1">
      <c r="A370" s="879"/>
      <c r="B370" s="880"/>
      <c r="C370" s="906"/>
      <c r="D370" s="882"/>
      <c r="E370" s="883"/>
      <c r="F370" s="883"/>
      <c r="G370" s="883"/>
      <c r="H370" s="355" t="s">
        <v>215</v>
      </c>
      <c r="I370" s="355" t="s">
        <v>215</v>
      </c>
      <c r="J370" s="878"/>
      <c r="K370" s="878"/>
      <c r="L370" s="876"/>
      <c r="M370" s="876"/>
      <c r="N370" s="878"/>
      <c r="O370" s="878"/>
      <c r="P370" s="876"/>
      <c r="Q370" s="876"/>
      <c r="R370" s="878"/>
      <c r="S370" s="876"/>
      <c r="T370" s="876"/>
      <c r="U370" s="878"/>
      <c r="V370" s="876"/>
      <c r="W370" s="876"/>
    </row>
    <row r="371" spans="1:23" ht="17.25" customHeight="1">
      <c r="A371" s="879"/>
      <c r="B371" s="880"/>
      <c r="C371" s="906"/>
      <c r="D371" s="882"/>
      <c r="E371" s="883"/>
      <c r="F371" s="883"/>
      <c r="G371" s="883"/>
      <c r="H371" s="355" t="s">
        <v>215</v>
      </c>
      <c r="I371" s="355" t="s">
        <v>215</v>
      </c>
      <c r="J371" s="878"/>
      <c r="K371" s="878"/>
      <c r="L371" s="876"/>
      <c r="M371" s="876"/>
      <c r="N371" s="878"/>
      <c r="O371" s="878"/>
      <c r="P371" s="876"/>
      <c r="Q371" s="876"/>
      <c r="R371" s="878"/>
      <c r="S371" s="876"/>
      <c r="T371" s="876"/>
      <c r="U371" s="878"/>
      <c r="V371" s="876"/>
      <c r="W371" s="876"/>
    </row>
    <row r="372" spans="1:23" ht="17.25" customHeight="1">
      <c r="A372" s="879"/>
      <c r="B372" s="880"/>
      <c r="C372" s="907"/>
      <c r="D372" s="882"/>
      <c r="E372" s="883"/>
      <c r="F372" s="883"/>
      <c r="G372" s="883"/>
      <c r="H372" s="355" t="s">
        <v>215</v>
      </c>
      <c r="I372" s="355" t="s">
        <v>215</v>
      </c>
      <c r="J372" s="878"/>
      <c r="K372" s="878"/>
      <c r="L372" s="876"/>
      <c r="M372" s="876"/>
      <c r="N372" s="878"/>
      <c r="O372" s="878"/>
      <c r="P372" s="876"/>
      <c r="Q372" s="876"/>
      <c r="R372" s="878"/>
      <c r="S372" s="876"/>
      <c r="T372" s="876"/>
      <c r="U372" s="878"/>
      <c r="V372" s="876"/>
      <c r="W372" s="876"/>
    </row>
    <row r="373" spans="1:23" ht="17.25" customHeight="1">
      <c r="A373" s="879">
        <v>5</v>
      </c>
      <c r="B373" s="880" t="s">
        <v>850</v>
      </c>
      <c r="C373" s="905" t="s">
        <v>847</v>
      </c>
      <c r="D373" s="882" t="s">
        <v>851</v>
      </c>
      <c r="E373" s="883" t="s">
        <v>686</v>
      </c>
      <c r="F373" s="883" t="s">
        <v>849</v>
      </c>
      <c r="G373" s="883" t="s">
        <v>838</v>
      </c>
      <c r="H373" s="355" t="s">
        <v>215</v>
      </c>
      <c r="I373" s="355" t="s">
        <v>215</v>
      </c>
      <c r="J373" s="878">
        <f>K373+N373</f>
        <v>3329304</v>
      </c>
      <c r="K373" s="878">
        <f>L373+M373</f>
        <v>0</v>
      </c>
      <c r="L373" s="876">
        <v>0</v>
      </c>
      <c r="M373" s="876">
        <v>0</v>
      </c>
      <c r="N373" s="878">
        <f>O373+R373+U373</f>
        <v>3329304</v>
      </c>
      <c r="O373" s="878">
        <f>P373+Q373</f>
        <v>3329304</v>
      </c>
      <c r="P373" s="876">
        <v>0</v>
      </c>
      <c r="Q373" s="876">
        <v>3329304</v>
      </c>
      <c r="R373" s="878">
        <f>S373+T373</f>
        <v>0</v>
      </c>
      <c r="S373" s="876">
        <v>0</v>
      </c>
      <c r="T373" s="876">
        <v>0</v>
      </c>
      <c r="U373" s="878">
        <f>V373+W373</f>
        <v>0</v>
      </c>
      <c r="V373" s="876">
        <v>0</v>
      </c>
      <c r="W373" s="876">
        <v>0</v>
      </c>
    </row>
    <row r="374" spans="1:23" ht="17.25" customHeight="1">
      <c r="A374" s="879"/>
      <c r="B374" s="880"/>
      <c r="C374" s="906"/>
      <c r="D374" s="882"/>
      <c r="E374" s="883"/>
      <c r="F374" s="883"/>
      <c r="G374" s="883"/>
      <c r="H374" s="355" t="s">
        <v>215</v>
      </c>
      <c r="I374" s="355" t="s">
        <v>215</v>
      </c>
      <c r="J374" s="878"/>
      <c r="K374" s="878"/>
      <c r="L374" s="876"/>
      <c r="M374" s="876"/>
      <c r="N374" s="878"/>
      <c r="O374" s="878"/>
      <c r="P374" s="876"/>
      <c r="Q374" s="876"/>
      <c r="R374" s="878"/>
      <c r="S374" s="876"/>
      <c r="T374" s="876"/>
      <c r="U374" s="878"/>
      <c r="V374" s="876"/>
      <c r="W374" s="876"/>
    </row>
    <row r="375" spans="1:23" ht="17.25" customHeight="1">
      <c r="A375" s="879"/>
      <c r="B375" s="880"/>
      <c r="C375" s="906"/>
      <c r="D375" s="882"/>
      <c r="E375" s="883"/>
      <c r="F375" s="883"/>
      <c r="G375" s="883"/>
      <c r="H375" s="355" t="s">
        <v>215</v>
      </c>
      <c r="I375" s="355" t="s">
        <v>215</v>
      </c>
      <c r="J375" s="878"/>
      <c r="K375" s="878"/>
      <c r="L375" s="876"/>
      <c r="M375" s="876"/>
      <c r="N375" s="878"/>
      <c r="O375" s="878"/>
      <c r="P375" s="876"/>
      <c r="Q375" s="876"/>
      <c r="R375" s="878"/>
      <c r="S375" s="876"/>
      <c r="T375" s="876"/>
      <c r="U375" s="878"/>
      <c r="V375" s="876"/>
      <c r="W375" s="876"/>
    </row>
    <row r="376" spans="1:23" ht="17.25" customHeight="1">
      <c r="A376" s="879"/>
      <c r="B376" s="880"/>
      <c r="C376" s="906"/>
      <c r="D376" s="882"/>
      <c r="E376" s="883"/>
      <c r="F376" s="883"/>
      <c r="G376" s="883"/>
      <c r="H376" s="355" t="s">
        <v>215</v>
      </c>
      <c r="I376" s="355" t="s">
        <v>215</v>
      </c>
      <c r="J376" s="878"/>
      <c r="K376" s="878"/>
      <c r="L376" s="876"/>
      <c r="M376" s="876"/>
      <c r="N376" s="878"/>
      <c r="O376" s="878"/>
      <c r="P376" s="876"/>
      <c r="Q376" s="876"/>
      <c r="R376" s="878"/>
      <c r="S376" s="876"/>
      <c r="T376" s="876"/>
      <c r="U376" s="878"/>
      <c r="V376" s="876"/>
      <c r="W376" s="876"/>
    </row>
    <row r="377" spans="1:23" ht="17.25" customHeight="1">
      <c r="A377" s="879"/>
      <c r="B377" s="880"/>
      <c r="C377" s="907"/>
      <c r="D377" s="882"/>
      <c r="E377" s="883"/>
      <c r="F377" s="883"/>
      <c r="G377" s="883"/>
      <c r="H377" s="355" t="s">
        <v>215</v>
      </c>
      <c r="I377" s="355" t="s">
        <v>215</v>
      </c>
      <c r="J377" s="878"/>
      <c r="K377" s="878"/>
      <c r="L377" s="876"/>
      <c r="M377" s="876"/>
      <c r="N377" s="878"/>
      <c r="O377" s="878"/>
      <c r="P377" s="876"/>
      <c r="Q377" s="876"/>
      <c r="R377" s="878"/>
      <c r="S377" s="876"/>
      <c r="T377" s="876"/>
      <c r="U377" s="878"/>
      <c r="V377" s="876"/>
      <c r="W377" s="876"/>
    </row>
    <row r="378" spans="1:23" ht="17.25" customHeight="1">
      <c r="A378" s="879">
        <v>6</v>
      </c>
      <c r="B378" s="880" t="s">
        <v>852</v>
      </c>
      <c r="C378" s="879">
        <v>102</v>
      </c>
      <c r="D378" s="882" t="s">
        <v>853</v>
      </c>
      <c r="E378" s="902" t="s">
        <v>789</v>
      </c>
      <c r="F378" s="902" t="s">
        <v>854</v>
      </c>
      <c r="G378" s="883" t="s">
        <v>838</v>
      </c>
      <c r="H378" s="355" t="s">
        <v>215</v>
      </c>
      <c r="I378" s="355" t="s">
        <v>215</v>
      </c>
      <c r="J378" s="878">
        <f>K378+N378</f>
        <v>520000</v>
      </c>
      <c r="K378" s="878">
        <f>L378+M378</f>
        <v>0</v>
      </c>
      <c r="L378" s="876">
        <v>0</v>
      </c>
      <c r="M378" s="876">
        <v>0</v>
      </c>
      <c r="N378" s="878">
        <f>O378+R378+U378</f>
        <v>520000</v>
      </c>
      <c r="O378" s="878">
        <f>P378+Q378</f>
        <v>520000</v>
      </c>
      <c r="P378" s="876">
        <v>520000</v>
      </c>
      <c r="Q378" s="876">
        <v>0</v>
      </c>
      <c r="R378" s="878">
        <f>S378+T378</f>
        <v>0</v>
      </c>
      <c r="S378" s="876">
        <v>0</v>
      </c>
      <c r="T378" s="876">
        <v>0</v>
      </c>
      <c r="U378" s="878">
        <f>V378+W378</f>
        <v>0</v>
      </c>
      <c r="V378" s="876">
        <v>0</v>
      </c>
      <c r="W378" s="876">
        <v>0</v>
      </c>
    </row>
    <row r="379" spans="1:23" ht="17.25" customHeight="1">
      <c r="A379" s="879"/>
      <c r="B379" s="880"/>
      <c r="C379" s="879"/>
      <c r="D379" s="882"/>
      <c r="E379" s="903"/>
      <c r="F379" s="903"/>
      <c r="G379" s="883"/>
      <c r="H379" s="355" t="s">
        <v>215</v>
      </c>
      <c r="I379" s="355" t="s">
        <v>215</v>
      </c>
      <c r="J379" s="878"/>
      <c r="K379" s="878"/>
      <c r="L379" s="876"/>
      <c r="M379" s="876"/>
      <c r="N379" s="878"/>
      <c r="O379" s="878"/>
      <c r="P379" s="876"/>
      <c r="Q379" s="876"/>
      <c r="R379" s="878"/>
      <c r="S379" s="876"/>
      <c r="T379" s="876"/>
      <c r="U379" s="878"/>
      <c r="V379" s="876"/>
      <c r="W379" s="876"/>
    </row>
    <row r="380" spans="1:23" ht="17.25" customHeight="1">
      <c r="A380" s="879"/>
      <c r="B380" s="880"/>
      <c r="C380" s="879"/>
      <c r="D380" s="882"/>
      <c r="E380" s="903"/>
      <c r="F380" s="903"/>
      <c r="G380" s="883"/>
      <c r="H380" s="355" t="s">
        <v>215</v>
      </c>
      <c r="I380" s="355" t="s">
        <v>215</v>
      </c>
      <c r="J380" s="878"/>
      <c r="K380" s="878"/>
      <c r="L380" s="876"/>
      <c r="M380" s="876"/>
      <c r="N380" s="878"/>
      <c r="O380" s="878"/>
      <c r="P380" s="876"/>
      <c r="Q380" s="876"/>
      <c r="R380" s="878"/>
      <c r="S380" s="876"/>
      <c r="T380" s="876"/>
      <c r="U380" s="878"/>
      <c r="V380" s="876"/>
      <c r="W380" s="876"/>
    </row>
    <row r="381" spans="1:23" ht="17.25" customHeight="1">
      <c r="A381" s="879"/>
      <c r="B381" s="880"/>
      <c r="C381" s="879"/>
      <c r="D381" s="882"/>
      <c r="E381" s="903"/>
      <c r="F381" s="903"/>
      <c r="G381" s="883"/>
      <c r="H381" s="355" t="s">
        <v>215</v>
      </c>
      <c r="I381" s="355" t="s">
        <v>215</v>
      </c>
      <c r="J381" s="878"/>
      <c r="K381" s="878"/>
      <c r="L381" s="876"/>
      <c r="M381" s="876"/>
      <c r="N381" s="878"/>
      <c r="O381" s="878"/>
      <c r="P381" s="876"/>
      <c r="Q381" s="876"/>
      <c r="R381" s="878"/>
      <c r="S381" s="876"/>
      <c r="T381" s="876"/>
      <c r="U381" s="878"/>
      <c r="V381" s="876"/>
      <c r="W381" s="876"/>
    </row>
    <row r="382" spans="1:23" ht="17.25" customHeight="1">
      <c r="A382" s="879"/>
      <c r="B382" s="880"/>
      <c r="C382" s="879"/>
      <c r="D382" s="882"/>
      <c r="E382" s="904"/>
      <c r="F382" s="904"/>
      <c r="G382" s="883"/>
      <c r="H382" s="355" t="s">
        <v>215</v>
      </c>
      <c r="I382" s="355" t="s">
        <v>215</v>
      </c>
      <c r="J382" s="878"/>
      <c r="K382" s="878"/>
      <c r="L382" s="876"/>
      <c r="M382" s="876"/>
      <c r="N382" s="878"/>
      <c r="O382" s="878"/>
      <c r="P382" s="876"/>
      <c r="Q382" s="876"/>
      <c r="R382" s="878"/>
      <c r="S382" s="876"/>
      <c r="T382" s="876"/>
      <c r="U382" s="878"/>
      <c r="V382" s="876"/>
      <c r="W382" s="876"/>
    </row>
    <row r="383" spans="1:23" ht="13.5" customHeight="1">
      <c r="A383" s="879">
        <v>7</v>
      </c>
      <c r="B383" s="880" t="s">
        <v>855</v>
      </c>
      <c r="C383" s="881" t="s">
        <v>856</v>
      </c>
      <c r="D383" s="882" t="s">
        <v>857</v>
      </c>
      <c r="E383" s="902" t="s">
        <v>789</v>
      </c>
      <c r="F383" s="902" t="s">
        <v>854</v>
      </c>
      <c r="G383" s="883" t="s">
        <v>838</v>
      </c>
      <c r="H383" s="355" t="s">
        <v>215</v>
      </c>
      <c r="I383" s="355" t="s">
        <v>215</v>
      </c>
      <c r="J383" s="878">
        <f>K383+N383</f>
        <v>1387000</v>
      </c>
      <c r="K383" s="878">
        <f>L383+M383</f>
        <v>0</v>
      </c>
      <c r="L383" s="876">
        <v>0</v>
      </c>
      <c r="M383" s="876">
        <v>0</v>
      </c>
      <c r="N383" s="878">
        <f>O383+R383+U383</f>
        <v>1387000</v>
      </c>
      <c r="O383" s="878">
        <f>P383+Q383</f>
        <v>1387000</v>
      </c>
      <c r="P383" s="876">
        <v>1387000</v>
      </c>
      <c r="Q383" s="876"/>
      <c r="R383" s="878">
        <f>S383+T383</f>
        <v>0</v>
      </c>
      <c r="S383" s="876">
        <v>0</v>
      </c>
      <c r="T383" s="876">
        <v>0</v>
      </c>
      <c r="U383" s="878">
        <f>V383+W383</f>
        <v>0</v>
      </c>
      <c r="V383" s="876">
        <v>0</v>
      </c>
      <c r="W383" s="876">
        <v>0</v>
      </c>
    </row>
    <row r="384" spans="1:23" ht="13.5" customHeight="1">
      <c r="A384" s="879"/>
      <c r="B384" s="880"/>
      <c r="C384" s="881"/>
      <c r="D384" s="882"/>
      <c r="E384" s="903"/>
      <c r="F384" s="903"/>
      <c r="G384" s="883"/>
      <c r="H384" s="355" t="s">
        <v>215</v>
      </c>
      <c r="I384" s="355" t="s">
        <v>215</v>
      </c>
      <c r="J384" s="878"/>
      <c r="K384" s="878"/>
      <c r="L384" s="876"/>
      <c r="M384" s="876"/>
      <c r="N384" s="878"/>
      <c r="O384" s="878"/>
      <c r="P384" s="876"/>
      <c r="Q384" s="876"/>
      <c r="R384" s="878"/>
      <c r="S384" s="876"/>
      <c r="T384" s="876"/>
      <c r="U384" s="878"/>
      <c r="V384" s="876"/>
      <c r="W384" s="876"/>
    </row>
    <row r="385" spans="1:23" ht="13.5" customHeight="1">
      <c r="A385" s="879"/>
      <c r="B385" s="880"/>
      <c r="C385" s="881"/>
      <c r="D385" s="882"/>
      <c r="E385" s="903"/>
      <c r="F385" s="903"/>
      <c r="G385" s="883"/>
      <c r="H385" s="355" t="s">
        <v>215</v>
      </c>
      <c r="I385" s="355" t="s">
        <v>215</v>
      </c>
      <c r="J385" s="878"/>
      <c r="K385" s="878"/>
      <c r="L385" s="876"/>
      <c r="M385" s="876"/>
      <c r="N385" s="878"/>
      <c r="O385" s="878"/>
      <c r="P385" s="876"/>
      <c r="Q385" s="876"/>
      <c r="R385" s="878"/>
      <c r="S385" s="876"/>
      <c r="T385" s="876"/>
      <c r="U385" s="878"/>
      <c r="V385" s="876"/>
      <c r="W385" s="876"/>
    </row>
    <row r="386" spans="1:23" ht="13.5" customHeight="1">
      <c r="A386" s="879"/>
      <c r="B386" s="880"/>
      <c r="C386" s="881"/>
      <c r="D386" s="882"/>
      <c r="E386" s="903"/>
      <c r="F386" s="903"/>
      <c r="G386" s="883"/>
      <c r="H386" s="355" t="s">
        <v>215</v>
      </c>
      <c r="I386" s="355" t="s">
        <v>215</v>
      </c>
      <c r="J386" s="878"/>
      <c r="K386" s="878"/>
      <c r="L386" s="876"/>
      <c r="M386" s="876"/>
      <c r="N386" s="878"/>
      <c r="O386" s="878"/>
      <c r="P386" s="876"/>
      <c r="Q386" s="876"/>
      <c r="R386" s="878"/>
      <c r="S386" s="876"/>
      <c r="T386" s="876"/>
      <c r="U386" s="878"/>
      <c r="V386" s="876"/>
      <c r="W386" s="876"/>
    </row>
    <row r="387" spans="1:23" ht="13.5" customHeight="1">
      <c r="A387" s="879"/>
      <c r="B387" s="880"/>
      <c r="C387" s="881"/>
      <c r="D387" s="882"/>
      <c r="E387" s="904"/>
      <c r="F387" s="904"/>
      <c r="G387" s="883"/>
      <c r="H387" s="355" t="s">
        <v>215</v>
      </c>
      <c r="I387" s="355" t="s">
        <v>215</v>
      </c>
      <c r="J387" s="878"/>
      <c r="K387" s="878"/>
      <c r="L387" s="876"/>
      <c r="M387" s="876"/>
      <c r="N387" s="878"/>
      <c r="O387" s="878"/>
      <c r="P387" s="876"/>
      <c r="Q387" s="876"/>
      <c r="R387" s="878"/>
      <c r="S387" s="876"/>
      <c r="T387" s="876"/>
      <c r="U387" s="878"/>
      <c r="V387" s="876"/>
      <c r="W387" s="876"/>
    </row>
    <row r="388" spans="1:23" ht="13.5" customHeight="1">
      <c r="A388" s="879">
        <v>8</v>
      </c>
      <c r="B388" s="880" t="s">
        <v>858</v>
      </c>
      <c r="C388" s="881" t="s">
        <v>859</v>
      </c>
      <c r="D388" s="882" t="s">
        <v>860</v>
      </c>
      <c r="E388" s="883" t="s">
        <v>228</v>
      </c>
      <c r="F388" s="902" t="s">
        <v>824</v>
      </c>
      <c r="G388" s="883" t="s">
        <v>838</v>
      </c>
      <c r="H388" s="355" t="s">
        <v>215</v>
      </c>
      <c r="I388" s="355" t="s">
        <v>215</v>
      </c>
      <c r="J388" s="878">
        <f>K388+N388</f>
        <v>2350000</v>
      </c>
      <c r="K388" s="878">
        <f>L388+M388</f>
        <v>0</v>
      </c>
      <c r="L388" s="876">
        <v>0</v>
      </c>
      <c r="M388" s="876">
        <v>0</v>
      </c>
      <c r="N388" s="878">
        <f>O388+R388+U388</f>
        <v>2350000</v>
      </c>
      <c r="O388" s="878">
        <f>P388+Q388</f>
        <v>2350000</v>
      </c>
      <c r="P388" s="876">
        <v>2350000</v>
      </c>
      <c r="Q388" s="876"/>
      <c r="R388" s="878">
        <f>S388+T388</f>
        <v>0</v>
      </c>
      <c r="S388" s="876">
        <v>0</v>
      </c>
      <c r="T388" s="876">
        <v>0</v>
      </c>
      <c r="U388" s="878">
        <f>V388+W388</f>
        <v>0</v>
      </c>
      <c r="V388" s="876">
        <v>0</v>
      </c>
      <c r="W388" s="876">
        <v>0</v>
      </c>
    </row>
    <row r="389" spans="1:23" ht="13.5" customHeight="1">
      <c r="A389" s="879"/>
      <c r="B389" s="880"/>
      <c r="C389" s="881"/>
      <c r="D389" s="882"/>
      <c r="E389" s="883"/>
      <c r="F389" s="903"/>
      <c r="G389" s="883"/>
      <c r="H389" s="355" t="s">
        <v>215</v>
      </c>
      <c r="I389" s="355" t="s">
        <v>215</v>
      </c>
      <c r="J389" s="878"/>
      <c r="K389" s="878"/>
      <c r="L389" s="876"/>
      <c r="M389" s="876"/>
      <c r="N389" s="878"/>
      <c r="O389" s="878"/>
      <c r="P389" s="876"/>
      <c r="Q389" s="876"/>
      <c r="R389" s="878"/>
      <c r="S389" s="876"/>
      <c r="T389" s="876"/>
      <c r="U389" s="878"/>
      <c r="V389" s="876"/>
      <c r="W389" s="876"/>
    </row>
    <row r="390" spans="1:23" ht="13.5" customHeight="1">
      <c r="A390" s="879"/>
      <c r="B390" s="880"/>
      <c r="C390" s="881"/>
      <c r="D390" s="882"/>
      <c r="E390" s="883"/>
      <c r="F390" s="903"/>
      <c r="G390" s="883"/>
      <c r="H390" s="355" t="s">
        <v>215</v>
      </c>
      <c r="I390" s="355" t="s">
        <v>215</v>
      </c>
      <c r="J390" s="878"/>
      <c r="K390" s="878"/>
      <c r="L390" s="876"/>
      <c r="M390" s="876"/>
      <c r="N390" s="878"/>
      <c r="O390" s="878"/>
      <c r="P390" s="876"/>
      <c r="Q390" s="876"/>
      <c r="R390" s="878"/>
      <c r="S390" s="876"/>
      <c r="T390" s="876"/>
      <c r="U390" s="878"/>
      <c r="V390" s="876"/>
      <c r="W390" s="876"/>
    </row>
    <row r="391" spans="1:23" ht="13.5" customHeight="1">
      <c r="A391" s="879"/>
      <c r="B391" s="880"/>
      <c r="C391" s="881"/>
      <c r="D391" s="882"/>
      <c r="E391" s="883"/>
      <c r="F391" s="903"/>
      <c r="G391" s="883"/>
      <c r="H391" s="355" t="s">
        <v>215</v>
      </c>
      <c r="I391" s="355" t="s">
        <v>215</v>
      </c>
      <c r="J391" s="878"/>
      <c r="K391" s="878"/>
      <c r="L391" s="876"/>
      <c r="M391" s="876"/>
      <c r="N391" s="878"/>
      <c r="O391" s="878"/>
      <c r="P391" s="876"/>
      <c r="Q391" s="876"/>
      <c r="R391" s="878"/>
      <c r="S391" s="876"/>
      <c r="T391" s="876"/>
      <c r="U391" s="878"/>
      <c r="V391" s="876"/>
      <c r="W391" s="876"/>
    </row>
    <row r="392" spans="1:23" ht="13.5" customHeight="1">
      <c r="A392" s="879"/>
      <c r="B392" s="880"/>
      <c r="C392" s="881"/>
      <c r="D392" s="882"/>
      <c r="E392" s="883"/>
      <c r="F392" s="904"/>
      <c r="G392" s="883"/>
      <c r="H392" s="355" t="s">
        <v>215</v>
      </c>
      <c r="I392" s="355" t="s">
        <v>215</v>
      </c>
      <c r="J392" s="878"/>
      <c r="K392" s="878"/>
      <c r="L392" s="876"/>
      <c r="M392" s="876"/>
      <c r="N392" s="878"/>
      <c r="O392" s="878"/>
      <c r="P392" s="876"/>
      <c r="Q392" s="876"/>
      <c r="R392" s="878"/>
      <c r="S392" s="876"/>
      <c r="T392" s="876"/>
      <c r="U392" s="878"/>
      <c r="V392" s="876"/>
      <c r="W392" s="876"/>
    </row>
    <row r="393" spans="1:23" ht="13.5" customHeight="1">
      <c r="A393" s="879">
        <v>9</v>
      </c>
      <c r="B393" s="880" t="s">
        <v>861</v>
      </c>
      <c r="C393" s="881" t="s">
        <v>862</v>
      </c>
      <c r="D393" s="882" t="s">
        <v>863</v>
      </c>
      <c r="E393" s="902" t="s">
        <v>789</v>
      </c>
      <c r="F393" s="902" t="s">
        <v>854</v>
      </c>
      <c r="G393" s="883" t="s">
        <v>838</v>
      </c>
      <c r="H393" s="355" t="s">
        <v>215</v>
      </c>
      <c r="I393" s="355" t="s">
        <v>215</v>
      </c>
      <c r="J393" s="878">
        <f>K393+N393</f>
        <v>1100000</v>
      </c>
      <c r="K393" s="878">
        <f>L393+M393</f>
        <v>0</v>
      </c>
      <c r="L393" s="876">
        <v>0</v>
      </c>
      <c r="M393" s="876">
        <v>0</v>
      </c>
      <c r="N393" s="878">
        <f>O393+R393+U393</f>
        <v>1100000</v>
      </c>
      <c r="O393" s="878">
        <f>P393+Q393</f>
        <v>1100000</v>
      </c>
      <c r="P393" s="876">
        <v>1100000</v>
      </c>
      <c r="Q393" s="876">
        <v>0</v>
      </c>
      <c r="R393" s="878">
        <f>S393+T393</f>
        <v>0</v>
      </c>
      <c r="S393" s="876">
        <v>0</v>
      </c>
      <c r="T393" s="876">
        <v>0</v>
      </c>
      <c r="U393" s="878">
        <f>V393+W393</f>
        <v>0</v>
      </c>
      <c r="V393" s="876">
        <v>0</v>
      </c>
      <c r="W393" s="876">
        <v>0</v>
      </c>
    </row>
    <row r="394" spans="1:23" ht="13.5" customHeight="1">
      <c r="A394" s="879"/>
      <c r="B394" s="880"/>
      <c r="C394" s="881"/>
      <c r="D394" s="882"/>
      <c r="E394" s="903"/>
      <c r="F394" s="903"/>
      <c r="G394" s="883"/>
      <c r="H394" s="355" t="s">
        <v>215</v>
      </c>
      <c r="I394" s="355" t="s">
        <v>215</v>
      </c>
      <c r="J394" s="878"/>
      <c r="K394" s="878"/>
      <c r="L394" s="876"/>
      <c r="M394" s="876"/>
      <c r="N394" s="878"/>
      <c r="O394" s="878"/>
      <c r="P394" s="876"/>
      <c r="Q394" s="876"/>
      <c r="R394" s="878"/>
      <c r="S394" s="876"/>
      <c r="T394" s="876"/>
      <c r="U394" s="878"/>
      <c r="V394" s="876"/>
      <c r="W394" s="876"/>
    </row>
    <row r="395" spans="1:23" ht="13.5" customHeight="1">
      <c r="A395" s="879"/>
      <c r="B395" s="880"/>
      <c r="C395" s="881"/>
      <c r="D395" s="882"/>
      <c r="E395" s="903"/>
      <c r="F395" s="903"/>
      <c r="G395" s="883"/>
      <c r="H395" s="355" t="s">
        <v>215</v>
      </c>
      <c r="I395" s="355" t="s">
        <v>215</v>
      </c>
      <c r="J395" s="878"/>
      <c r="K395" s="878"/>
      <c r="L395" s="876"/>
      <c r="M395" s="876"/>
      <c r="N395" s="878"/>
      <c r="O395" s="878"/>
      <c r="P395" s="876"/>
      <c r="Q395" s="876"/>
      <c r="R395" s="878"/>
      <c r="S395" s="876"/>
      <c r="T395" s="876"/>
      <c r="U395" s="878"/>
      <c r="V395" s="876"/>
      <c r="W395" s="876"/>
    </row>
    <row r="396" spans="1:23" ht="13.5" customHeight="1">
      <c r="A396" s="879"/>
      <c r="B396" s="880"/>
      <c r="C396" s="881"/>
      <c r="D396" s="882"/>
      <c r="E396" s="903"/>
      <c r="F396" s="903"/>
      <c r="G396" s="883"/>
      <c r="H396" s="355" t="s">
        <v>215</v>
      </c>
      <c r="I396" s="355" t="s">
        <v>215</v>
      </c>
      <c r="J396" s="878"/>
      <c r="K396" s="878"/>
      <c r="L396" s="876"/>
      <c r="M396" s="876"/>
      <c r="N396" s="878"/>
      <c r="O396" s="878"/>
      <c r="P396" s="876"/>
      <c r="Q396" s="876"/>
      <c r="R396" s="878"/>
      <c r="S396" s="876"/>
      <c r="T396" s="876"/>
      <c r="U396" s="878"/>
      <c r="V396" s="876"/>
      <c r="W396" s="876"/>
    </row>
    <row r="397" spans="1:23" ht="13.5" customHeight="1">
      <c r="A397" s="879"/>
      <c r="B397" s="880"/>
      <c r="C397" s="881"/>
      <c r="D397" s="882"/>
      <c r="E397" s="904"/>
      <c r="F397" s="904"/>
      <c r="G397" s="883"/>
      <c r="H397" s="355" t="s">
        <v>215</v>
      </c>
      <c r="I397" s="355" t="s">
        <v>215</v>
      </c>
      <c r="J397" s="878"/>
      <c r="K397" s="878"/>
      <c r="L397" s="876"/>
      <c r="M397" s="876"/>
      <c r="N397" s="878"/>
      <c r="O397" s="878"/>
      <c r="P397" s="876"/>
      <c r="Q397" s="876"/>
      <c r="R397" s="878"/>
      <c r="S397" s="876"/>
      <c r="T397" s="876"/>
      <c r="U397" s="878"/>
      <c r="V397" s="876"/>
      <c r="W397" s="876"/>
    </row>
    <row r="398" spans="1:23" ht="13.5" customHeight="1">
      <c r="A398" s="879">
        <v>10</v>
      </c>
      <c r="B398" s="880" t="s">
        <v>784</v>
      </c>
      <c r="C398" s="881" t="s">
        <v>785</v>
      </c>
      <c r="D398" s="882" t="s">
        <v>864</v>
      </c>
      <c r="E398" s="883" t="s">
        <v>228</v>
      </c>
      <c r="F398" s="883" t="s">
        <v>865</v>
      </c>
      <c r="G398" s="883" t="s">
        <v>838</v>
      </c>
      <c r="H398" s="355" t="s">
        <v>215</v>
      </c>
      <c r="I398" s="355" t="s">
        <v>215</v>
      </c>
      <c r="J398" s="878">
        <f>K398+N398</f>
        <v>117500</v>
      </c>
      <c r="K398" s="878">
        <f>L398+M398</f>
        <v>0</v>
      </c>
      <c r="L398" s="876">
        <v>0</v>
      </c>
      <c r="M398" s="876">
        <v>0</v>
      </c>
      <c r="N398" s="878">
        <f>O398+R398+U398</f>
        <v>117500</v>
      </c>
      <c r="O398" s="878">
        <f>P398+Q398</f>
        <v>117500</v>
      </c>
      <c r="P398" s="876">
        <v>117500</v>
      </c>
      <c r="Q398" s="876">
        <v>0</v>
      </c>
      <c r="R398" s="878">
        <f>S398+T398</f>
        <v>0</v>
      </c>
      <c r="S398" s="876">
        <v>0</v>
      </c>
      <c r="T398" s="876">
        <v>0</v>
      </c>
      <c r="U398" s="878">
        <f>V398+W398</f>
        <v>0</v>
      </c>
      <c r="V398" s="876">
        <v>0</v>
      </c>
      <c r="W398" s="876">
        <v>0</v>
      </c>
    </row>
    <row r="399" spans="1:23" ht="13.5" customHeight="1">
      <c r="A399" s="879"/>
      <c r="B399" s="880"/>
      <c r="C399" s="881"/>
      <c r="D399" s="882"/>
      <c r="E399" s="883"/>
      <c r="F399" s="883"/>
      <c r="G399" s="883"/>
      <c r="H399" s="355" t="s">
        <v>215</v>
      </c>
      <c r="I399" s="355" t="s">
        <v>215</v>
      </c>
      <c r="J399" s="878"/>
      <c r="K399" s="878"/>
      <c r="L399" s="876"/>
      <c r="M399" s="876"/>
      <c r="N399" s="878"/>
      <c r="O399" s="878"/>
      <c r="P399" s="876"/>
      <c r="Q399" s="876"/>
      <c r="R399" s="878"/>
      <c r="S399" s="876"/>
      <c r="T399" s="876"/>
      <c r="U399" s="878"/>
      <c r="V399" s="876"/>
      <c r="W399" s="876"/>
    </row>
    <row r="400" spans="1:23" ht="13.5" customHeight="1">
      <c r="A400" s="879"/>
      <c r="B400" s="880"/>
      <c r="C400" s="881"/>
      <c r="D400" s="882"/>
      <c r="E400" s="883"/>
      <c r="F400" s="883"/>
      <c r="G400" s="883"/>
      <c r="H400" s="355" t="s">
        <v>215</v>
      </c>
      <c r="I400" s="355" t="s">
        <v>215</v>
      </c>
      <c r="J400" s="878"/>
      <c r="K400" s="878"/>
      <c r="L400" s="876"/>
      <c r="M400" s="876"/>
      <c r="N400" s="878"/>
      <c r="O400" s="878"/>
      <c r="P400" s="876"/>
      <c r="Q400" s="876"/>
      <c r="R400" s="878"/>
      <c r="S400" s="876"/>
      <c r="T400" s="876"/>
      <c r="U400" s="878"/>
      <c r="V400" s="876"/>
      <c r="W400" s="876"/>
    </row>
    <row r="401" spans="1:23" ht="13.5" customHeight="1">
      <c r="A401" s="879"/>
      <c r="B401" s="880"/>
      <c r="C401" s="881"/>
      <c r="D401" s="882"/>
      <c r="E401" s="883"/>
      <c r="F401" s="883"/>
      <c r="G401" s="883"/>
      <c r="H401" s="355" t="s">
        <v>215</v>
      </c>
      <c r="I401" s="355" t="s">
        <v>215</v>
      </c>
      <c r="J401" s="878"/>
      <c r="K401" s="878"/>
      <c r="L401" s="876"/>
      <c r="M401" s="876"/>
      <c r="N401" s="878"/>
      <c r="O401" s="878"/>
      <c r="P401" s="876"/>
      <c r="Q401" s="876"/>
      <c r="R401" s="878"/>
      <c r="S401" s="876"/>
      <c r="T401" s="876"/>
      <c r="U401" s="878"/>
      <c r="V401" s="876"/>
      <c r="W401" s="876"/>
    </row>
    <row r="402" spans="1:23" ht="13.5" customHeight="1">
      <c r="A402" s="879"/>
      <c r="B402" s="880"/>
      <c r="C402" s="881"/>
      <c r="D402" s="882"/>
      <c r="E402" s="883"/>
      <c r="F402" s="883"/>
      <c r="G402" s="883"/>
      <c r="H402" s="355" t="s">
        <v>215</v>
      </c>
      <c r="I402" s="355" t="s">
        <v>215</v>
      </c>
      <c r="J402" s="878"/>
      <c r="K402" s="878"/>
      <c r="L402" s="876"/>
      <c r="M402" s="876"/>
      <c r="N402" s="878"/>
      <c r="O402" s="878"/>
      <c r="P402" s="876"/>
      <c r="Q402" s="876"/>
      <c r="R402" s="878"/>
      <c r="S402" s="876"/>
      <c r="T402" s="876"/>
      <c r="U402" s="878"/>
      <c r="V402" s="876"/>
      <c r="W402" s="876"/>
    </row>
    <row r="403" spans="1:23" ht="13.5" customHeight="1">
      <c r="A403" s="879">
        <v>11</v>
      </c>
      <c r="B403" s="880" t="s">
        <v>866</v>
      </c>
      <c r="C403" s="881" t="s">
        <v>785</v>
      </c>
      <c r="D403" s="882" t="s">
        <v>867</v>
      </c>
      <c r="E403" s="883" t="s">
        <v>228</v>
      </c>
      <c r="F403" s="883" t="s">
        <v>868</v>
      </c>
      <c r="G403" s="883" t="s">
        <v>838</v>
      </c>
      <c r="H403" s="355" t="s">
        <v>215</v>
      </c>
      <c r="I403" s="355" t="s">
        <v>215</v>
      </c>
      <c r="J403" s="878">
        <f>K403+N403</f>
        <v>1535000</v>
      </c>
      <c r="K403" s="878">
        <f>L403+M403</f>
        <v>0</v>
      </c>
      <c r="L403" s="876">
        <v>0</v>
      </c>
      <c r="M403" s="876">
        <v>0</v>
      </c>
      <c r="N403" s="878">
        <f>O403+R403+U403</f>
        <v>1535000</v>
      </c>
      <c r="O403" s="878">
        <f>P403+Q403</f>
        <v>1535000</v>
      </c>
      <c r="P403" s="876">
        <v>1510000</v>
      </c>
      <c r="Q403" s="876">
        <v>25000</v>
      </c>
      <c r="R403" s="878">
        <f>S403+T403</f>
        <v>0</v>
      </c>
      <c r="S403" s="876">
        <v>0</v>
      </c>
      <c r="T403" s="876">
        <v>0</v>
      </c>
      <c r="U403" s="878">
        <f>V403+W403</f>
        <v>0</v>
      </c>
      <c r="V403" s="876">
        <v>0</v>
      </c>
      <c r="W403" s="876">
        <v>0</v>
      </c>
    </row>
    <row r="404" spans="1:23" ht="13.5" customHeight="1">
      <c r="A404" s="879"/>
      <c r="B404" s="880"/>
      <c r="C404" s="881"/>
      <c r="D404" s="882"/>
      <c r="E404" s="883"/>
      <c r="F404" s="883"/>
      <c r="G404" s="883"/>
      <c r="H404" s="355" t="s">
        <v>215</v>
      </c>
      <c r="I404" s="355" t="s">
        <v>215</v>
      </c>
      <c r="J404" s="878"/>
      <c r="K404" s="878"/>
      <c r="L404" s="876"/>
      <c r="M404" s="876"/>
      <c r="N404" s="878"/>
      <c r="O404" s="878"/>
      <c r="P404" s="876"/>
      <c r="Q404" s="876"/>
      <c r="R404" s="878"/>
      <c r="S404" s="876"/>
      <c r="T404" s="876"/>
      <c r="U404" s="878"/>
      <c r="V404" s="876"/>
      <c r="W404" s="876"/>
    </row>
    <row r="405" spans="1:23" ht="13.5" customHeight="1">
      <c r="A405" s="879"/>
      <c r="B405" s="880"/>
      <c r="C405" s="881"/>
      <c r="D405" s="882"/>
      <c r="E405" s="883"/>
      <c r="F405" s="883"/>
      <c r="G405" s="883"/>
      <c r="H405" s="355" t="s">
        <v>215</v>
      </c>
      <c r="I405" s="355" t="s">
        <v>215</v>
      </c>
      <c r="J405" s="878"/>
      <c r="K405" s="878"/>
      <c r="L405" s="876"/>
      <c r="M405" s="876"/>
      <c r="N405" s="878"/>
      <c r="O405" s="878"/>
      <c r="P405" s="876"/>
      <c r="Q405" s="876"/>
      <c r="R405" s="878"/>
      <c r="S405" s="876"/>
      <c r="T405" s="876"/>
      <c r="U405" s="878"/>
      <c r="V405" s="876"/>
      <c r="W405" s="876"/>
    </row>
    <row r="406" spans="1:23" ht="13.5" customHeight="1">
      <c r="A406" s="879"/>
      <c r="B406" s="880"/>
      <c r="C406" s="881"/>
      <c r="D406" s="882"/>
      <c r="E406" s="883"/>
      <c r="F406" s="883"/>
      <c r="G406" s="883"/>
      <c r="H406" s="355" t="s">
        <v>215</v>
      </c>
      <c r="I406" s="355" t="s">
        <v>215</v>
      </c>
      <c r="J406" s="878"/>
      <c r="K406" s="878"/>
      <c r="L406" s="876"/>
      <c r="M406" s="876"/>
      <c r="N406" s="878"/>
      <c r="O406" s="878"/>
      <c r="P406" s="876"/>
      <c r="Q406" s="876"/>
      <c r="R406" s="878"/>
      <c r="S406" s="876"/>
      <c r="T406" s="876"/>
      <c r="U406" s="878"/>
      <c r="V406" s="876"/>
      <c r="W406" s="876"/>
    </row>
    <row r="407" spans="1:23" ht="13.5" customHeight="1">
      <c r="A407" s="879"/>
      <c r="B407" s="880"/>
      <c r="C407" s="881"/>
      <c r="D407" s="882"/>
      <c r="E407" s="883"/>
      <c r="F407" s="883"/>
      <c r="G407" s="883"/>
      <c r="H407" s="355" t="s">
        <v>215</v>
      </c>
      <c r="I407" s="355" t="s">
        <v>215</v>
      </c>
      <c r="J407" s="878"/>
      <c r="K407" s="878"/>
      <c r="L407" s="876"/>
      <c r="M407" s="876"/>
      <c r="N407" s="878"/>
      <c r="O407" s="878"/>
      <c r="P407" s="876"/>
      <c r="Q407" s="876"/>
      <c r="R407" s="878"/>
      <c r="S407" s="876"/>
      <c r="T407" s="876"/>
      <c r="U407" s="878"/>
      <c r="V407" s="876"/>
      <c r="W407" s="876"/>
    </row>
    <row r="408" spans="1:23" ht="13.5" customHeight="1">
      <c r="A408" s="879">
        <v>12</v>
      </c>
      <c r="B408" s="880" t="s">
        <v>869</v>
      </c>
      <c r="C408" s="881" t="s">
        <v>798</v>
      </c>
      <c r="D408" s="882" t="s">
        <v>870</v>
      </c>
      <c r="E408" s="883" t="s">
        <v>228</v>
      </c>
      <c r="F408" s="883" t="s">
        <v>871</v>
      </c>
      <c r="G408" s="883" t="s">
        <v>838</v>
      </c>
      <c r="H408" s="355" t="s">
        <v>215</v>
      </c>
      <c r="I408" s="355" t="s">
        <v>215</v>
      </c>
      <c r="J408" s="878">
        <f>K408+N408</f>
        <v>115000</v>
      </c>
      <c r="K408" s="878">
        <f>L408+M408</f>
        <v>0</v>
      </c>
      <c r="L408" s="876">
        <v>0</v>
      </c>
      <c r="M408" s="876">
        <v>0</v>
      </c>
      <c r="N408" s="878">
        <f>O408+R408+U408</f>
        <v>115000</v>
      </c>
      <c r="O408" s="878">
        <f>P408+Q408</f>
        <v>115000</v>
      </c>
      <c r="P408" s="876">
        <v>115000</v>
      </c>
      <c r="Q408" s="876">
        <v>0</v>
      </c>
      <c r="R408" s="878">
        <f>S408+T408</f>
        <v>0</v>
      </c>
      <c r="S408" s="876">
        <v>0</v>
      </c>
      <c r="T408" s="876">
        <v>0</v>
      </c>
      <c r="U408" s="878">
        <f>V408+W408</f>
        <v>0</v>
      </c>
      <c r="V408" s="876">
        <v>0</v>
      </c>
      <c r="W408" s="876">
        <v>0</v>
      </c>
    </row>
    <row r="409" spans="1:23" ht="13.5" customHeight="1">
      <c r="A409" s="879"/>
      <c r="B409" s="880"/>
      <c r="C409" s="881"/>
      <c r="D409" s="882"/>
      <c r="E409" s="883"/>
      <c r="F409" s="883"/>
      <c r="G409" s="883"/>
      <c r="H409" s="355" t="s">
        <v>215</v>
      </c>
      <c r="I409" s="355" t="s">
        <v>215</v>
      </c>
      <c r="J409" s="878"/>
      <c r="K409" s="878"/>
      <c r="L409" s="876"/>
      <c r="M409" s="876"/>
      <c r="N409" s="878"/>
      <c r="O409" s="878"/>
      <c r="P409" s="876"/>
      <c r="Q409" s="876"/>
      <c r="R409" s="878"/>
      <c r="S409" s="876"/>
      <c r="T409" s="876"/>
      <c r="U409" s="878"/>
      <c r="V409" s="876"/>
      <c r="W409" s="876"/>
    </row>
    <row r="410" spans="1:23" ht="13.5" customHeight="1">
      <c r="A410" s="879"/>
      <c r="B410" s="880"/>
      <c r="C410" s="881"/>
      <c r="D410" s="882"/>
      <c r="E410" s="883"/>
      <c r="F410" s="883"/>
      <c r="G410" s="883"/>
      <c r="H410" s="355" t="s">
        <v>215</v>
      </c>
      <c r="I410" s="355" t="s">
        <v>215</v>
      </c>
      <c r="J410" s="878"/>
      <c r="K410" s="878"/>
      <c r="L410" s="876"/>
      <c r="M410" s="876"/>
      <c r="N410" s="878"/>
      <c r="O410" s="878"/>
      <c r="P410" s="876"/>
      <c r="Q410" s="876"/>
      <c r="R410" s="878"/>
      <c r="S410" s="876"/>
      <c r="T410" s="876"/>
      <c r="U410" s="878"/>
      <c r="V410" s="876"/>
      <c r="W410" s="876"/>
    </row>
    <row r="411" spans="1:23" ht="13.5" customHeight="1">
      <c r="A411" s="879"/>
      <c r="B411" s="880"/>
      <c r="C411" s="881"/>
      <c r="D411" s="882"/>
      <c r="E411" s="883"/>
      <c r="F411" s="883"/>
      <c r="G411" s="883"/>
      <c r="H411" s="355" t="s">
        <v>215</v>
      </c>
      <c r="I411" s="355" t="s">
        <v>215</v>
      </c>
      <c r="J411" s="878"/>
      <c r="K411" s="878"/>
      <c r="L411" s="876"/>
      <c r="M411" s="876"/>
      <c r="N411" s="878"/>
      <c r="O411" s="878"/>
      <c r="P411" s="876"/>
      <c r="Q411" s="876"/>
      <c r="R411" s="878"/>
      <c r="S411" s="876"/>
      <c r="T411" s="876"/>
      <c r="U411" s="878"/>
      <c r="V411" s="876"/>
      <c r="W411" s="876"/>
    </row>
    <row r="412" spans="1:23" ht="13.5" customHeight="1">
      <c r="A412" s="879"/>
      <c r="B412" s="880"/>
      <c r="C412" s="881"/>
      <c r="D412" s="882"/>
      <c r="E412" s="883"/>
      <c r="F412" s="883"/>
      <c r="G412" s="883"/>
      <c r="H412" s="355" t="s">
        <v>215</v>
      </c>
      <c r="I412" s="355" t="s">
        <v>215</v>
      </c>
      <c r="J412" s="878"/>
      <c r="K412" s="878"/>
      <c r="L412" s="876"/>
      <c r="M412" s="876"/>
      <c r="N412" s="878"/>
      <c r="O412" s="878"/>
      <c r="P412" s="876"/>
      <c r="Q412" s="876"/>
      <c r="R412" s="878"/>
      <c r="S412" s="876"/>
      <c r="T412" s="876"/>
      <c r="U412" s="878"/>
      <c r="V412" s="876"/>
      <c r="W412" s="876"/>
    </row>
    <row r="413" spans="1:23" ht="13.5" customHeight="1">
      <c r="A413" s="879">
        <v>13</v>
      </c>
      <c r="B413" s="880" t="s">
        <v>792</v>
      </c>
      <c r="C413" s="881" t="s">
        <v>793</v>
      </c>
      <c r="D413" s="882" t="s">
        <v>872</v>
      </c>
      <c r="E413" s="883" t="s">
        <v>228</v>
      </c>
      <c r="F413" s="883" t="s">
        <v>873</v>
      </c>
      <c r="G413" s="883" t="s">
        <v>838</v>
      </c>
      <c r="H413" s="355" t="s">
        <v>215</v>
      </c>
      <c r="I413" s="355" t="s">
        <v>215</v>
      </c>
      <c r="J413" s="878">
        <f>K413+N413</f>
        <v>200000</v>
      </c>
      <c r="K413" s="878">
        <f>L413+M413</f>
        <v>0</v>
      </c>
      <c r="L413" s="876">
        <v>0</v>
      </c>
      <c r="M413" s="876">
        <v>0</v>
      </c>
      <c r="N413" s="878">
        <f>O413+R413+U413</f>
        <v>200000</v>
      </c>
      <c r="O413" s="878">
        <f>P413+Q413</f>
        <v>200000</v>
      </c>
      <c r="P413" s="876">
        <v>200000</v>
      </c>
      <c r="Q413" s="876">
        <v>0</v>
      </c>
      <c r="R413" s="878">
        <f>S413+T413</f>
        <v>0</v>
      </c>
      <c r="S413" s="876">
        <v>0</v>
      </c>
      <c r="T413" s="876">
        <v>0</v>
      </c>
      <c r="U413" s="878">
        <f>V413+W413</f>
        <v>0</v>
      </c>
      <c r="V413" s="876">
        <v>0</v>
      </c>
      <c r="W413" s="876">
        <v>0</v>
      </c>
    </row>
    <row r="414" spans="1:23" ht="13.5" customHeight="1">
      <c r="A414" s="879"/>
      <c r="B414" s="880"/>
      <c r="C414" s="881"/>
      <c r="D414" s="882"/>
      <c r="E414" s="883"/>
      <c r="F414" s="883"/>
      <c r="G414" s="883"/>
      <c r="H414" s="355" t="s">
        <v>215</v>
      </c>
      <c r="I414" s="355" t="s">
        <v>215</v>
      </c>
      <c r="J414" s="878"/>
      <c r="K414" s="878"/>
      <c r="L414" s="876"/>
      <c r="M414" s="876"/>
      <c r="N414" s="878"/>
      <c r="O414" s="878"/>
      <c r="P414" s="876"/>
      <c r="Q414" s="876"/>
      <c r="R414" s="878"/>
      <c r="S414" s="876"/>
      <c r="T414" s="876"/>
      <c r="U414" s="878"/>
      <c r="V414" s="876"/>
      <c r="W414" s="876"/>
    </row>
    <row r="415" spans="1:23" ht="13.5" customHeight="1">
      <c r="A415" s="879"/>
      <c r="B415" s="880"/>
      <c r="C415" s="881"/>
      <c r="D415" s="882"/>
      <c r="E415" s="883"/>
      <c r="F415" s="883"/>
      <c r="G415" s="883"/>
      <c r="H415" s="355" t="s">
        <v>215</v>
      </c>
      <c r="I415" s="355" t="s">
        <v>215</v>
      </c>
      <c r="J415" s="878"/>
      <c r="K415" s="878"/>
      <c r="L415" s="876"/>
      <c r="M415" s="876"/>
      <c r="N415" s="878"/>
      <c r="O415" s="878"/>
      <c r="P415" s="876"/>
      <c r="Q415" s="876"/>
      <c r="R415" s="878"/>
      <c r="S415" s="876"/>
      <c r="T415" s="876"/>
      <c r="U415" s="878"/>
      <c r="V415" s="876"/>
      <c r="W415" s="876"/>
    </row>
    <row r="416" spans="1:23" ht="13.5" customHeight="1">
      <c r="A416" s="879"/>
      <c r="B416" s="880"/>
      <c r="C416" s="881"/>
      <c r="D416" s="882"/>
      <c r="E416" s="883"/>
      <c r="F416" s="883"/>
      <c r="G416" s="883"/>
      <c r="H416" s="355" t="s">
        <v>215</v>
      </c>
      <c r="I416" s="355" t="s">
        <v>215</v>
      </c>
      <c r="J416" s="878"/>
      <c r="K416" s="878"/>
      <c r="L416" s="876"/>
      <c r="M416" s="876"/>
      <c r="N416" s="878"/>
      <c r="O416" s="878"/>
      <c r="P416" s="876"/>
      <c r="Q416" s="876"/>
      <c r="R416" s="878"/>
      <c r="S416" s="876"/>
      <c r="T416" s="876"/>
      <c r="U416" s="878"/>
      <c r="V416" s="876"/>
      <c r="W416" s="876"/>
    </row>
    <row r="417" spans="1:23" ht="13.5" customHeight="1">
      <c r="A417" s="879"/>
      <c r="B417" s="880"/>
      <c r="C417" s="881"/>
      <c r="D417" s="882"/>
      <c r="E417" s="883"/>
      <c r="F417" s="883"/>
      <c r="G417" s="883"/>
      <c r="H417" s="355" t="s">
        <v>215</v>
      </c>
      <c r="I417" s="355" t="s">
        <v>215</v>
      </c>
      <c r="J417" s="878"/>
      <c r="K417" s="878"/>
      <c r="L417" s="876"/>
      <c r="M417" s="876"/>
      <c r="N417" s="878"/>
      <c r="O417" s="878"/>
      <c r="P417" s="876"/>
      <c r="Q417" s="876"/>
      <c r="R417" s="878"/>
      <c r="S417" s="876"/>
      <c r="T417" s="876"/>
      <c r="U417" s="878"/>
      <c r="V417" s="876"/>
      <c r="W417" s="876"/>
    </row>
    <row r="418" spans="1:23" ht="13.5" customHeight="1">
      <c r="A418" s="890">
        <v>14</v>
      </c>
      <c r="B418" s="893" t="s">
        <v>874</v>
      </c>
      <c r="C418" s="896" t="s">
        <v>798</v>
      </c>
      <c r="D418" s="899" t="s">
        <v>875</v>
      </c>
      <c r="E418" s="902" t="s">
        <v>228</v>
      </c>
      <c r="F418" s="902" t="s">
        <v>865</v>
      </c>
      <c r="G418" s="902" t="s">
        <v>838</v>
      </c>
      <c r="H418" s="355" t="s">
        <v>215</v>
      </c>
      <c r="I418" s="355" t="s">
        <v>215</v>
      </c>
      <c r="J418" s="887">
        <f>K418+N418</f>
        <v>1000000</v>
      </c>
      <c r="K418" s="887">
        <f>L418+M418</f>
        <v>0</v>
      </c>
      <c r="L418" s="884">
        <v>0</v>
      </c>
      <c r="M418" s="884">
        <v>0</v>
      </c>
      <c r="N418" s="887">
        <f>O418+R418+U418</f>
        <v>1000000</v>
      </c>
      <c r="O418" s="887">
        <f>P418+Q418</f>
        <v>1000000</v>
      </c>
      <c r="P418" s="884">
        <v>935000</v>
      </c>
      <c r="Q418" s="884">
        <v>65000</v>
      </c>
      <c r="R418" s="887">
        <f>S418+T418</f>
        <v>0</v>
      </c>
      <c r="S418" s="884">
        <v>0</v>
      </c>
      <c r="T418" s="884">
        <v>0</v>
      </c>
      <c r="U418" s="887">
        <f>V418+W418</f>
        <v>0</v>
      </c>
      <c r="V418" s="884">
        <v>0</v>
      </c>
      <c r="W418" s="884">
        <v>0</v>
      </c>
    </row>
    <row r="419" spans="1:23" ht="13.5" customHeight="1">
      <c r="A419" s="891"/>
      <c r="B419" s="894"/>
      <c r="C419" s="897"/>
      <c r="D419" s="900"/>
      <c r="E419" s="903"/>
      <c r="F419" s="903"/>
      <c r="G419" s="903"/>
      <c r="H419" s="355" t="s">
        <v>215</v>
      </c>
      <c r="I419" s="355" t="s">
        <v>215</v>
      </c>
      <c r="J419" s="888"/>
      <c r="K419" s="888"/>
      <c r="L419" s="885"/>
      <c r="M419" s="885"/>
      <c r="N419" s="888"/>
      <c r="O419" s="888"/>
      <c r="P419" s="885"/>
      <c r="Q419" s="885"/>
      <c r="R419" s="888"/>
      <c r="S419" s="885"/>
      <c r="T419" s="885"/>
      <c r="U419" s="888"/>
      <c r="V419" s="885"/>
      <c r="W419" s="885"/>
    </row>
    <row r="420" spans="1:23" ht="13.5" customHeight="1">
      <c r="A420" s="891"/>
      <c r="B420" s="894"/>
      <c r="C420" s="897"/>
      <c r="D420" s="900"/>
      <c r="E420" s="903"/>
      <c r="F420" s="903"/>
      <c r="G420" s="903"/>
      <c r="H420" s="355" t="s">
        <v>215</v>
      </c>
      <c r="I420" s="355" t="s">
        <v>215</v>
      </c>
      <c r="J420" s="888"/>
      <c r="K420" s="888"/>
      <c r="L420" s="885"/>
      <c r="M420" s="885"/>
      <c r="N420" s="888"/>
      <c r="O420" s="888"/>
      <c r="P420" s="885"/>
      <c r="Q420" s="885"/>
      <c r="R420" s="888"/>
      <c r="S420" s="885"/>
      <c r="T420" s="885"/>
      <c r="U420" s="888"/>
      <c r="V420" s="885"/>
      <c r="W420" s="885"/>
    </row>
    <row r="421" spans="1:23" ht="13.5" customHeight="1">
      <c r="A421" s="891"/>
      <c r="B421" s="894"/>
      <c r="C421" s="897"/>
      <c r="D421" s="900"/>
      <c r="E421" s="903"/>
      <c r="F421" s="903"/>
      <c r="G421" s="903"/>
      <c r="H421" s="355" t="s">
        <v>215</v>
      </c>
      <c r="I421" s="355" t="s">
        <v>215</v>
      </c>
      <c r="J421" s="888"/>
      <c r="K421" s="888"/>
      <c r="L421" s="885"/>
      <c r="M421" s="885"/>
      <c r="N421" s="888"/>
      <c r="O421" s="888"/>
      <c r="P421" s="885"/>
      <c r="Q421" s="885"/>
      <c r="R421" s="888"/>
      <c r="S421" s="885"/>
      <c r="T421" s="885"/>
      <c r="U421" s="888"/>
      <c r="V421" s="885"/>
      <c r="W421" s="885"/>
    </row>
    <row r="422" spans="1:23" ht="13.5" customHeight="1">
      <c r="A422" s="892"/>
      <c r="B422" s="895"/>
      <c r="C422" s="898"/>
      <c r="D422" s="901"/>
      <c r="E422" s="904"/>
      <c r="F422" s="904"/>
      <c r="G422" s="904"/>
      <c r="H422" s="355" t="s">
        <v>215</v>
      </c>
      <c r="I422" s="355" t="s">
        <v>215</v>
      </c>
      <c r="J422" s="889"/>
      <c r="K422" s="889"/>
      <c r="L422" s="886"/>
      <c r="M422" s="886"/>
      <c r="N422" s="889"/>
      <c r="O422" s="889"/>
      <c r="P422" s="886"/>
      <c r="Q422" s="886"/>
      <c r="R422" s="889"/>
      <c r="S422" s="886"/>
      <c r="T422" s="886"/>
      <c r="U422" s="889"/>
      <c r="V422" s="886"/>
      <c r="W422" s="886"/>
    </row>
    <row r="423" spans="1:23" ht="13.5" customHeight="1">
      <c r="A423" s="879">
        <v>15</v>
      </c>
      <c r="B423" s="880" t="s">
        <v>797</v>
      </c>
      <c r="C423" s="881" t="s">
        <v>798</v>
      </c>
      <c r="D423" s="882" t="s">
        <v>876</v>
      </c>
      <c r="E423" s="883" t="s">
        <v>228</v>
      </c>
      <c r="F423" s="883" t="s">
        <v>873</v>
      </c>
      <c r="G423" s="883" t="s">
        <v>838</v>
      </c>
      <c r="H423" s="355" t="s">
        <v>215</v>
      </c>
      <c r="I423" s="355" t="s">
        <v>215</v>
      </c>
      <c r="J423" s="878">
        <f>K423+N423</f>
        <v>4255305</v>
      </c>
      <c r="K423" s="878">
        <f>L423+M423</f>
        <v>0</v>
      </c>
      <c r="L423" s="876">
        <v>0</v>
      </c>
      <c r="M423" s="876">
        <v>0</v>
      </c>
      <c r="N423" s="878">
        <f>O423+R423+U423</f>
        <v>4255305</v>
      </c>
      <c r="O423" s="878">
        <f>P423+Q423</f>
        <v>4255305</v>
      </c>
      <c r="P423" s="876">
        <v>4152410</v>
      </c>
      <c r="Q423" s="876">
        <v>102895</v>
      </c>
      <c r="R423" s="878">
        <f>S423+T423</f>
        <v>0</v>
      </c>
      <c r="S423" s="876">
        <v>0</v>
      </c>
      <c r="T423" s="876">
        <v>0</v>
      </c>
      <c r="U423" s="878">
        <f>V423+W423</f>
        <v>0</v>
      </c>
      <c r="V423" s="876">
        <v>0</v>
      </c>
      <c r="W423" s="876">
        <v>0</v>
      </c>
    </row>
    <row r="424" spans="1:23" ht="13.5" customHeight="1">
      <c r="A424" s="879"/>
      <c r="B424" s="880"/>
      <c r="C424" s="881"/>
      <c r="D424" s="882"/>
      <c r="E424" s="883"/>
      <c r="F424" s="883"/>
      <c r="G424" s="883"/>
      <c r="H424" s="355" t="s">
        <v>215</v>
      </c>
      <c r="I424" s="355" t="s">
        <v>215</v>
      </c>
      <c r="J424" s="878"/>
      <c r="K424" s="878"/>
      <c r="L424" s="876"/>
      <c r="M424" s="876"/>
      <c r="N424" s="878"/>
      <c r="O424" s="878"/>
      <c r="P424" s="876"/>
      <c r="Q424" s="876"/>
      <c r="R424" s="878"/>
      <c r="S424" s="876"/>
      <c r="T424" s="876"/>
      <c r="U424" s="878"/>
      <c r="V424" s="876"/>
      <c r="W424" s="876"/>
    </row>
    <row r="425" spans="1:23" ht="13.5" customHeight="1">
      <c r="A425" s="879"/>
      <c r="B425" s="880"/>
      <c r="C425" s="881"/>
      <c r="D425" s="882"/>
      <c r="E425" s="883"/>
      <c r="F425" s="883"/>
      <c r="G425" s="883"/>
      <c r="H425" s="355" t="s">
        <v>215</v>
      </c>
      <c r="I425" s="355" t="s">
        <v>215</v>
      </c>
      <c r="J425" s="878"/>
      <c r="K425" s="878"/>
      <c r="L425" s="876"/>
      <c r="M425" s="876"/>
      <c r="N425" s="878"/>
      <c r="O425" s="878"/>
      <c r="P425" s="876"/>
      <c r="Q425" s="876"/>
      <c r="R425" s="878"/>
      <c r="S425" s="876"/>
      <c r="T425" s="876"/>
      <c r="U425" s="878"/>
      <c r="V425" s="876"/>
      <c r="W425" s="876"/>
    </row>
    <row r="426" spans="1:23" ht="13.5" customHeight="1">
      <c r="A426" s="879"/>
      <c r="B426" s="880"/>
      <c r="C426" s="881"/>
      <c r="D426" s="882"/>
      <c r="E426" s="883"/>
      <c r="F426" s="883"/>
      <c r="G426" s="883"/>
      <c r="H426" s="355" t="s">
        <v>215</v>
      </c>
      <c r="I426" s="355" t="s">
        <v>215</v>
      </c>
      <c r="J426" s="878"/>
      <c r="K426" s="878"/>
      <c r="L426" s="876"/>
      <c r="M426" s="876"/>
      <c r="N426" s="878"/>
      <c r="O426" s="878"/>
      <c r="P426" s="876"/>
      <c r="Q426" s="876"/>
      <c r="R426" s="878"/>
      <c r="S426" s="876"/>
      <c r="T426" s="876"/>
      <c r="U426" s="878"/>
      <c r="V426" s="876"/>
      <c r="W426" s="876"/>
    </row>
    <row r="427" spans="1:23" ht="13.5" customHeight="1">
      <c r="A427" s="879"/>
      <c r="B427" s="880"/>
      <c r="C427" s="881"/>
      <c r="D427" s="882"/>
      <c r="E427" s="883"/>
      <c r="F427" s="883"/>
      <c r="G427" s="883"/>
      <c r="H427" s="355" t="s">
        <v>215</v>
      </c>
      <c r="I427" s="355" t="s">
        <v>215</v>
      </c>
      <c r="J427" s="878"/>
      <c r="K427" s="878"/>
      <c r="L427" s="876"/>
      <c r="M427" s="876"/>
      <c r="N427" s="878"/>
      <c r="O427" s="878"/>
      <c r="P427" s="876"/>
      <c r="Q427" s="876"/>
      <c r="R427" s="878"/>
      <c r="S427" s="876"/>
      <c r="T427" s="876"/>
      <c r="U427" s="878"/>
      <c r="V427" s="876"/>
      <c r="W427" s="876"/>
    </row>
    <row r="428" spans="1:23" ht="13.5" customHeight="1">
      <c r="A428" s="879">
        <v>16</v>
      </c>
      <c r="B428" s="880" t="s">
        <v>877</v>
      </c>
      <c r="C428" s="881" t="s">
        <v>802</v>
      </c>
      <c r="D428" s="882" t="s">
        <v>878</v>
      </c>
      <c r="E428" s="883" t="s">
        <v>228</v>
      </c>
      <c r="F428" s="883" t="s">
        <v>879</v>
      </c>
      <c r="G428" s="883" t="s">
        <v>838</v>
      </c>
      <c r="H428" s="355" t="s">
        <v>215</v>
      </c>
      <c r="I428" s="355" t="s">
        <v>215</v>
      </c>
      <c r="J428" s="878">
        <f>K428+N428</f>
        <v>1500000</v>
      </c>
      <c r="K428" s="878">
        <f>L428+M428</f>
        <v>0</v>
      </c>
      <c r="L428" s="876">
        <v>0</v>
      </c>
      <c r="M428" s="876">
        <v>0</v>
      </c>
      <c r="N428" s="878">
        <f>O428+R428+U428</f>
        <v>1500000</v>
      </c>
      <c r="O428" s="878">
        <f>P428+Q428</f>
        <v>1500000</v>
      </c>
      <c r="P428" s="876">
        <v>1500000</v>
      </c>
      <c r="Q428" s="876">
        <v>0</v>
      </c>
      <c r="R428" s="878">
        <f>S428+T428</f>
        <v>0</v>
      </c>
      <c r="S428" s="876">
        <v>0</v>
      </c>
      <c r="T428" s="876">
        <v>0</v>
      </c>
      <c r="U428" s="878">
        <f>V428+W428</f>
        <v>0</v>
      </c>
      <c r="V428" s="876">
        <v>0</v>
      </c>
      <c r="W428" s="876">
        <v>0</v>
      </c>
    </row>
    <row r="429" spans="1:23" ht="13.5" customHeight="1">
      <c r="A429" s="879"/>
      <c r="B429" s="880"/>
      <c r="C429" s="881"/>
      <c r="D429" s="882"/>
      <c r="E429" s="883"/>
      <c r="F429" s="883"/>
      <c r="G429" s="883"/>
      <c r="H429" s="355" t="s">
        <v>215</v>
      </c>
      <c r="I429" s="355" t="s">
        <v>215</v>
      </c>
      <c r="J429" s="878"/>
      <c r="K429" s="878"/>
      <c r="L429" s="876"/>
      <c r="M429" s="876"/>
      <c r="N429" s="878"/>
      <c r="O429" s="878"/>
      <c r="P429" s="876"/>
      <c r="Q429" s="876"/>
      <c r="R429" s="878"/>
      <c r="S429" s="876"/>
      <c r="T429" s="876"/>
      <c r="U429" s="878"/>
      <c r="V429" s="876"/>
      <c r="W429" s="876"/>
    </row>
    <row r="430" spans="1:23" ht="13.5" customHeight="1">
      <c r="A430" s="879"/>
      <c r="B430" s="880"/>
      <c r="C430" s="881"/>
      <c r="D430" s="882"/>
      <c r="E430" s="883"/>
      <c r="F430" s="883"/>
      <c r="G430" s="883"/>
      <c r="H430" s="355" t="s">
        <v>215</v>
      </c>
      <c r="I430" s="355" t="s">
        <v>215</v>
      </c>
      <c r="J430" s="878"/>
      <c r="K430" s="878"/>
      <c r="L430" s="876"/>
      <c r="M430" s="876"/>
      <c r="N430" s="878"/>
      <c r="O430" s="878"/>
      <c r="P430" s="876"/>
      <c r="Q430" s="876"/>
      <c r="R430" s="878"/>
      <c r="S430" s="876"/>
      <c r="T430" s="876"/>
      <c r="U430" s="878"/>
      <c r="V430" s="876"/>
      <c r="W430" s="876"/>
    </row>
    <row r="431" spans="1:23" ht="13.5" customHeight="1">
      <c r="A431" s="879"/>
      <c r="B431" s="880"/>
      <c r="C431" s="881"/>
      <c r="D431" s="882"/>
      <c r="E431" s="883"/>
      <c r="F431" s="883"/>
      <c r="G431" s="883"/>
      <c r="H431" s="355" t="s">
        <v>215</v>
      </c>
      <c r="I431" s="355" t="s">
        <v>215</v>
      </c>
      <c r="J431" s="878"/>
      <c r="K431" s="878"/>
      <c r="L431" s="876"/>
      <c r="M431" s="876"/>
      <c r="N431" s="878"/>
      <c r="O431" s="878"/>
      <c r="P431" s="876"/>
      <c r="Q431" s="876"/>
      <c r="R431" s="878"/>
      <c r="S431" s="876"/>
      <c r="T431" s="876"/>
      <c r="U431" s="878"/>
      <c r="V431" s="876"/>
      <c r="W431" s="876"/>
    </row>
    <row r="432" spans="1:23" ht="13.5" customHeight="1">
      <c r="A432" s="879"/>
      <c r="B432" s="880"/>
      <c r="C432" s="881"/>
      <c r="D432" s="882"/>
      <c r="E432" s="883"/>
      <c r="F432" s="883"/>
      <c r="G432" s="883"/>
      <c r="H432" s="355" t="s">
        <v>215</v>
      </c>
      <c r="I432" s="355" t="s">
        <v>215</v>
      </c>
      <c r="J432" s="878"/>
      <c r="K432" s="878"/>
      <c r="L432" s="876"/>
      <c r="M432" s="876"/>
      <c r="N432" s="878"/>
      <c r="O432" s="878"/>
      <c r="P432" s="876"/>
      <c r="Q432" s="876"/>
      <c r="R432" s="878"/>
      <c r="S432" s="876"/>
      <c r="T432" s="876"/>
      <c r="U432" s="878"/>
      <c r="V432" s="876"/>
      <c r="W432" s="876"/>
    </row>
    <row r="433" spans="1:23" ht="13.5" customHeight="1">
      <c r="A433" s="879">
        <v>17</v>
      </c>
      <c r="B433" s="880" t="s">
        <v>880</v>
      </c>
      <c r="C433" s="881" t="s">
        <v>806</v>
      </c>
      <c r="D433" s="882" t="s">
        <v>881</v>
      </c>
      <c r="E433" s="883" t="s">
        <v>228</v>
      </c>
      <c r="F433" s="883" t="s">
        <v>882</v>
      </c>
      <c r="G433" s="883" t="s">
        <v>838</v>
      </c>
      <c r="H433" s="355" t="s">
        <v>215</v>
      </c>
      <c r="I433" s="355" t="s">
        <v>215</v>
      </c>
      <c r="J433" s="878">
        <f>K433+N433</f>
        <v>555500</v>
      </c>
      <c r="K433" s="878">
        <f>L433+M433</f>
        <v>0</v>
      </c>
      <c r="L433" s="876">
        <v>0</v>
      </c>
      <c r="M433" s="876">
        <v>0</v>
      </c>
      <c r="N433" s="878">
        <f>O433+R433+U433</f>
        <v>555500</v>
      </c>
      <c r="O433" s="878">
        <f>P433+Q433</f>
        <v>555500</v>
      </c>
      <c r="P433" s="876">
        <v>525500</v>
      </c>
      <c r="Q433" s="876">
        <v>30000</v>
      </c>
      <c r="R433" s="878">
        <f>S433+T433</f>
        <v>0</v>
      </c>
      <c r="S433" s="876">
        <v>0</v>
      </c>
      <c r="T433" s="876">
        <v>0</v>
      </c>
      <c r="U433" s="878">
        <f>V433+W433</f>
        <v>0</v>
      </c>
      <c r="V433" s="876">
        <v>0</v>
      </c>
      <c r="W433" s="876">
        <v>0</v>
      </c>
    </row>
    <row r="434" spans="1:23" ht="13.5" customHeight="1">
      <c r="A434" s="879"/>
      <c r="B434" s="880"/>
      <c r="C434" s="881"/>
      <c r="D434" s="882"/>
      <c r="E434" s="883"/>
      <c r="F434" s="883"/>
      <c r="G434" s="883"/>
      <c r="H434" s="355" t="s">
        <v>215</v>
      </c>
      <c r="I434" s="355" t="s">
        <v>215</v>
      </c>
      <c r="J434" s="878"/>
      <c r="K434" s="878"/>
      <c r="L434" s="876"/>
      <c r="M434" s="876"/>
      <c r="N434" s="878"/>
      <c r="O434" s="878"/>
      <c r="P434" s="876"/>
      <c r="Q434" s="876"/>
      <c r="R434" s="878"/>
      <c r="S434" s="876"/>
      <c r="T434" s="876"/>
      <c r="U434" s="878"/>
      <c r="V434" s="876"/>
      <c r="W434" s="876"/>
    </row>
    <row r="435" spans="1:23" ht="13.5" customHeight="1">
      <c r="A435" s="879"/>
      <c r="B435" s="880"/>
      <c r="C435" s="881"/>
      <c r="D435" s="882"/>
      <c r="E435" s="883"/>
      <c r="F435" s="883"/>
      <c r="G435" s="883"/>
      <c r="H435" s="355" t="s">
        <v>215</v>
      </c>
      <c r="I435" s="355" t="s">
        <v>215</v>
      </c>
      <c r="J435" s="878"/>
      <c r="K435" s="878"/>
      <c r="L435" s="876"/>
      <c r="M435" s="876"/>
      <c r="N435" s="878"/>
      <c r="O435" s="878"/>
      <c r="P435" s="876"/>
      <c r="Q435" s="876"/>
      <c r="R435" s="878"/>
      <c r="S435" s="876"/>
      <c r="T435" s="876"/>
      <c r="U435" s="878"/>
      <c r="V435" s="876"/>
      <c r="W435" s="876"/>
    </row>
    <row r="436" spans="1:23" ht="13.5" customHeight="1">
      <c r="A436" s="879"/>
      <c r="B436" s="880"/>
      <c r="C436" s="881"/>
      <c r="D436" s="882"/>
      <c r="E436" s="883"/>
      <c r="F436" s="883"/>
      <c r="G436" s="883"/>
      <c r="H436" s="355" t="s">
        <v>215</v>
      </c>
      <c r="I436" s="355" t="s">
        <v>215</v>
      </c>
      <c r="J436" s="878"/>
      <c r="K436" s="878"/>
      <c r="L436" s="876"/>
      <c r="M436" s="876"/>
      <c r="N436" s="878"/>
      <c r="O436" s="878"/>
      <c r="P436" s="876"/>
      <c r="Q436" s="876"/>
      <c r="R436" s="878"/>
      <c r="S436" s="876"/>
      <c r="T436" s="876"/>
      <c r="U436" s="878"/>
      <c r="V436" s="876"/>
      <c r="W436" s="876"/>
    </row>
    <row r="437" spans="1:23" ht="13.5" customHeight="1">
      <c r="A437" s="879"/>
      <c r="B437" s="880"/>
      <c r="C437" s="881"/>
      <c r="D437" s="882"/>
      <c r="E437" s="883"/>
      <c r="F437" s="883"/>
      <c r="G437" s="883"/>
      <c r="H437" s="355" t="s">
        <v>215</v>
      </c>
      <c r="I437" s="355" t="s">
        <v>215</v>
      </c>
      <c r="J437" s="878"/>
      <c r="K437" s="878"/>
      <c r="L437" s="876"/>
      <c r="M437" s="876"/>
      <c r="N437" s="878"/>
      <c r="O437" s="878"/>
      <c r="P437" s="876"/>
      <c r="Q437" s="876"/>
      <c r="R437" s="878"/>
      <c r="S437" s="876"/>
      <c r="T437" s="876"/>
      <c r="U437" s="878"/>
      <c r="V437" s="876"/>
      <c r="W437" s="876"/>
    </row>
    <row r="438" spans="1:23" ht="13.5" customHeight="1">
      <c r="A438" s="879">
        <v>18</v>
      </c>
      <c r="B438" s="880" t="s">
        <v>883</v>
      </c>
      <c r="C438" s="881" t="s">
        <v>819</v>
      </c>
      <c r="D438" s="882" t="s">
        <v>884</v>
      </c>
      <c r="E438" s="883" t="s">
        <v>228</v>
      </c>
      <c r="F438" s="883" t="s">
        <v>882</v>
      </c>
      <c r="G438" s="883" t="s">
        <v>838</v>
      </c>
      <c r="H438" s="355" t="s">
        <v>215</v>
      </c>
      <c r="I438" s="355" t="s">
        <v>215</v>
      </c>
      <c r="J438" s="878">
        <f>K438+N438</f>
        <v>220000</v>
      </c>
      <c r="K438" s="878">
        <f>L438+M438</f>
        <v>0</v>
      </c>
      <c r="L438" s="876">
        <v>0</v>
      </c>
      <c r="M438" s="876">
        <v>0</v>
      </c>
      <c r="N438" s="878">
        <f>O438+R438+U438</f>
        <v>220000</v>
      </c>
      <c r="O438" s="878">
        <f>P438+Q438</f>
        <v>220000</v>
      </c>
      <c r="P438" s="876">
        <v>200000</v>
      </c>
      <c r="Q438" s="876">
        <v>20000</v>
      </c>
      <c r="R438" s="878">
        <f>S438+T438</f>
        <v>0</v>
      </c>
      <c r="S438" s="876">
        <v>0</v>
      </c>
      <c r="T438" s="876">
        <v>0</v>
      </c>
      <c r="U438" s="878">
        <f>V438+W438</f>
        <v>0</v>
      </c>
      <c r="V438" s="876">
        <v>0</v>
      </c>
      <c r="W438" s="876">
        <v>0</v>
      </c>
    </row>
    <row r="439" spans="1:23" ht="13.5" customHeight="1">
      <c r="A439" s="879"/>
      <c r="B439" s="880"/>
      <c r="C439" s="881"/>
      <c r="D439" s="882"/>
      <c r="E439" s="883"/>
      <c r="F439" s="883"/>
      <c r="G439" s="883"/>
      <c r="H439" s="355" t="s">
        <v>215</v>
      </c>
      <c r="I439" s="355" t="s">
        <v>215</v>
      </c>
      <c r="J439" s="878"/>
      <c r="K439" s="878"/>
      <c r="L439" s="876"/>
      <c r="M439" s="876"/>
      <c r="N439" s="878"/>
      <c r="O439" s="878"/>
      <c r="P439" s="876"/>
      <c r="Q439" s="876"/>
      <c r="R439" s="878"/>
      <c r="S439" s="876"/>
      <c r="T439" s="876"/>
      <c r="U439" s="878"/>
      <c r="V439" s="876"/>
      <c r="W439" s="876"/>
    </row>
    <row r="440" spans="1:23" ht="13.5" customHeight="1">
      <c r="A440" s="879"/>
      <c r="B440" s="880"/>
      <c r="C440" s="881"/>
      <c r="D440" s="882"/>
      <c r="E440" s="883"/>
      <c r="F440" s="883"/>
      <c r="G440" s="883"/>
      <c r="H440" s="355" t="s">
        <v>215</v>
      </c>
      <c r="I440" s="355" t="s">
        <v>215</v>
      </c>
      <c r="J440" s="878"/>
      <c r="K440" s="878"/>
      <c r="L440" s="876"/>
      <c r="M440" s="876"/>
      <c r="N440" s="878"/>
      <c r="O440" s="878"/>
      <c r="P440" s="876"/>
      <c r="Q440" s="876"/>
      <c r="R440" s="878"/>
      <c r="S440" s="876"/>
      <c r="T440" s="876"/>
      <c r="U440" s="878"/>
      <c r="V440" s="876"/>
      <c r="W440" s="876"/>
    </row>
    <row r="441" spans="1:23" ht="13.5" customHeight="1">
      <c r="A441" s="879"/>
      <c r="B441" s="880"/>
      <c r="C441" s="881"/>
      <c r="D441" s="882"/>
      <c r="E441" s="883"/>
      <c r="F441" s="883"/>
      <c r="G441" s="883"/>
      <c r="H441" s="355" t="s">
        <v>215</v>
      </c>
      <c r="I441" s="355" t="s">
        <v>215</v>
      </c>
      <c r="J441" s="878"/>
      <c r="K441" s="878"/>
      <c r="L441" s="876"/>
      <c r="M441" s="876"/>
      <c r="N441" s="878"/>
      <c r="O441" s="878"/>
      <c r="P441" s="876"/>
      <c r="Q441" s="876"/>
      <c r="R441" s="878"/>
      <c r="S441" s="876"/>
      <c r="T441" s="876"/>
      <c r="U441" s="878"/>
      <c r="V441" s="876"/>
      <c r="W441" s="876"/>
    </row>
    <row r="442" spans="1:23" ht="13.5" customHeight="1">
      <c r="A442" s="879"/>
      <c r="B442" s="880"/>
      <c r="C442" s="881"/>
      <c r="D442" s="882"/>
      <c r="E442" s="883"/>
      <c r="F442" s="883"/>
      <c r="G442" s="883"/>
      <c r="H442" s="355" t="s">
        <v>215</v>
      </c>
      <c r="I442" s="355" t="s">
        <v>215</v>
      </c>
      <c r="J442" s="878"/>
      <c r="K442" s="878"/>
      <c r="L442" s="876"/>
      <c r="M442" s="876"/>
      <c r="N442" s="878"/>
      <c r="O442" s="878"/>
      <c r="P442" s="876"/>
      <c r="Q442" s="876"/>
      <c r="R442" s="878"/>
      <c r="S442" s="876"/>
      <c r="T442" s="876"/>
      <c r="U442" s="878"/>
      <c r="V442" s="876"/>
      <c r="W442" s="876"/>
    </row>
    <row r="443" spans="1:23" ht="15" customHeight="1">
      <c r="A443" s="879">
        <v>19</v>
      </c>
      <c r="B443" s="880" t="s">
        <v>810</v>
      </c>
      <c r="C443" s="881" t="s">
        <v>806</v>
      </c>
      <c r="D443" s="882" t="s">
        <v>885</v>
      </c>
      <c r="E443" s="883" t="s">
        <v>228</v>
      </c>
      <c r="F443" s="883" t="s">
        <v>882</v>
      </c>
      <c r="G443" s="883" t="s">
        <v>838</v>
      </c>
      <c r="H443" s="355" t="s">
        <v>215</v>
      </c>
      <c r="I443" s="355" t="s">
        <v>215</v>
      </c>
      <c r="J443" s="878">
        <f>K443+N443</f>
        <v>914750</v>
      </c>
      <c r="K443" s="878">
        <f>L443+M443</f>
        <v>0</v>
      </c>
      <c r="L443" s="876">
        <v>0</v>
      </c>
      <c r="M443" s="876">
        <v>0</v>
      </c>
      <c r="N443" s="878">
        <f>O443+R443+U443</f>
        <v>914750</v>
      </c>
      <c r="O443" s="878">
        <f>P443+Q443</f>
        <v>914750</v>
      </c>
      <c r="P443" s="876">
        <v>891500</v>
      </c>
      <c r="Q443" s="876">
        <v>23250</v>
      </c>
      <c r="R443" s="878">
        <f>S443+T443</f>
        <v>0</v>
      </c>
      <c r="S443" s="876">
        <v>0</v>
      </c>
      <c r="T443" s="876">
        <v>0</v>
      </c>
      <c r="U443" s="878">
        <f>V443+W443</f>
        <v>0</v>
      </c>
      <c r="V443" s="876">
        <v>0</v>
      </c>
      <c r="W443" s="876">
        <v>0</v>
      </c>
    </row>
    <row r="444" spans="1:23" ht="15" customHeight="1">
      <c r="A444" s="879"/>
      <c r="B444" s="880"/>
      <c r="C444" s="881"/>
      <c r="D444" s="882"/>
      <c r="E444" s="883"/>
      <c r="F444" s="883"/>
      <c r="G444" s="883"/>
      <c r="H444" s="355" t="s">
        <v>215</v>
      </c>
      <c r="I444" s="355" t="s">
        <v>215</v>
      </c>
      <c r="J444" s="878"/>
      <c r="K444" s="878"/>
      <c r="L444" s="876"/>
      <c r="M444" s="876"/>
      <c r="N444" s="878"/>
      <c r="O444" s="878"/>
      <c r="P444" s="876"/>
      <c r="Q444" s="876"/>
      <c r="R444" s="878"/>
      <c r="S444" s="876"/>
      <c r="T444" s="876"/>
      <c r="U444" s="878"/>
      <c r="V444" s="876"/>
      <c r="W444" s="876"/>
    </row>
    <row r="445" spans="1:23" ht="15" customHeight="1">
      <c r="A445" s="879"/>
      <c r="B445" s="880"/>
      <c r="C445" s="881"/>
      <c r="D445" s="882"/>
      <c r="E445" s="883"/>
      <c r="F445" s="883"/>
      <c r="G445" s="883"/>
      <c r="H445" s="355" t="s">
        <v>215</v>
      </c>
      <c r="I445" s="355" t="s">
        <v>215</v>
      </c>
      <c r="J445" s="878"/>
      <c r="K445" s="878"/>
      <c r="L445" s="876"/>
      <c r="M445" s="876"/>
      <c r="N445" s="878"/>
      <c r="O445" s="878"/>
      <c r="P445" s="876"/>
      <c r="Q445" s="876"/>
      <c r="R445" s="878"/>
      <c r="S445" s="876"/>
      <c r="T445" s="876"/>
      <c r="U445" s="878"/>
      <c r="V445" s="876"/>
      <c r="W445" s="876"/>
    </row>
    <row r="446" spans="1:23" ht="15" customHeight="1">
      <c r="A446" s="879"/>
      <c r="B446" s="880"/>
      <c r="C446" s="881"/>
      <c r="D446" s="882"/>
      <c r="E446" s="883"/>
      <c r="F446" s="883"/>
      <c r="G446" s="883"/>
      <c r="H446" s="355" t="s">
        <v>215</v>
      </c>
      <c r="I446" s="355" t="s">
        <v>215</v>
      </c>
      <c r="J446" s="878"/>
      <c r="K446" s="878"/>
      <c r="L446" s="876"/>
      <c r="M446" s="876"/>
      <c r="N446" s="878"/>
      <c r="O446" s="878"/>
      <c r="P446" s="876"/>
      <c r="Q446" s="876"/>
      <c r="R446" s="878"/>
      <c r="S446" s="876"/>
      <c r="T446" s="876"/>
      <c r="U446" s="878"/>
      <c r="V446" s="876"/>
      <c r="W446" s="876"/>
    </row>
    <row r="447" spans="1:23" ht="15" customHeight="1">
      <c r="A447" s="879"/>
      <c r="B447" s="880"/>
      <c r="C447" s="881"/>
      <c r="D447" s="882"/>
      <c r="E447" s="883"/>
      <c r="F447" s="883"/>
      <c r="G447" s="883"/>
      <c r="H447" s="355" t="s">
        <v>215</v>
      </c>
      <c r="I447" s="355" t="s">
        <v>215</v>
      </c>
      <c r="J447" s="878"/>
      <c r="K447" s="878"/>
      <c r="L447" s="876"/>
      <c r="M447" s="876"/>
      <c r="N447" s="878"/>
      <c r="O447" s="878"/>
      <c r="P447" s="876"/>
      <c r="Q447" s="876"/>
      <c r="R447" s="878"/>
      <c r="S447" s="876"/>
      <c r="T447" s="876"/>
      <c r="U447" s="878"/>
      <c r="V447" s="876"/>
      <c r="W447" s="876"/>
    </row>
    <row r="448" spans="1:23" ht="15.75" customHeight="1">
      <c r="A448" s="879">
        <v>20</v>
      </c>
      <c r="B448" s="880" t="s">
        <v>886</v>
      </c>
      <c r="C448" s="881" t="s">
        <v>819</v>
      </c>
      <c r="D448" s="882" t="s">
        <v>887</v>
      </c>
      <c r="E448" s="883" t="s">
        <v>228</v>
      </c>
      <c r="F448" s="883" t="s">
        <v>882</v>
      </c>
      <c r="G448" s="883" t="s">
        <v>838</v>
      </c>
      <c r="H448" s="355" t="s">
        <v>215</v>
      </c>
      <c r="I448" s="355" t="s">
        <v>215</v>
      </c>
      <c r="J448" s="878">
        <f>K448+N448</f>
        <v>3056750</v>
      </c>
      <c r="K448" s="878">
        <f>L448+M448</f>
        <v>0</v>
      </c>
      <c r="L448" s="876">
        <v>0</v>
      </c>
      <c r="M448" s="876">
        <v>0</v>
      </c>
      <c r="N448" s="878">
        <f>O448+R448+U448</f>
        <v>3056750</v>
      </c>
      <c r="O448" s="878">
        <f>P448+Q448</f>
        <v>3056750</v>
      </c>
      <c r="P448" s="876">
        <v>2956000</v>
      </c>
      <c r="Q448" s="876">
        <v>100750</v>
      </c>
      <c r="R448" s="878">
        <f>S448+T448</f>
        <v>0</v>
      </c>
      <c r="S448" s="876">
        <v>0</v>
      </c>
      <c r="T448" s="876">
        <v>0</v>
      </c>
      <c r="U448" s="878">
        <f>V448+W448</f>
        <v>0</v>
      </c>
      <c r="V448" s="876">
        <v>0</v>
      </c>
      <c r="W448" s="876">
        <v>0</v>
      </c>
    </row>
    <row r="449" spans="1:23" ht="15.75" customHeight="1">
      <c r="A449" s="879"/>
      <c r="B449" s="880"/>
      <c r="C449" s="881"/>
      <c r="D449" s="882"/>
      <c r="E449" s="883"/>
      <c r="F449" s="883"/>
      <c r="G449" s="883"/>
      <c r="H449" s="355" t="s">
        <v>215</v>
      </c>
      <c r="I449" s="355" t="s">
        <v>215</v>
      </c>
      <c r="J449" s="878"/>
      <c r="K449" s="878"/>
      <c r="L449" s="876"/>
      <c r="M449" s="876"/>
      <c r="N449" s="878"/>
      <c r="O449" s="878"/>
      <c r="P449" s="876"/>
      <c r="Q449" s="876"/>
      <c r="R449" s="878"/>
      <c r="S449" s="876"/>
      <c r="T449" s="876"/>
      <c r="U449" s="878"/>
      <c r="V449" s="876"/>
      <c r="W449" s="876"/>
    </row>
    <row r="450" spans="1:23" ht="15.75" customHeight="1">
      <c r="A450" s="879"/>
      <c r="B450" s="880"/>
      <c r="C450" s="881"/>
      <c r="D450" s="882"/>
      <c r="E450" s="883"/>
      <c r="F450" s="883"/>
      <c r="G450" s="883"/>
      <c r="H450" s="355" t="s">
        <v>215</v>
      </c>
      <c r="I450" s="355" t="s">
        <v>215</v>
      </c>
      <c r="J450" s="878"/>
      <c r="K450" s="878"/>
      <c r="L450" s="876"/>
      <c r="M450" s="876"/>
      <c r="N450" s="878"/>
      <c r="O450" s="878"/>
      <c r="P450" s="876"/>
      <c r="Q450" s="876"/>
      <c r="R450" s="878"/>
      <c r="S450" s="876"/>
      <c r="T450" s="876"/>
      <c r="U450" s="878"/>
      <c r="V450" s="876"/>
      <c r="W450" s="876"/>
    </row>
    <row r="451" spans="1:23" ht="15.75" customHeight="1">
      <c r="A451" s="879"/>
      <c r="B451" s="880"/>
      <c r="C451" s="881"/>
      <c r="D451" s="882"/>
      <c r="E451" s="883"/>
      <c r="F451" s="883"/>
      <c r="G451" s="883"/>
      <c r="H451" s="355" t="s">
        <v>215</v>
      </c>
      <c r="I451" s="355" t="s">
        <v>215</v>
      </c>
      <c r="J451" s="878"/>
      <c r="K451" s="878"/>
      <c r="L451" s="876"/>
      <c r="M451" s="876"/>
      <c r="N451" s="878"/>
      <c r="O451" s="878"/>
      <c r="P451" s="876"/>
      <c r="Q451" s="876"/>
      <c r="R451" s="878"/>
      <c r="S451" s="876"/>
      <c r="T451" s="876"/>
      <c r="U451" s="878"/>
      <c r="V451" s="876"/>
      <c r="W451" s="876"/>
    </row>
    <row r="452" spans="1:23" ht="15.75" customHeight="1">
      <c r="A452" s="879"/>
      <c r="B452" s="880"/>
      <c r="C452" s="881"/>
      <c r="D452" s="882"/>
      <c r="E452" s="883"/>
      <c r="F452" s="883"/>
      <c r="G452" s="883"/>
      <c r="H452" s="355" t="s">
        <v>215</v>
      </c>
      <c r="I452" s="355" t="s">
        <v>215</v>
      </c>
      <c r="J452" s="878"/>
      <c r="K452" s="878"/>
      <c r="L452" s="876"/>
      <c r="M452" s="876"/>
      <c r="N452" s="878"/>
      <c r="O452" s="878"/>
      <c r="P452" s="876"/>
      <c r="Q452" s="876"/>
      <c r="R452" s="878"/>
      <c r="S452" s="876"/>
      <c r="T452" s="876"/>
      <c r="U452" s="878"/>
      <c r="V452" s="876"/>
      <c r="W452" s="876"/>
    </row>
    <row r="453" spans="1:23" ht="15.75" customHeight="1">
      <c r="A453" s="879">
        <v>21</v>
      </c>
      <c r="B453" s="880" t="s">
        <v>821</v>
      </c>
      <c r="C453" s="881" t="s">
        <v>822</v>
      </c>
      <c r="D453" s="882" t="s">
        <v>888</v>
      </c>
      <c r="E453" s="883" t="s">
        <v>228</v>
      </c>
      <c r="F453" s="883" t="s">
        <v>889</v>
      </c>
      <c r="G453" s="883" t="s">
        <v>838</v>
      </c>
      <c r="H453" s="355" t="s">
        <v>215</v>
      </c>
      <c r="I453" s="355" t="s">
        <v>215</v>
      </c>
      <c r="J453" s="878">
        <f>K453+N453</f>
        <v>345000</v>
      </c>
      <c r="K453" s="878">
        <f>L453+M453</f>
        <v>0</v>
      </c>
      <c r="L453" s="876">
        <v>0</v>
      </c>
      <c r="M453" s="876">
        <v>0</v>
      </c>
      <c r="N453" s="878">
        <f>O453+R453+U453</f>
        <v>345000</v>
      </c>
      <c r="O453" s="878">
        <f>P453+Q453</f>
        <v>345000</v>
      </c>
      <c r="P453" s="876">
        <v>345000</v>
      </c>
      <c r="Q453" s="876">
        <v>0</v>
      </c>
      <c r="R453" s="878">
        <f>S453+T453</f>
        <v>0</v>
      </c>
      <c r="S453" s="876">
        <v>0</v>
      </c>
      <c r="T453" s="876">
        <v>0</v>
      </c>
      <c r="U453" s="878">
        <f>V453+W453</f>
        <v>0</v>
      </c>
      <c r="V453" s="876">
        <v>0</v>
      </c>
      <c r="W453" s="876">
        <v>0</v>
      </c>
    </row>
    <row r="454" spans="1:23" ht="15.75" customHeight="1">
      <c r="A454" s="879"/>
      <c r="B454" s="880"/>
      <c r="C454" s="881"/>
      <c r="D454" s="882"/>
      <c r="E454" s="883"/>
      <c r="F454" s="883"/>
      <c r="G454" s="883"/>
      <c r="H454" s="355" t="s">
        <v>215</v>
      </c>
      <c r="I454" s="355" t="s">
        <v>215</v>
      </c>
      <c r="J454" s="878"/>
      <c r="K454" s="878"/>
      <c r="L454" s="876"/>
      <c r="M454" s="876"/>
      <c r="N454" s="878"/>
      <c r="O454" s="878"/>
      <c r="P454" s="876"/>
      <c r="Q454" s="876"/>
      <c r="R454" s="878"/>
      <c r="S454" s="876"/>
      <c r="T454" s="876"/>
      <c r="U454" s="878"/>
      <c r="V454" s="876"/>
      <c r="W454" s="876"/>
    </row>
    <row r="455" spans="1:23" ht="15.75" customHeight="1">
      <c r="A455" s="879"/>
      <c r="B455" s="880"/>
      <c r="C455" s="881"/>
      <c r="D455" s="882"/>
      <c r="E455" s="883"/>
      <c r="F455" s="883"/>
      <c r="G455" s="883"/>
      <c r="H455" s="355" t="s">
        <v>215</v>
      </c>
      <c r="I455" s="355" t="s">
        <v>215</v>
      </c>
      <c r="J455" s="878"/>
      <c r="K455" s="878"/>
      <c r="L455" s="876"/>
      <c r="M455" s="876"/>
      <c r="N455" s="878"/>
      <c r="O455" s="878"/>
      <c r="P455" s="876"/>
      <c r="Q455" s="876"/>
      <c r="R455" s="878"/>
      <c r="S455" s="876"/>
      <c r="T455" s="876"/>
      <c r="U455" s="878"/>
      <c r="V455" s="876"/>
      <c r="W455" s="876"/>
    </row>
    <row r="456" spans="1:23" ht="15.75" customHeight="1">
      <c r="A456" s="879"/>
      <c r="B456" s="880"/>
      <c r="C456" s="881"/>
      <c r="D456" s="882"/>
      <c r="E456" s="883"/>
      <c r="F456" s="883"/>
      <c r="G456" s="883"/>
      <c r="H456" s="355" t="s">
        <v>215</v>
      </c>
      <c r="I456" s="355" t="s">
        <v>215</v>
      </c>
      <c r="J456" s="878"/>
      <c r="K456" s="878"/>
      <c r="L456" s="876"/>
      <c r="M456" s="876"/>
      <c r="N456" s="878"/>
      <c r="O456" s="878"/>
      <c r="P456" s="876"/>
      <c r="Q456" s="876"/>
      <c r="R456" s="878"/>
      <c r="S456" s="876"/>
      <c r="T456" s="876"/>
      <c r="U456" s="878"/>
      <c r="V456" s="876"/>
      <c r="W456" s="876"/>
    </row>
    <row r="457" spans="1:23" ht="15.75" customHeight="1">
      <c r="A457" s="879"/>
      <c r="B457" s="880"/>
      <c r="C457" s="881"/>
      <c r="D457" s="882"/>
      <c r="E457" s="883"/>
      <c r="F457" s="883"/>
      <c r="G457" s="883"/>
      <c r="H457" s="355" t="s">
        <v>215</v>
      </c>
      <c r="I457" s="355" t="s">
        <v>215</v>
      </c>
      <c r="J457" s="878"/>
      <c r="K457" s="878"/>
      <c r="L457" s="876"/>
      <c r="M457" s="876"/>
      <c r="N457" s="878"/>
      <c r="O457" s="878"/>
      <c r="P457" s="876"/>
      <c r="Q457" s="876"/>
      <c r="R457" s="878"/>
      <c r="S457" s="876"/>
      <c r="T457" s="876"/>
      <c r="U457" s="878"/>
      <c r="V457" s="876"/>
      <c r="W457" s="876"/>
    </row>
    <row r="458" spans="1:23" ht="15.75" customHeight="1">
      <c r="A458" s="879">
        <v>22</v>
      </c>
      <c r="B458" s="880" t="s">
        <v>890</v>
      </c>
      <c r="C458" s="881" t="s">
        <v>819</v>
      </c>
      <c r="D458" s="882" t="s">
        <v>891</v>
      </c>
      <c r="E458" s="883" t="s">
        <v>228</v>
      </c>
      <c r="F458" s="883" t="s">
        <v>889</v>
      </c>
      <c r="G458" s="883" t="s">
        <v>838</v>
      </c>
      <c r="H458" s="355" t="s">
        <v>215</v>
      </c>
      <c r="I458" s="355" t="s">
        <v>215</v>
      </c>
      <c r="J458" s="878">
        <f>K458+N458</f>
        <v>613000</v>
      </c>
      <c r="K458" s="878">
        <f>L458+M458</f>
        <v>0</v>
      </c>
      <c r="L458" s="876">
        <v>0</v>
      </c>
      <c r="M458" s="876">
        <v>0</v>
      </c>
      <c r="N458" s="878">
        <f>O458+R458+U458</f>
        <v>613000</v>
      </c>
      <c r="O458" s="878">
        <f>P458+Q458</f>
        <v>613000</v>
      </c>
      <c r="P458" s="876">
        <v>613000</v>
      </c>
      <c r="Q458" s="876">
        <v>0</v>
      </c>
      <c r="R458" s="878">
        <f>S458+T458</f>
        <v>0</v>
      </c>
      <c r="S458" s="876">
        <v>0</v>
      </c>
      <c r="T458" s="876">
        <v>0</v>
      </c>
      <c r="U458" s="878">
        <f>V458+W458</f>
        <v>0</v>
      </c>
      <c r="V458" s="876">
        <v>0</v>
      </c>
      <c r="W458" s="876">
        <v>0</v>
      </c>
    </row>
    <row r="459" spans="1:23" ht="15.75" customHeight="1">
      <c r="A459" s="879"/>
      <c r="B459" s="880"/>
      <c r="C459" s="881"/>
      <c r="D459" s="882"/>
      <c r="E459" s="883"/>
      <c r="F459" s="883"/>
      <c r="G459" s="883"/>
      <c r="H459" s="355" t="s">
        <v>215</v>
      </c>
      <c r="I459" s="355" t="s">
        <v>215</v>
      </c>
      <c r="J459" s="878"/>
      <c r="K459" s="878"/>
      <c r="L459" s="876"/>
      <c r="M459" s="876"/>
      <c r="N459" s="878"/>
      <c r="O459" s="878"/>
      <c r="P459" s="876"/>
      <c r="Q459" s="876"/>
      <c r="R459" s="878"/>
      <c r="S459" s="876"/>
      <c r="T459" s="876"/>
      <c r="U459" s="878"/>
      <c r="V459" s="876"/>
      <c r="W459" s="876"/>
    </row>
    <row r="460" spans="1:23" ht="15.75" customHeight="1">
      <c r="A460" s="879"/>
      <c r="B460" s="880"/>
      <c r="C460" s="881"/>
      <c r="D460" s="882"/>
      <c r="E460" s="883"/>
      <c r="F460" s="883"/>
      <c r="G460" s="883"/>
      <c r="H460" s="355" t="s">
        <v>215</v>
      </c>
      <c r="I460" s="355" t="s">
        <v>215</v>
      </c>
      <c r="J460" s="878"/>
      <c r="K460" s="878"/>
      <c r="L460" s="876"/>
      <c r="M460" s="876"/>
      <c r="N460" s="878"/>
      <c r="O460" s="878"/>
      <c r="P460" s="876"/>
      <c r="Q460" s="876"/>
      <c r="R460" s="878"/>
      <c r="S460" s="876"/>
      <c r="T460" s="876"/>
      <c r="U460" s="878"/>
      <c r="V460" s="876"/>
      <c r="W460" s="876"/>
    </row>
    <row r="461" spans="1:23" ht="15.75" customHeight="1">
      <c r="A461" s="879"/>
      <c r="B461" s="880"/>
      <c r="C461" s="881"/>
      <c r="D461" s="882"/>
      <c r="E461" s="883"/>
      <c r="F461" s="883"/>
      <c r="G461" s="883"/>
      <c r="H461" s="355" t="s">
        <v>215</v>
      </c>
      <c r="I461" s="355" t="s">
        <v>215</v>
      </c>
      <c r="J461" s="878"/>
      <c r="K461" s="878"/>
      <c r="L461" s="876"/>
      <c r="M461" s="876"/>
      <c r="N461" s="878"/>
      <c r="O461" s="878"/>
      <c r="P461" s="876"/>
      <c r="Q461" s="876"/>
      <c r="R461" s="878"/>
      <c r="S461" s="876"/>
      <c r="T461" s="876"/>
      <c r="U461" s="878"/>
      <c r="V461" s="876"/>
      <c r="W461" s="876"/>
    </row>
    <row r="462" spans="1:23" ht="15.75" customHeight="1">
      <c r="A462" s="879"/>
      <c r="B462" s="880"/>
      <c r="C462" s="881"/>
      <c r="D462" s="882"/>
      <c r="E462" s="883"/>
      <c r="F462" s="883"/>
      <c r="G462" s="883"/>
      <c r="H462" s="355" t="s">
        <v>215</v>
      </c>
      <c r="I462" s="355" t="s">
        <v>215</v>
      </c>
      <c r="J462" s="878"/>
      <c r="K462" s="878"/>
      <c r="L462" s="876"/>
      <c r="M462" s="876"/>
      <c r="N462" s="878"/>
      <c r="O462" s="878"/>
      <c r="P462" s="876"/>
      <c r="Q462" s="876"/>
      <c r="R462" s="878"/>
      <c r="S462" s="876"/>
      <c r="T462" s="876"/>
      <c r="U462" s="878"/>
      <c r="V462" s="876"/>
      <c r="W462" s="876"/>
    </row>
    <row r="463" spans="1:23" s="367" customFormat="1" ht="14.25" customHeight="1">
      <c r="A463" s="877" t="s">
        <v>892</v>
      </c>
      <c r="B463" s="877"/>
      <c r="C463" s="877"/>
      <c r="D463" s="877"/>
      <c r="E463" s="877"/>
      <c r="F463" s="877"/>
      <c r="G463" s="877"/>
      <c r="H463" s="355" t="s">
        <v>215</v>
      </c>
      <c r="I463" s="355" t="s">
        <v>215</v>
      </c>
      <c r="J463" s="874">
        <f>SUM(J353:J462)</f>
        <v>37060541</v>
      </c>
      <c r="K463" s="874">
        <f aca="true" t="shared" si="4" ref="K463:W463">SUM(K353:K462)</f>
        <v>0</v>
      </c>
      <c r="L463" s="874">
        <f t="shared" si="4"/>
        <v>0</v>
      </c>
      <c r="M463" s="874">
        <f t="shared" si="4"/>
        <v>0</v>
      </c>
      <c r="N463" s="874">
        <f t="shared" si="4"/>
        <v>37060541</v>
      </c>
      <c r="O463" s="874">
        <f t="shared" si="4"/>
        <v>37060541</v>
      </c>
      <c r="P463" s="874">
        <f t="shared" si="4"/>
        <v>19417910</v>
      </c>
      <c r="Q463" s="874">
        <f t="shared" si="4"/>
        <v>17642631</v>
      </c>
      <c r="R463" s="874">
        <f t="shared" si="4"/>
        <v>0</v>
      </c>
      <c r="S463" s="874">
        <f t="shared" si="4"/>
        <v>0</v>
      </c>
      <c r="T463" s="874">
        <f t="shared" si="4"/>
        <v>0</v>
      </c>
      <c r="U463" s="874">
        <f t="shared" si="4"/>
        <v>0</v>
      </c>
      <c r="V463" s="874">
        <f t="shared" si="4"/>
        <v>0</v>
      </c>
      <c r="W463" s="874">
        <f t="shared" si="4"/>
        <v>0</v>
      </c>
    </row>
    <row r="464" spans="1:23" s="368" customFormat="1" ht="14.25" customHeight="1">
      <c r="A464" s="877"/>
      <c r="B464" s="877"/>
      <c r="C464" s="877"/>
      <c r="D464" s="877"/>
      <c r="E464" s="877"/>
      <c r="F464" s="877"/>
      <c r="G464" s="877"/>
      <c r="H464" s="355" t="s">
        <v>215</v>
      </c>
      <c r="I464" s="355" t="s">
        <v>215</v>
      </c>
      <c r="J464" s="874"/>
      <c r="K464" s="874"/>
      <c r="L464" s="874"/>
      <c r="M464" s="874"/>
      <c r="N464" s="874"/>
      <c r="O464" s="874"/>
      <c r="P464" s="874"/>
      <c r="Q464" s="874"/>
      <c r="R464" s="874"/>
      <c r="S464" s="874"/>
      <c r="T464" s="874"/>
      <c r="U464" s="874"/>
      <c r="V464" s="874"/>
      <c r="W464" s="874"/>
    </row>
    <row r="465" spans="1:23" s="368" customFormat="1" ht="14.25" customHeight="1">
      <c r="A465" s="877"/>
      <c r="B465" s="877"/>
      <c r="C465" s="877"/>
      <c r="D465" s="877"/>
      <c r="E465" s="877"/>
      <c r="F465" s="877"/>
      <c r="G465" s="877"/>
      <c r="H465" s="355" t="s">
        <v>215</v>
      </c>
      <c r="I465" s="355" t="s">
        <v>215</v>
      </c>
      <c r="J465" s="874"/>
      <c r="K465" s="874"/>
      <c r="L465" s="874"/>
      <c r="M465" s="874"/>
      <c r="N465" s="874"/>
      <c r="O465" s="874"/>
      <c r="P465" s="874"/>
      <c r="Q465" s="874"/>
      <c r="R465" s="874"/>
      <c r="S465" s="874"/>
      <c r="T465" s="874"/>
      <c r="U465" s="874"/>
      <c r="V465" s="874"/>
      <c r="W465" s="874"/>
    </row>
    <row r="466" spans="1:23" s="368" customFormat="1" ht="14.25" customHeight="1">
      <c r="A466" s="877"/>
      <c r="B466" s="877"/>
      <c r="C466" s="877"/>
      <c r="D466" s="877"/>
      <c r="E466" s="877"/>
      <c r="F466" s="877"/>
      <c r="G466" s="877"/>
      <c r="H466" s="355" t="s">
        <v>215</v>
      </c>
      <c r="I466" s="355" t="s">
        <v>215</v>
      </c>
      <c r="J466" s="874"/>
      <c r="K466" s="874"/>
      <c r="L466" s="874"/>
      <c r="M466" s="874"/>
      <c r="N466" s="874"/>
      <c r="O466" s="874"/>
      <c r="P466" s="874"/>
      <c r="Q466" s="874"/>
      <c r="R466" s="874"/>
      <c r="S466" s="874"/>
      <c r="T466" s="874"/>
      <c r="U466" s="874"/>
      <c r="V466" s="874"/>
      <c r="W466" s="874"/>
    </row>
    <row r="467" spans="1:23" s="368" customFormat="1" ht="14.25" customHeight="1">
      <c r="A467" s="877"/>
      <c r="B467" s="877"/>
      <c r="C467" s="877"/>
      <c r="D467" s="877"/>
      <c r="E467" s="877"/>
      <c r="F467" s="877"/>
      <c r="G467" s="877"/>
      <c r="H467" s="355" t="s">
        <v>215</v>
      </c>
      <c r="I467" s="355" t="s">
        <v>215</v>
      </c>
      <c r="J467" s="874"/>
      <c r="K467" s="874"/>
      <c r="L467" s="874"/>
      <c r="M467" s="874"/>
      <c r="N467" s="874"/>
      <c r="O467" s="874"/>
      <c r="P467" s="874"/>
      <c r="Q467" s="874"/>
      <c r="R467" s="874"/>
      <c r="S467" s="874"/>
      <c r="T467" s="874"/>
      <c r="U467" s="874"/>
      <c r="V467" s="874"/>
      <c r="W467" s="874"/>
    </row>
    <row r="468" spans="1:23" s="370" customFormat="1" ht="19.5" customHeight="1">
      <c r="A468" s="875" t="s">
        <v>664</v>
      </c>
      <c r="B468" s="875"/>
      <c r="C468" s="875"/>
      <c r="D468" s="875"/>
      <c r="E468" s="875"/>
      <c r="F468" s="875"/>
      <c r="G468" s="875"/>
      <c r="H468" s="369">
        <f aca="true" t="shared" si="5" ref="H468:I472">H345+H317</f>
        <v>1306020715</v>
      </c>
      <c r="I468" s="369">
        <f t="shared" si="5"/>
        <v>436383335</v>
      </c>
      <c r="J468" s="873">
        <f aca="true" t="shared" si="6" ref="J468:W468">J463+J345+J317</f>
        <v>424100099</v>
      </c>
      <c r="K468" s="873">
        <f t="shared" si="6"/>
        <v>313956687</v>
      </c>
      <c r="L468" s="873">
        <f t="shared" si="6"/>
        <v>93033445</v>
      </c>
      <c r="M468" s="873">
        <f t="shared" si="6"/>
        <v>220923242</v>
      </c>
      <c r="N468" s="873">
        <f t="shared" si="6"/>
        <v>110143412</v>
      </c>
      <c r="O468" s="873">
        <f t="shared" si="6"/>
        <v>40767958</v>
      </c>
      <c r="P468" s="873">
        <f t="shared" si="6"/>
        <v>22391081</v>
      </c>
      <c r="Q468" s="873">
        <f t="shared" si="6"/>
        <v>18376877</v>
      </c>
      <c r="R468" s="873">
        <f t="shared" si="6"/>
        <v>52103624</v>
      </c>
      <c r="S468" s="873">
        <f t="shared" si="6"/>
        <v>9976777</v>
      </c>
      <c r="T468" s="873">
        <f t="shared" si="6"/>
        <v>42126847</v>
      </c>
      <c r="U468" s="873">
        <f t="shared" si="6"/>
        <v>17271830</v>
      </c>
      <c r="V468" s="873">
        <f t="shared" si="6"/>
        <v>606195</v>
      </c>
      <c r="W468" s="873">
        <f t="shared" si="6"/>
        <v>16665635</v>
      </c>
    </row>
    <row r="469" spans="1:23" s="371" customFormat="1" ht="19.5" customHeight="1">
      <c r="A469" s="875"/>
      <c r="B469" s="875"/>
      <c r="C469" s="875"/>
      <c r="D469" s="875"/>
      <c r="E469" s="875"/>
      <c r="F469" s="875"/>
      <c r="G469" s="875"/>
      <c r="H469" s="369">
        <f t="shared" si="5"/>
        <v>1090106529</v>
      </c>
      <c r="I469" s="369">
        <f t="shared" si="5"/>
        <v>347798943</v>
      </c>
      <c r="J469" s="873"/>
      <c r="K469" s="873"/>
      <c r="L469" s="873"/>
      <c r="M469" s="873"/>
      <c r="N469" s="873"/>
      <c r="O469" s="873"/>
      <c r="P469" s="873"/>
      <c r="Q469" s="873"/>
      <c r="R469" s="873"/>
      <c r="S469" s="873"/>
      <c r="T469" s="873"/>
      <c r="U469" s="873"/>
      <c r="V469" s="873"/>
      <c r="W469" s="873"/>
    </row>
    <row r="470" spans="1:23" s="371" customFormat="1" ht="19.5" customHeight="1">
      <c r="A470" s="875"/>
      <c r="B470" s="875"/>
      <c r="C470" s="875"/>
      <c r="D470" s="875"/>
      <c r="E470" s="875"/>
      <c r="F470" s="875"/>
      <c r="G470" s="875"/>
      <c r="H470" s="369">
        <f t="shared" si="5"/>
        <v>12567982</v>
      </c>
      <c r="I470" s="369">
        <f t="shared" si="5"/>
        <v>5996506</v>
      </c>
      <c r="J470" s="873"/>
      <c r="K470" s="873"/>
      <c r="L470" s="873"/>
      <c r="M470" s="873"/>
      <c r="N470" s="873"/>
      <c r="O470" s="873"/>
      <c r="P470" s="873"/>
      <c r="Q470" s="873"/>
      <c r="R470" s="873"/>
      <c r="S470" s="873"/>
      <c r="T470" s="873"/>
      <c r="U470" s="873"/>
      <c r="V470" s="873"/>
      <c r="W470" s="873"/>
    </row>
    <row r="471" spans="1:23" s="371" customFormat="1" ht="19.5" customHeight="1">
      <c r="A471" s="875"/>
      <c r="B471" s="875"/>
      <c r="C471" s="875"/>
      <c r="D471" s="875"/>
      <c r="E471" s="875"/>
      <c r="F471" s="875"/>
      <c r="G471" s="875"/>
      <c r="H471" s="369">
        <f t="shared" si="5"/>
        <v>181129507</v>
      </c>
      <c r="I471" s="369">
        <f t="shared" si="5"/>
        <v>79054589</v>
      </c>
      <c r="J471" s="873"/>
      <c r="K471" s="873"/>
      <c r="L471" s="873"/>
      <c r="M471" s="873"/>
      <c r="N471" s="873"/>
      <c r="O471" s="873"/>
      <c r="P471" s="873"/>
      <c r="Q471" s="873"/>
      <c r="R471" s="873"/>
      <c r="S471" s="873"/>
      <c r="T471" s="873"/>
      <c r="U471" s="873"/>
      <c r="V471" s="873"/>
      <c r="W471" s="873"/>
    </row>
    <row r="472" spans="1:23" s="371" customFormat="1" ht="19.5" customHeight="1">
      <c r="A472" s="875"/>
      <c r="B472" s="875"/>
      <c r="C472" s="875"/>
      <c r="D472" s="875"/>
      <c r="E472" s="875"/>
      <c r="F472" s="875"/>
      <c r="G472" s="875"/>
      <c r="H472" s="369">
        <f t="shared" si="5"/>
        <v>22216697</v>
      </c>
      <c r="I472" s="369">
        <f t="shared" si="5"/>
        <v>3533297</v>
      </c>
      <c r="J472" s="873"/>
      <c r="K472" s="873"/>
      <c r="L472" s="873"/>
      <c r="M472" s="873"/>
      <c r="N472" s="873"/>
      <c r="O472" s="873"/>
      <c r="P472" s="873"/>
      <c r="Q472" s="873"/>
      <c r="R472" s="873"/>
      <c r="S472" s="873"/>
      <c r="T472" s="873"/>
      <c r="U472" s="873"/>
      <c r="V472" s="873"/>
      <c r="W472" s="873"/>
    </row>
  </sheetData>
  <sheetProtection password="C25B" sheet="1"/>
  <mergeCells count="1904">
    <mergeCell ref="A5:W5"/>
    <mergeCell ref="A7:A12"/>
    <mergeCell ref="B7:B12"/>
    <mergeCell ref="C7:C12"/>
    <mergeCell ref="D7:D12"/>
    <mergeCell ref="E7:E12"/>
    <mergeCell ref="K9:M10"/>
    <mergeCell ref="N9:N12"/>
    <mergeCell ref="O9:W9"/>
    <mergeCell ref="O10:Q10"/>
    <mergeCell ref="H7:H8"/>
    <mergeCell ref="I7:I8"/>
    <mergeCell ref="K11:K12"/>
    <mergeCell ref="L11:L12"/>
    <mergeCell ref="R10:T10"/>
    <mergeCell ref="U10:W10"/>
    <mergeCell ref="T11:T12"/>
    <mergeCell ref="U11:U12"/>
    <mergeCell ref="V11:V12"/>
    <mergeCell ref="W11:W12"/>
    <mergeCell ref="R11:R12"/>
    <mergeCell ref="S11:S12"/>
    <mergeCell ref="A14:W14"/>
    <mergeCell ref="A15:W15"/>
    <mergeCell ref="M11:M12"/>
    <mergeCell ref="O11:O12"/>
    <mergeCell ref="P11:P12"/>
    <mergeCell ref="Q11:Q12"/>
    <mergeCell ref="F7:F12"/>
    <mergeCell ref="G7:G12"/>
    <mergeCell ref="J7:W8"/>
    <mergeCell ref="J9:J12"/>
    <mergeCell ref="A16:W16"/>
    <mergeCell ref="A17:A21"/>
    <mergeCell ref="B17:B21"/>
    <mergeCell ref="C17:C21"/>
    <mergeCell ref="D17:D21"/>
    <mergeCell ref="E17:E21"/>
    <mergeCell ref="F17:F21"/>
    <mergeCell ref="G17:G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T17:T21"/>
    <mergeCell ref="U17:U21"/>
    <mergeCell ref="V17:V21"/>
    <mergeCell ref="W17:W21"/>
    <mergeCell ref="A22:A26"/>
    <mergeCell ref="B22:B26"/>
    <mergeCell ref="C22:C26"/>
    <mergeCell ref="D22:D26"/>
    <mergeCell ref="E22:E26"/>
    <mergeCell ref="F22:F26"/>
    <mergeCell ref="G22:G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W22:W26"/>
    <mergeCell ref="A27:A31"/>
    <mergeCell ref="B27:B31"/>
    <mergeCell ref="C27:C31"/>
    <mergeCell ref="D27:D31"/>
    <mergeCell ref="E27:E31"/>
    <mergeCell ref="F27:F31"/>
    <mergeCell ref="G27:G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V27:V31"/>
    <mergeCell ref="W27:W31"/>
    <mergeCell ref="A32:A36"/>
    <mergeCell ref="B32:B36"/>
    <mergeCell ref="C32:C36"/>
    <mergeCell ref="D32:D36"/>
    <mergeCell ref="E32:E36"/>
    <mergeCell ref="F32:F36"/>
    <mergeCell ref="G32:G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W32:W36"/>
    <mergeCell ref="A37:A41"/>
    <mergeCell ref="B37:B41"/>
    <mergeCell ref="C37:C41"/>
    <mergeCell ref="D37:D41"/>
    <mergeCell ref="E37:E41"/>
    <mergeCell ref="F37:F41"/>
    <mergeCell ref="G37:G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A42:A46"/>
    <mergeCell ref="B42:B46"/>
    <mergeCell ref="C42:C46"/>
    <mergeCell ref="D42:D46"/>
    <mergeCell ref="E42:E46"/>
    <mergeCell ref="F42:F46"/>
    <mergeCell ref="G42:G46"/>
    <mergeCell ref="J42:J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W42:W46"/>
    <mergeCell ref="A47:A51"/>
    <mergeCell ref="B47:B51"/>
    <mergeCell ref="C47:C51"/>
    <mergeCell ref="D47:D51"/>
    <mergeCell ref="E47:E51"/>
    <mergeCell ref="F47:F51"/>
    <mergeCell ref="G47:G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W47:W51"/>
    <mergeCell ref="A52:A56"/>
    <mergeCell ref="B52:B56"/>
    <mergeCell ref="C52:C56"/>
    <mergeCell ref="D52:D56"/>
    <mergeCell ref="E52:E56"/>
    <mergeCell ref="F52:F56"/>
    <mergeCell ref="G52:G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W52:W56"/>
    <mergeCell ref="A57:A61"/>
    <mergeCell ref="B57:B61"/>
    <mergeCell ref="C57:C61"/>
    <mergeCell ref="D57:D61"/>
    <mergeCell ref="E57:E61"/>
    <mergeCell ref="F57:F61"/>
    <mergeCell ref="G57:G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  <mergeCell ref="V57:V61"/>
    <mergeCell ref="W57:W61"/>
    <mergeCell ref="A62:A66"/>
    <mergeCell ref="B62:B66"/>
    <mergeCell ref="C62:C66"/>
    <mergeCell ref="D62:D66"/>
    <mergeCell ref="E62:E66"/>
    <mergeCell ref="F62:F66"/>
    <mergeCell ref="G62:G66"/>
    <mergeCell ref="J62:J66"/>
    <mergeCell ref="K62:K66"/>
    <mergeCell ref="L62:L66"/>
    <mergeCell ref="M62:M66"/>
    <mergeCell ref="N62:N66"/>
    <mergeCell ref="O62:O66"/>
    <mergeCell ref="P62:P66"/>
    <mergeCell ref="Q62:Q66"/>
    <mergeCell ref="R62:R66"/>
    <mergeCell ref="S62:S66"/>
    <mergeCell ref="T62:T66"/>
    <mergeCell ref="U62:U66"/>
    <mergeCell ref="V62:V66"/>
    <mergeCell ref="W62:W66"/>
    <mergeCell ref="A67:A71"/>
    <mergeCell ref="B67:B71"/>
    <mergeCell ref="C67:C71"/>
    <mergeCell ref="D67:D71"/>
    <mergeCell ref="E67:E71"/>
    <mergeCell ref="F67:F71"/>
    <mergeCell ref="G67:G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W67:W71"/>
    <mergeCell ref="A72:A76"/>
    <mergeCell ref="B72:B76"/>
    <mergeCell ref="C72:C76"/>
    <mergeCell ref="D72:D76"/>
    <mergeCell ref="E72:E76"/>
    <mergeCell ref="F72:F76"/>
    <mergeCell ref="G72:G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U72:U76"/>
    <mergeCell ref="V72:V76"/>
    <mergeCell ref="W72:W76"/>
    <mergeCell ref="A77:A81"/>
    <mergeCell ref="B77:B81"/>
    <mergeCell ref="C77:C81"/>
    <mergeCell ref="D77:D81"/>
    <mergeCell ref="E77:E81"/>
    <mergeCell ref="F77:F81"/>
    <mergeCell ref="G77:G81"/>
    <mergeCell ref="J77:J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T77:T81"/>
    <mergeCell ref="U77:U81"/>
    <mergeCell ref="V77:V81"/>
    <mergeCell ref="W77:W81"/>
    <mergeCell ref="A82:A86"/>
    <mergeCell ref="B82:B86"/>
    <mergeCell ref="C82:C86"/>
    <mergeCell ref="D82:D86"/>
    <mergeCell ref="E82:E86"/>
    <mergeCell ref="F82:F86"/>
    <mergeCell ref="G82:G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W82:W86"/>
    <mergeCell ref="A87:A91"/>
    <mergeCell ref="B87:B91"/>
    <mergeCell ref="C87:C91"/>
    <mergeCell ref="D87:D91"/>
    <mergeCell ref="E87:E91"/>
    <mergeCell ref="F87:F91"/>
    <mergeCell ref="G87:G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W87:W91"/>
    <mergeCell ref="A92:A96"/>
    <mergeCell ref="B92:B96"/>
    <mergeCell ref="C92:C96"/>
    <mergeCell ref="D92:D96"/>
    <mergeCell ref="E92:E96"/>
    <mergeCell ref="F92:F96"/>
    <mergeCell ref="G92:G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W92:W96"/>
    <mergeCell ref="A97:A101"/>
    <mergeCell ref="B97:B101"/>
    <mergeCell ref="C97:C101"/>
    <mergeCell ref="D97:D101"/>
    <mergeCell ref="E97:E101"/>
    <mergeCell ref="F97:F101"/>
    <mergeCell ref="G97:G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W97:W101"/>
    <mergeCell ref="A102:A106"/>
    <mergeCell ref="B102:B106"/>
    <mergeCell ref="C102:C106"/>
    <mergeCell ref="D102:D106"/>
    <mergeCell ref="E102:E106"/>
    <mergeCell ref="F102:F106"/>
    <mergeCell ref="G102:G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W102:W106"/>
    <mergeCell ref="A107:A111"/>
    <mergeCell ref="B107:B111"/>
    <mergeCell ref="C107:C111"/>
    <mergeCell ref="D107:D111"/>
    <mergeCell ref="E107:E111"/>
    <mergeCell ref="F107:F111"/>
    <mergeCell ref="G107:G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W107:W111"/>
    <mergeCell ref="A112:A116"/>
    <mergeCell ref="B112:B116"/>
    <mergeCell ref="C112:C116"/>
    <mergeCell ref="D112:D116"/>
    <mergeCell ref="E112:E116"/>
    <mergeCell ref="F112:F116"/>
    <mergeCell ref="G112:G116"/>
    <mergeCell ref="J112:J116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S112:S116"/>
    <mergeCell ref="T112:T116"/>
    <mergeCell ref="U112:U116"/>
    <mergeCell ref="V112:V116"/>
    <mergeCell ref="W112:W116"/>
    <mergeCell ref="A117:A121"/>
    <mergeCell ref="B117:B121"/>
    <mergeCell ref="C117:C121"/>
    <mergeCell ref="D117:D121"/>
    <mergeCell ref="E117:E121"/>
    <mergeCell ref="F117:F121"/>
    <mergeCell ref="G117:G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R117:R121"/>
    <mergeCell ref="S117:S121"/>
    <mergeCell ref="T117:T121"/>
    <mergeCell ref="U117:U121"/>
    <mergeCell ref="V117:V121"/>
    <mergeCell ref="W117:W121"/>
    <mergeCell ref="A122:A126"/>
    <mergeCell ref="B122:B126"/>
    <mergeCell ref="C122:C126"/>
    <mergeCell ref="D122:D126"/>
    <mergeCell ref="E122:E126"/>
    <mergeCell ref="F122:F126"/>
    <mergeCell ref="G122:G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W122:W126"/>
    <mergeCell ref="A127:A131"/>
    <mergeCell ref="B127:B131"/>
    <mergeCell ref="C127:C131"/>
    <mergeCell ref="D127:D131"/>
    <mergeCell ref="E127:E131"/>
    <mergeCell ref="F127:F131"/>
    <mergeCell ref="G127:G131"/>
    <mergeCell ref="J127:J131"/>
    <mergeCell ref="K127:K131"/>
    <mergeCell ref="L127:L131"/>
    <mergeCell ref="M127:M131"/>
    <mergeCell ref="N127:N131"/>
    <mergeCell ref="O127:O131"/>
    <mergeCell ref="P127:P131"/>
    <mergeCell ref="Q127:Q131"/>
    <mergeCell ref="R127:R131"/>
    <mergeCell ref="S127:S131"/>
    <mergeCell ref="T127:T131"/>
    <mergeCell ref="U127:U131"/>
    <mergeCell ref="V127:V131"/>
    <mergeCell ref="W127:W131"/>
    <mergeCell ref="A132:A136"/>
    <mergeCell ref="B132:B136"/>
    <mergeCell ref="C132:C136"/>
    <mergeCell ref="D132:D136"/>
    <mergeCell ref="E132:E136"/>
    <mergeCell ref="F132:F136"/>
    <mergeCell ref="G132:G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R132:R136"/>
    <mergeCell ref="S132:S136"/>
    <mergeCell ref="T132:T136"/>
    <mergeCell ref="U132:U136"/>
    <mergeCell ref="V132:V136"/>
    <mergeCell ref="W132:W136"/>
    <mergeCell ref="A137:A141"/>
    <mergeCell ref="B137:B141"/>
    <mergeCell ref="C137:C141"/>
    <mergeCell ref="D137:D141"/>
    <mergeCell ref="E137:E141"/>
    <mergeCell ref="F137:F141"/>
    <mergeCell ref="G137:G141"/>
    <mergeCell ref="J137:J141"/>
    <mergeCell ref="K137:K141"/>
    <mergeCell ref="L137:L141"/>
    <mergeCell ref="M137:M141"/>
    <mergeCell ref="N137:N141"/>
    <mergeCell ref="O137:O141"/>
    <mergeCell ref="P137:P141"/>
    <mergeCell ref="Q137:Q141"/>
    <mergeCell ref="R137:R141"/>
    <mergeCell ref="S137:S141"/>
    <mergeCell ref="T137:T141"/>
    <mergeCell ref="U137:U141"/>
    <mergeCell ref="V137:V141"/>
    <mergeCell ref="W137:W141"/>
    <mergeCell ref="A142:A146"/>
    <mergeCell ref="B142:B146"/>
    <mergeCell ref="C142:C146"/>
    <mergeCell ref="D142:D146"/>
    <mergeCell ref="E142:E146"/>
    <mergeCell ref="F142:F146"/>
    <mergeCell ref="G142:G146"/>
    <mergeCell ref="J142:J146"/>
    <mergeCell ref="K142:K146"/>
    <mergeCell ref="L142:L146"/>
    <mergeCell ref="M142:M146"/>
    <mergeCell ref="N142:N146"/>
    <mergeCell ref="O142:O146"/>
    <mergeCell ref="P142:P146"/>
    <mergeCell ref="Q142:Q146"/>
    <mergeCell ref="R142:R146"/>
    <mergeCell ref="S142:S146"/>
    <mergeCell ref="T142:T146"/>
    <mergeCell ref="U142:U146"/>
    <mergeCell ref="V142:V146"/>
    <mergeCell ref="W142:W146"/>
    <mergeCell ref="A147:A151"/>
    <mergeCell ref="B147:B151"/>
    <mergeCell ref="C147:C151"/>
    <mergeCell ref="D147:D151"/>
    <mergeCell ref="E147:E151"/>
    <mergeCell ref="F147:F151"/>
    <mergeCell ref="G147:G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R147:R151"/>
    <mergeCell ref="S147:S151"/>
    <mergeCell ref="T147:T151"/>
    <mergeCell ref="U147:U151"/>
    <mergeCell ref="V147:V151"/>
    <mergeCell ref="W147:W151"/>
    <mergeCell ref="A152:A156"/>
    <mergeCell ref="B152:B156"/>
    <mergeCell ref="C152:C156"/>
    <mergeCell ref="D152:D156"/>
    <mergeCell ref="E152:E156"/>
    <mergeCell ref="F152:F156"/>
    <mergeCell ref="G152:G156"/>
    <mergeCell ref="J152:J156"/>
    <mergeCell ref="K152:K156"/>
    <mergeCell ref="L152:L156"/>
    <mergeCell ref="M152:M156"/>
    <mergeCell ref="N152:N156"/>
    <mergeCell ref="O152:O156"/>
    <mergeCell ref="P152:P156"/>
    <mergeCell ref="Q152:Q156"/>
    <mergeCell ref="R152:R156"/>
    <mergeCell ref="S152:S156"/>
    <mergeCell ref="T152:T156"/>
    <mergeCell ref="U152:U156"/>
    <mergeCell ref="V152:V156"/>
    <mergeCell ref="W152:W156"/>
    <mergeCell ref="A157:A161"/>
    <mergeCell ref="B157:B161"/>
    <mergeCell ref="C157:C161"/>
    <mergeCell ref="D157:D161"/>
    <mergeCell ref="E157:E161"/>
    <mergeCell ref="F157:F161"/>
    <mergeCell ref="G157:G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R157:R161"/>
    <mergeCell ref="S157:S161"/>
    <mergeCell ref="T157:T161"/>
    <mergeCell ref="U157:U161"/>
    <mergeCell ref="V157:V161"/>
    <mergeCell ref="W157:W161"/>
    <mergeCell ref="A162:A166"/>
    <mergeCell ref="B162:B166"/>
    <mergeCell ref="C162:C166"/>
    <mergeCell ref="D162:D166"/>
    <mergeCell ref="E162:E166"/>
    <mergeCell ref="F162:F166"/>
    <mergeCell ref="G162:G166"/>
    <mergeCell ref="J162:J166"/>
    <mergeCell ref="K162:K166"/>
    <mergeCell ref="L162:L166"/>
    <mergeCell ref="M162:M166"/>
    <mergeCell ref="N162:N166"/>
    <mergeCell ref="O162:O166"/>
    <mergeCell ref="P162:P166"/>
    <mergeCell ref="Q162:Q166"/>
    <mergeCell ref="R162:R166"/>
    <mergeCell ref="S162:S166"/>
    <mergeCell ref="T162:T166"/>
    <mergeCell ref="U162:U166"/>
    <mergeCell ref="V162:V166"/>
    <mergeCell ref="W162:W166"/>
    <mergeCell ref="A167:A171"/>
    <mergeCell ref="B167:B171"/>
    <mergeCell ref="C167:C171"/>
    <mergeCell ref="D167:D171"/>
    <mergeCell ref="E167:E171"/>
    <mergeCell ref="F167:F171"/>
    <mergeCell ref="G167:G171"/>
    <mergeCell ref="J167:J171"/>
    <mergeCell ref="K167:K171"/>
    <mergeCell ref="L167:L171"/>
    <mergeCell ref="M167:M171"/>
    <mergeCell ref="N167:N171"/>
    <mergeCell ref="O167:O171"/>
    <mergeCell ref="P167:P171"/>
    <mergeCell ref="Q167:Q171"/>
    <mergeCell ref="R167:R171"/>
    <mergeCell ref="S167:S171"/>
    <mergeCell ref="T167:T171"/>
    <mergeCell ref="U167:U171"/>
    <mergeCell ref="V167:V171"/>
    <mergeCell ref="W167:W171"/>
    <mergeCell ref="A172:A176"/>
    <mergeCell ref="B172:B176"/>
    <mergeCell ref="C172:C176"/>
    <mergeCell ref="D172:D176"/>
    <mergeCell ref="E172:E176"/>
    <mergeCell ref="F172:F176"/>
    <mergeCell ref="G172:G176"/>
    <mergeCell ref="J172:J176"/>
    <mergeCell ref="K172:K176"/>
    <mergeCell ref="L172:L176"/>
    <mergeCell ref="M172:M176"/>
    <mergeCell ref="N172:N176"/>
    <mergeCell ref="O172:O176"/>
    <mergeCell ref="P172:P176"/>
    <mergeCell ref="Q172:Q176"/>
    <mergeCell ref="R172:R176"/>
    <mergeCell ref="S172:S176"/>
    <mergeCell ref="T172:T176"/>
    <mergeCell ref="U172:U176"/>
    <mergeCell ref="V172:V176"/>
    <mergeCell ref="W172:W176"/>
    <mergeCell ref="A177:A181"/>
    <mergeCell ref="B177:B181"/>
    <mergeCell ref="C177:C181"/>
    <mergeCell ref="D177:D181"/>
    <mergeCell ref="E177:E181"/>
    <mergeCell ref="F177:F181"/>
    <mergeCell ref="G177:G181"/>
    <mergeCell ref="J177:J181"/>
    <mergeCell ref="K177:K181"/>
    <mergeCell ref="L177:L181"/>
    <mergeCell ref="M177:M181"/>
    <mergeCell ref="N177:N181"/>
    <mergeCell ref="O177:O181"/>
    <mergeCell ref="P177:P181"/>
    <mergeCell ref="Q177:Q181"/>
    <mergeCell ref="R177:R181"/>
    <mergeCell ref="S177:S181"/>
    <mergeCell ref="T177:T181"/>
    <mergeCell ref="U177:U181"/>
    <mergeCell ref="V177:V181"/>
    <mergeCell ref="W177:W181"/>
    <mergeCell ref="A182:A186"/>
    <mergeCell ref="B182:B186"/>
    <mergeCell ref="C182:C186"/>
    <mergeCell ref="D182:D186"/>
    <mergeCell ref="E182:E186"/>
    <mergeCell ref="F182:F186"/>
    <mergeCell ref="G182:G186"/>
    <mergeCell ref="J182:J186"/>
    <mergeCell ref="K182:K186"/>
    <mergeCell ref="L182:L186"/>
    <mergeCell ref="M182:M186"/>
    <mergeCell ref="N182:N186"/>
    <mergeCell ref="O182:O186"/>
    <mergeCell ref="P182:P186"/>
    <mergeCell ref="Q182:Q186"/>
    <mergeCell ref="R182:R186"/>
    <mergeCell ref="S182:S186"/>
    <mergeCell ref="T182:T186"/>
    <mergeCell ref="U182:U186"/>
    <mergeCell ref="V182:V186"/>
    <mergeCell ref="W182:W186"/>
    <mergeCell ref="A187:A191"/>
    <mergeCell ref="B187:B191"/>
    <mergeCell ref="C187:C191"/>
    <mergeCell ref="D187:D191"/>
    <mergeCell ref="E187:E191"/>
    <mergeCell ref="F187:F191"/>
    <mergeCell ref="G187:G191"/>
    <mergeCell ref="J187:J191"/>
    <mergeCell ref="K187:K191"/>
    <mergeCell ref="L187:L191"/>
    <mergeCell ref="M187:M191"/>
    <mergeCell ref="N187:N191"/>
    <mergeCell ref="O187:O191"/>
    <mergeCell ref="P187:P191"/>
    <mergeCell ref="Q187:Q191"/>
    <mergeCell ref="R187:R191"/>
    <mergeCell ref="S187:S191"/>
    <mergeCell ref="T187:T191"/>
    <mergeCell ref="U187:U191"/>
    <mergeCell ref="V187:V191"/>
    <mergeCell ref="W187:W191"/>
    <mergeCell ref="A192:A196"/>
    <mergeCell ref="B192:B196"/>
    <mergeCell ref="C192:C196"/>
    <mergeCell ref="D192:D196"/>
    <mergeCell ref="E192:E196"/>
    <mergeCell ref="F192:F196"/>
    <mergeCell ref="G192:G196"/>
    <mergeCell ref="J192:J196"/>
    <mergeCell ref="K192:K196"/>
    <mergeCell ref="L192:L196"/>
    <mergeCell ref="M192:M196"/>
    <mergeCell ref="N192:N196"/>
    <mergeCell ref="O192:O196"/>
    <mergeCell ref="P192:P196"/>
    <mergeCell ref="Q192:Q196"/>
    <mergeCell ref="R192:R196"/>
    <mergeCell ref="S192:S196"/>
    <mergeCell ref="T192:T196"/>
    <mergeCell ref="U192:U196"/>
    <mergeCell ref="V192:V196"/>
    <mergeCell ref="W192:W196"/>
    <mergeCell ref="A197:A201"/>
    <mergeCell ref="B197:B201"/>
    <mergeCell ref="C197:C201"/>
    <mergeCell ref="D197:D201"/>
    <mergeCell ref="E197:E201"/>
    <mergeCell ref="F197:F201"/>
    <mergeCell ref="G197:G201"/>
    <mergeCell ref="J197:J201"/>
    <mergeCell ref="K197:K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U197:U201"/>
    <mergeCell ref="V197:V201"/>
    <mergeCell ref="W197:W201"/>
    <mergeCell ref="A202:A206"/>
    <mergeCell ref="B202:B206"/>
    <mergeCell ref="C202:C206"/>
    <mergeCell ref="D202:D206"/>
    <mergeCell ref="E202:E206"/>
    <mergeCell ref="F202:F206"/>
    <mergeCell ref="G202:G206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R202:R206"/>
    <mergeCell ref="S202:S206"/>
    <mergeCell ref="T202:T206"/>
    <mergeCell ref="U202:U206"/>
    <mergeCell ref="V202:V206"/>
    <mergeCell ref="W202:W206"/>
    <mergeCell ref="A207:A211"/>
    <mergeCell ref="B207:B211"/>
    <mergeCell ref="C207:C211"/>
    <mergeCell ref="D207:D211"/>
    <mergeCell ref="E207:E211"/>
    <mergeCell ref="F207:F211"/>
    <mergeCell ref="G207:G211"/>
    <mergeCell ref="J207:J211"/>
    <mergeCell ref="K207:K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U207:U211"/>
    <mergeCell ref="V207:V211"/>
    <mergeCell ref="W207:W211"/>
    <mergeCell ref="A212:A216"/>
    <mergeCell ref="B212:B216"/>
    <mergeCell ref="C212:C216"/>
    <mergeCell ref="D212:D216"/>
    <mergeCell ref="E212:E216"/>
    <mergeCell ref="F212:F216"/>
    <mergeCell ref="G212:G216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R212:R216"/>
    <mergeCell ref="S212:S216"/>
    <mergeCell ref="T212:T216"/>
    <mergeCell ref="U212:U216"/>
    <mergeCell ref="V212:V216"/>
    <mergeCell ref="W212:W216"/>
    <mergeCell ref="A217:A221"/>
    <mergeCell ref="B217:B221"/>
    <mergeCell ref="C217:C221"/>
    <mergeCell ref="D217:D221"/>
    <mergeCell ref="E217:E221"/>
    <mergeCell ref="F217:F221"/>
    <mergeCell ref="G217:G221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R217:R221"/>
    <mergeCell ref="S217:S221"/>
    <mergeCell ref="T217:T221"/>
    <mergeCell ref="U217:U221"/>
    <mergeCell ref="V217:V221"/>
    <mergeCell ref="W217:W221"/>
    <mergeCell ref="A222:A226"/>
    <mergeCell ref="B222:B226"/>
    <mergeCell ref="C222:C226"/>
    <mergeCell ref="D222:D226"/>
    <mergeCell ref="E222:E226"/>
    <mergeCell ref="F222:F226"/>
    <mergeCell ref="G222:G226"/>
    <mergeCell ref="J222:J226"/>
    <mergeCell ref="K222:K226"/>
    <mergeCell ref="L222:L226"/>
    <mergeCell ref="M222:M226"/>
    <mergeCell ref="N222:N226"/>
    <mergeCell ref="O222:O226"/>
    <mergeCell ref="P222:P226"/>
    <mergeCell ref="Q222:Q226"/>
    <mergeCell ref="R222:R226"/>
    <mergeCell ref="S222:S226"/>
    <mergeCell ref="T222:T226"/>
    <mergeCell ref="U222:U226"/>
    <mergeCell ref="V222:V226"/>
    <mergeCell ref="W222:W226"/>
    <mergeCell ref="A227:A231"/>
    <mergeCell ref="B227:B231"/>
    <mergeCell ref="C227:C231"/>
    <mergeCell ref="D227:D231"/>
    <mergeCell ref="E227:E231"/>
    <mergeCell ref="F227:F231"/>
    <mergeCell ref="G227:G231"/>
    <mergeCell ref="J227:J231"/>
    <mergeCell ref="K227:K231"/>
    <mergeCell ref="L227:L231"/>
    <mergeCell ref="M227:M231"/>
    <mergeCell ref="N227:N231"/>
    <mergeCell ref="O227:O231"/>
    <mergeCell ref="P227:P231"/>
    <mergeCell ref="Q227:Q231"/>
    <mergeCell ref="R227:R231"/>
    <mergeCell ref="S227:S231"/>
    <mergeCell ref="T227:T231"/>
    <mergeCell ref="U227:U231"/>
    <mergeCell ref="V227:V231"/>
    <mergeCell ref="W227:W231"/>
    <mergeCell ref="A232:A236"/>
    <mergeCell ref="B232:B236"/>
    <mergeCell ref="C232:C236"/>
    <mergeCell ref="D232:D236"/>
    <mergeCell ref="E232:E236"/>
    <mergeCell ref="F232:F236"/>
    <mergeCell ref="G232:G236"/>
    <mergeCell ref="J232:J236"/>
    <mergeCell ref="K232:K236"/>
    <mergeCell ref="L232:L236"/>
    <mergeCell ref="M232:M236"/>
    <mergeCell ref="N232:N236"/>
    <mergeCell ref="O232:O236"/>
    <mergeCell ref="P232:P236"/>
    <mergeCell ref="Q232:Q236"/>
    <mergeCell ref="R232:R236"/>
    <mergeCell ref="S232:S236"/>
    <mergeCell ref="T232:T236"/>
    <mergeCell ref="U232:U236"/>
    <mergeCell ref="V232:V236"/>
    <mergeCell ref="W232:W236"/>
    <mergeCell ref="A237:A241"/>
    <mergeCell ref="B237:B241"/>
    <mergeCell ref="C237:C241"/>
    <mergeCell ref="D237:D241"/>
    <mergeCell ref="E237:E241"/>
    <mergeCell ref="F237:F241"/>
    <mergeCell ref="G237:G241"/>
    <mergeCell ref="J237:J241"/>
    <mergeCell ref="K237:K241"/>
    <mergeCell ref="L237:L241"/>
    <mergeCell ref="M237:M241"/>
    <mergeCell ref="N237:N241"/>
    <mergeCell ref="O237:O241"/>
    <mergeCell ref="P237:P241"/>
    <mergeCell ref="Q237:Q241"/>
    <mergeCell ref="R237:R241"/>
    <mergeCell ref="S237:S241"/>
    <mergeCell ref="T237:T241"/>
    <mergeCell ref="U237:U241"/>
    <mergeCell ref="V237:V241"/>
    <mergeCell ref="W237:W241"/>
    <mergeCell ref="A242:A246"/>
    <mergeCell ref="B242:B246"/>
    <mergeCell ref="C242:C246"/>
    <mergeCell ref="D242:D246"/>
    <mergeCell ref="E242:E246"/>
    <mergeCell ref="F242:F246"/>
    <mergeCell ref="G242:G246"/>
    <mergeCell ref="J242:J246"/>
    <mergeCell ref="K242:K246"/>
    <mergeCell ref="L242:L246"/>
    <mergeCell ref="M242:M246"/>
    <mergeCell ref="N242:N246"/>
    <mergeCell ref="O242:O246"/>
    <mergeCell ref="P242:P246"/>
    <mergeCell ref="Q242:Q246"/>
    <mergeCell ref="R242:R246"/>
    <mergeCell ref="S242:S246"/>
    <mergeCell ref="T242:T246"/>
    <mergeCell ref="U242:U246"/>
    <mergeCell ref="V242:V246"/>
    <mergeCell ref="W242:W246"/>
    <mergeCell ref="A247:A251"/>
    <mergeCell ref="B247:B251"/>
    <mergeCell ref="C247:C251"/>
    <mergeCell ref="D247:D251"/>
    <mergeCell ref="E247:E251"/>
    <mergeCell ref="F247:F251"/>
    <mergeCell ref="G247:G251"/>
    <mergeCell ref="J247:J251"/>
    <mergeCell ref="K247:K251"/>
    <mergeCell ref="L247:L251"/>
    <mergeCell ref="M247:M251"/>
    <mergeCell ref="N247:N251"/>
    <mergeCell ref="O247:O251"/>
    <mergeCell ref="P247:P251"/>
    <mergeCell ref="Q247:Q251"/>
    <mergeCell ref="R247:R251"/>
    <mergeCell ref="S247:S251"/>
    <mergeCell ref="T247:T251"/>
    <mergeCell ref="U247:U251"/>
    <mergeCell ref="V247:V251"/>
    <mergeCell ref="W247:W251"/>
    <mergeCell ref="A252:A256"/>
    <mergeCell ref="B252:B256"/>
    <mergeCell ref="C252:C256"/>
    <mergeCell ref="D252:D256"/>
    <mergeCell ref="E252:E256"/>
    <mergeCell ref="F252:F256"/>
    <mergeCell ref="G252:G256"/>
    <mergeCell ref="J252:J256"/>
    <mergeCell ref="K252:K256"/>
    <mergeCell ref="L252:L256"/>
    <mergeCell ref="M252:M256"/>
    <mergeCell ref="N252:N256"/>
    <mergeCell ref="O252:O256"/>
    <mergeCell ref="P252:P256"/>
    <mergeCell ref="Q252:Q256"/>
    <mergeCell ref="R252:R256"/>
    <mergeCell ref="S252:S256"/>
    <mergeCell ref="T252:T256"/>
    <mergeCell ref="U252:U256"/>
    <mergeCell ref="V252:V256"/>
    <mergeCell ref="W252:W256"/>
    <mergeCell ref="A257:A261"/>
    <mergeCell ref="B257:B261"/>
    <mergeCell ref="C257:C261"/>
    <mergeCell ref="D257:D261"/>
    <mergeCell ref="E257:E261"/>
    <mergeCell ref="F257:F261"/>
    <mergeCell ref="G257:G261"/>
    <mergeCell ref="J257:J261"/>
    <mergeCell ref="K257:K261"/>
    <mergeCell ref="L257:L261"/>
    <mergeCell ref="M257:M261"/>
    <mergeCell ref="N257:N261"/>
    <mergeCell ref="O257:O261"/>
    <mergeCell ref="P257:P261"/>
    <mergeCell ref="Q257:Q261"/>
    <mergeCell ref="R257:R261"/>
    <mergeCell ref="S257:S261"/>
    <mergeCell ref="T257:T261"/>
    <mergeCell ref="U257:U261"/>
    <mergeCell ref="V257:V261"/>
    <mergeCell ref="W257:W261"/>
    <mergeCell ref="A262:A266"/>
    <mergeCell ref="B262:B266"/>
    <mergeCell ref="C262:C266"/>
    <mergeCell ref="D262:D266"/>
    <mergeCell ref="E262:E266"/>
    <mergeCell ref="F262:F266"/>
    <mergeCell ref="G262:G266"/>
    <mergeCell ref="J262:J266"/>
    <mergeCell ref="K262:K266"/>
    <mergeCell ref="L262:L266"/>
    <mergeCell ref="M262:M266"/>
    <mergeCell ref="N262:N266"/>
    <mergeCell ref="O262:O266"/>
    <mergeCell ref="P262:P266"/>
    <mergeCell ref="Q262:Q266"/>
    <mergeCell ref="R262:R266"/>
    <mergeCell ref="S262:S266"/>
    <mergeCell ref="T262:T266"/>
    <mergeCell ref="U262:U266"/>
    <mergeCell ref="V262:V266"/>
    <mergeCell ref="W262:W266"/>
    <mergeCell ref="A267:A271"/>
    <mergeCell ref="B267:B271"/>
    <mergeCell ref="C267:C271"/>
    <mergeCell ref="D267:D271"/>
    <mergeCell ref="E267:E271"/>
    <mergeCell ref="F267:F271"/>
    <mergeCell ref="G267:G271"/>
    <mergeCell ref="J267:J271"/>
    <mergeCell ref="K267:K271"/>
    <mergeCell ref="L267:L271"/>
    <mergeCell ref="M267:M271"/>
    <mergeCell ref="N267:N271"/>
    <mergeCell ref="O267:O271"/>
    <mergeCell ref="P267:P271"/>
    <mergeCell ref="Q267:Q271"/>
    <mergeCell ref="R267:R271"/>
    <mergeCell ref="S267:S271"/>
    <mergeCell ref="T267:T271"/>
    <mergeCell ref="U267:U271"/>
    <mergeCell ref="V267:V271"/>
    <mergeCell ref="W267:W271"/>
    <mergeCell ref="A272:A276"/>
    <mergeCell ref="B272:B276"/>
    <mergeCell ref="C272:C276"/>
    <mergeCell ref="D272:D276"/>
    <mergeCell ref="E272:E276"/>
    <mergeCell ref="F272:F276"/>
    <mergeCell ref="G272:G276"/>
    <mergeCell ref="J272:J276"/>
    <mergeCell ref="K272:K276"/>
    <mergeCell ref="L272:L276"/>
    <mergeCell ref="M272:M276"/>
    <mergeCell ref="N272:N276"/>
    <mergeCell ref="O272:O276"/>
    <mergeCell ref="P272:P276"/>
    <mergeCell ref="Q272:Q276"/>
    <mergeCell ref="R272:R276"/>
    <mergeCell ref="S272:S276"/>
    <mergeCell ref="T272:T276"/>
    <mergeCell ref="U272:U276"/>
    <mergeCell ref="V272:V276"/>
    <mergeCell ref="W272:W276"/>
    <mergeCell ref="A277:A281"/>
    <mergeCell ref="B277:B281"/>
    <mergeCell ref="C277:C281"/>
    <mergeCell ref="D277:D281"/>
    <mergeCell ref="E277:E281"/>
    <mergeCell ref="F277:F281"/>
    <mergeCell ref="G277:G281"/>
    <mergeCell ref="J277:J281"/>
    <mergeCell ref="K277:K281"/>
    <mergeCell ref="L277:L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A282:A286"/>
    <mergeCell ref="B282:B286"/>
    <mergeCell ref="C282:C286"/>
    <mergeCell ref="D282:D286"/>
    <mergeCell ref="E282:E286"/>
    <mergeCell ref="F282:F286"/>
    <mergeCell ref="G282:G286"/>
    <mergeCell ref="J282:J286"/>
    <mergeCell ref="K282:K286"/>
    <mergeCell ref="L282:L286"/>
    <mergeCell ref="M282:M286"/>
    <mergeCell ref="N282:N286"/>
    <mergeCell ref="O282:O286"/>
    <mergeCell ref="P282:P286"/>
    <mergeCell ref="Q282:Q286"/>
    <mergeCell ref="R282:R286"/>
    <mergeCell ref="S282:S286"/>
    <mergeCell ref="T282:T286"/>
    <mergeCell ref="U282:U286"/>
    <mergeCell ref="V282:V286"/>
    <mergeCell ref="W282:W286"/>
    <mergeCell ref="A287:A291"/>
    <mergeCell ref="B287:B291"/>
    <mergeCell ref="C287:C291"/>
    <mergeCell ref="D287:D291"/>
    <mergeCell ref="E287:E291"/>
    <mergeCell ref="F287:F291"/>
    <mergeCell ref="G287:G291"/>
    <mergeCell ref="J287:J291"/>
    <mergeCell ref="K287:K291"/>
    <mergeCell ref="L287:L291"/>
    <mergeCell ref="M287:M291"/>
    <mergeCell ref="N287:N291"/>
    <mergeCell ref="O287:O291"/>
    <mergeCell ref="P287:P291"/>
    <mergeCell ref="Q287:Q291"/>
    <mergeCell ref="R287:R291"/>
    <mergeCell ref="S287:S291"/>
    <mergeCell ref="T287:T291"/>
    <mergeCell ref="U287:U291"/>
    <mergeCell ref="V287:V291"/>
    <mergeCell ref="W287:W291"/>
    <mergeCell ref="A292:A296"/>
    <mergeCell ref="B292:B296"/>
    <mergeCell ref="C292:C296"/>
    <mergeCell ref="D292:D296"/>
    <mergeCell ref="E292:E296"/>
    <mergeCell ref="F292:F296"/>
    <mergeCell ref="G292:G296"/>
    <mergeCell ref="J292:J296"/>
    <mergeCell ref="K292:K296"/>
    <mergeCell ref="L292:L296"/>
    <mergeCell ref="M292:M296"/>
    <mergeCell ref="N292:N296"/>
    <mergeCell ref="O292:O296"/>
    <mergeCell ref="P292:P296"/>
    <mergeCell ref="Q292:Q296"/>
    <mergeCell ref="R292:R296"/>
    <mergeCell ref="S292:S296"/>
    <mergeCell ref="T292:T296"/>
    <mergeCell ref="U292:U296"/>
    <mergeCell ref="V292:V296"/>
    <mergeCell ref="W292:W296"/>
    <mergeCell ref="A297:A301"/>
    <mergeCell ref="B297:B301"/>
    <mergeCell ref="C297:C301"/>
    <mergeCell ref="D297:D301"/>
    <mergeCell ref="E297:E301"/>
    <mergeCell ref="F297:F301"/>
    <mergeCell ref="G297:G301"/>
    <mergeCell ref="J297:J301"/>
    <mergeCell ref="K297:K301"/>
    <mergeCell ref="L297:L301"/>
    <mergeCell ref="M297:M301"/>
    <mergeCell ref="N297:N301"/>
    <mergeCell ref="O297:O301"/>
    <mergeCell ref="P297:P301"/>
    <mergeCell ref="Q297:Q301"/>
    <mergeCell ref="R297:R301"/>
    <mergeCell ref="S297:S301"/>
    <mergeCell ref="T297:T301"/>
    <mergeCell ref="U297:U301"/>
    <mergeCell ref="V297:V301"/>
    <mergeCell ref="W297:W301"/>
    <mergeCell ref="A302:A306"/>
    <mergeCell ref="B302:B306"/>
    <mergeCell ref="C302:C306"/>
    <mergeCell ref="D302:D306"/>
    <mergeCell ref="E302:E306"/>
    <mergeCell ref="F302:F306"/>
    <mergeCell ref="G302:G306"/>
    <mergeCell ref="J302:J306"/>
    <mergeCell ref="K302:K306"/>
    <mergeCell ref="L302:L306"/>
    <mergeCell ref="M302:M306"/>
    <mergeCell ref="N302:N306"/>
    <mergeCell ref="O302:O306"/>
    <mergeCell ref="P302:P306"/>
    <mergeCell ref="Q302:Q306"/>
    <mergeCell ref="R302:R306"/>
    <mergeCell ref="S302:S306"/>
    <mergeCell ref="T302:T306"/>
    <mergeCell ref="U302:U306"/>
    <mergeCell ref="V302:V306"/>
    <mergeCell ref="W302:W306"/>
    <mergeCell ref="A307:A311"/>
    <mergeCell ref="B307:B311"/>
    <mergeCell ref="C307:C311"/>
    <mergeCell ref="D307:D311"/>
    <mergeCell ref="E307:E311"/>
    <mergeCell ref="F307:F311"/>
    <mergeCell ref="G307:G311"/>
    <mergeCell ref="J307:J311"/>
    <mergeCell ref="K307:K311"/>
    <mergeCell ref="L307:L311"/>
    <mergeCell ref="M307:M311"/>
    <mergeCell ref="N307:N311"/>
    <mergeCell ref="O307:O311"/>
    <mergeCell ref="P307:P311"/>
    <mergeCell ref="Q307:Q311"/>
    <mergeCell ref="R307:R311"/>
    <mergeCell ref="S307:S311"/>
    <mergeCell ref="T307:T311"/>
    <mergeCell ref="U307:U311"/>
    <mergeCell ref="V307:V311"/>
    <mergeCell ref="W307:W311"/>
    <mergeCell ref="A312:A316"/>
    <mergeCell ref="B312:B316"/>
    <mergeCell ref="C312:C316"/>
    <mergeCell ref="D312:D316"/>
    <mergeCell ref="E312:E316"/>
    <mergeCell ref="F312:F316"/>
    <mergeCell ref="G312:G316"/>
    <mergeCell ref="J312:J316"/>
    <mergeCell ref="K312:K316"/>
    <mergeCell ref="L312:L316"/>
    <mergeCell ref="M312:M316"/>
    <mergeCell ref="N312:N316"/>
    <mergeCell ref="O312:O316"/>
    <mergeCell ref="P312:P316"/>
    <mergeCell ref="Q312:Q316"/>
    <mergeCell ref="R312:R316"/>
    <mergeCell ref="S312:S316"/>
    <mergeCell ref="T312:T316"/>
    <mergeCell ref="U312:U316"/>
    <mergeCell ref="V312:V316"/>
    <mergeCell ref="W312:W316"/>
    <mergeCell ref="A317:G321"/>
    <mergeCell ref="J317:J321"/>
    <mergeCell ref="K317:K321"/>
    <mergeCell ref="L317:L321"/>
    <mergeCell ref="M317:M321"/>
    <mergeCell ref="N317:N321"/>
    <mergeCell ref="O317:O321"/>
    <mergeCell ref="P317:P321"/>
    <mergeCell ref="Q317:Q321"/>
    <mergeCell ref="R317:R321"/>
    <mergeCell ref="S317:S321"/>
    <mergeCell ref="T317:T321"/>
    <mergeCell ref="U317:U321"/>
    <mergeCell ref="V317:V321"/>
    <mergeCell ref="W317:W321"/>
    <mergeCell ref="A323:W323"/>
    <mergeCell ref="A324:W324"/>
    <mergeCell ref="A325:A329"/>
    <mergeCell ref="B325:B329"/>
    <mergeCell ref="C325:C329"/>
    <mergeCell ref="D325:D329"/>
    <mergeCell ref="E325:E329"/>
    <mergeCell ref="F325:F329"/>
    <mergeCell ref="G325:G329"/>
    <mergeCell ref="J325:J329"/>
    <mergeCell ref="K325:K329"/>
    <mergeCell ref="L325:L329"/>
    <mergeCell ref="M325:M329"/>
    <mergeCell ref="N325:N329"/>
    <mergeCell ref="O325:O329"/>
    <mergeCell ref="P325:P329"/>
    <mergeCell ref="Q325:Q329"/>
    <mergeCell ref="R325:R329"/>
    <mergeCell ref="S325:S329"/>
    <mergeCell ref="T325:T329"/>
    <mergeCell ref="U325:U329"/>
    <mergeCell ref="V325:V329"/>
    <mergeCell ref="W325:W329"/>
    <mergeCell ref="A330:A334"/>
    <mergeCell ref="B330:B334"/>
    <mergeCell ref="C330:C334"/>
    <mergeCell ref="D330:D334"/>
    <mergeCell ref="E330:E334"/>
    <mergeCell ref="F330:F334"/>
    <mergeCell ref="G330:G334"/>
    <mergeCell ref="J330:J334"/>
    <mergeCell ref="K330:K334"/>
    <mergeCell ref="L330:L334"/>
    <mergeCell ref="M330:M334"/>
    <mergeCell ref="N330:N334"/>
    <mergeCell ref="O330:O334"/>
    <mergeCell ref="P330:P334"/>
    <mergeCell ref="Q330:Q334"/>
    <mergeCell ref="R330:R334"/>
    <mergeCell ref="S330:S334"/>
    <mergeCell ref="T330:T334"/>
    <mergeCell ref="U330:U334"/>
    <mergeCell ref="V330:V334"/>
    <mergeCell ref="W330:W334"/>
    <mergeCell ref="A335:A339"/>
    <mergeCell ref="B335:B339"/>
    <mergeCell ref="C335:C339"/>
    <mergeCell ref="D335:D339"/>
    <mergeCell ref="E335:E339"/>
    <mergeCell ref="F335:F339"/>
    <mergeCell ref="G335:G339"/>
    <mergeCell ref="J335:J339"/>
    <mergeCell ref="K335:K339"/>
    <mergeCell ref="L335:L339"/>
    <mergeCell ref="M335:M339"/>
    <mergeCell ref="N335:N339"/>
    <mergeCell ref="O335:O339"/>
    <mergeCell ref="P335:P339"/>
    <mergeCell ref="Q335:Q339"/>
    <mergeCell ref="R335:R339"/>
    <mergeCell ref="S335:S339"/>
    <mergeCell ref="T335:T339"/>
    <mergeCell ref="U335:U339"/>
    <mergeCell ref="V335:V339"/>
    <mergeCell ref="W335:W339"/>
    <mergeCell ref="A340:A344"/>
    <mergeCell ref="B340:B344"/>
    <mergeCell ref="C340:C344"/>
    <mergeCell ref="D340:D344"/>
    <mergeCell ref="E340:E344"/>
    <mergeCell ref="F340:F344"/>
    <mergeCell ref="G340:G344"/>
    <mergeCell ref="J340:J344"/>
    <mergeCell ref="K340:K344"/>
    <mergeCell ref="L340:L344"/>
    <mergeCell ref="M340:M344"/>
    <mergeCell ref="N340:N344"/>
    <mergeCell ref="O340:O344"/>
    <mergeCell ref="P340:P344"/>
    <mergeCell ref="Q340:Q344"/>
    <mergeCell ref="R340:R344"/>
    <mergeCell ref="S340:S344"/>
    <mergeCell ref="T340:T344"/>
    <mergeCell ref="U340:U344"/>
    <mergeCell ref="V340:V344"/>
    <mergeCell ref="W340:W344"/>
    <mergeCell ref="S345:S349"/>
    <mergeCell ref="T345:T349"/>
    <mergeCell ref="A345:G349"/>
    <mergeCell ref="J345:J349"/>
    <mergeCell ref="K345:K349"/>
    <mergeCell ref="L345:L349"/>
    <mergeCell ref="M345:M349"/>
    <mergeCell ref="N345:N349"/>
    <mergeCell ref="U345:U349"/>
    <mergeCell ref="V345:V349"/>
    <mergeCell ref="W345:W349"/>
    <mergeCell ref="A350:W350"/>
    <mergeCell ref="A351:W351"/>
    <mergeCell ref="A352:W352"/>
    <mergeCell ref="O345:O349"/>
    <mergeCell ref="P345:P349"/>
    <mergeCell ref="Q345:Q349"/>
    <mergeCell ref="R345:R349"/>
    <mergeCell ref="A353:A357"/>
    <mergeCell ref="B353:B357"/>
    <mergeCell ref="C353:C357"/>
    <mergeCell ref="D353:D357"/>
    <mergeCell ref="E353:E357"/>
    <mergeCell ref="F353:F357"/>
    <mergeCell ref="G353:G357"/>
    <mergeCell ref="J353:J357"/>
    <mergeCell ref="K353:K357"/>
    <mergeCell ref="L353:L357"/>
    <mergeCell ref="M353:M357"/>
    <mergeCell ref="N353:N357"/>
    <mergeCell ref="O353:O357"/>
    <mergeCell ref="P353:P357"/>
    <mergeCell ref="Q353:Q357"/>
    <mergeCell ref="R353:R357"/>
    <mergeCell ref="S353:S357"/>
    <mergeCell ref="T353:T357"/>
    <mergeCell ref="U353:U357"/>
    <mergeCell ref="V353:V357"/>
    <mergeCell ref="W353:W357"/>
    <mergeCell ref="A358:A362"/>
    <mergeCell ref="B358:B362"/>
    <mergeCell ref="C358:C362"/>
    <mergeCell ref="D358:D362"/>
    <mergeCell ref="E358:E362"/>
    <mergeCell ref="F358:F362"/>
    <mergeCell ref="G358:G362"/>
    <mergeCell ref="J358:J362"/>
    <mergeCell ref="K358:K362"/>
    <mergeCell ref="L358:L362"/>
    <mergeCell ref="M358:M362"/>
    <mergeCell ref="N358:N362"/>
    <mergeCell ref="O358:O362"/>
    <mergeCell ref="P358:P362"/>
    <mergeCell ref="Q358:Q362"/>
    <mergeCell ref="R358:R362"/>
    <mergeCell ref="S358:S362"/>
    <mergeCell ref="T358:T362"/>
    <mergeCell ref="U358:U362"/>
    <mergeCell ref="V358:V362"/>
    <mergeCell ref="W358:W362"/>
    <mergeCell ref="A363:A367"/>
    <mergeCell ref="B363:B367"/>
    <mergeCell ref="C363:C367"/>
    <mergeCell ref="D363:D367"/>
    <mergeCell ref="E363:E367"/>
    <mergeCell ref="F363:F367"/>
    <mergeCell ref="G363:G367"/>
    <mergeCell ref="J363:J367"/>
    <mergeCell ref="K363:K367"/>
    <mergeCell ref="L363:L367"/>
    <mergeCell ref="M363:M367"/>
    <mergeCell ref="N363:N367"/>
    <mergeCell ref="O363:O367"/>
    <mergeCell ref="P363:P367"/>
    <mergeCell ref="Q363:Q367"/>
    <mergeCell ref="R363:R367"/>
    <mergeCell ref="S363:S367"/>
    <mergeCell ref="T363:T367"/>
    <mergeCell ref="U363:U367"/>
    <mergeCell ref="V363:V367"/>
    <mergeCell ref="W363:W367"/>
    <mergeCell ref="A368:A372"/>
    <mergeCell ref="B368:B372"/>
    <mergeCell ref="C368:C372"/>
    <mergeCell ref="D368:D372"/>
    <mergeCell ref="E368:E372"/>
    <mergeCell ref="F368:F372"/>
    <mergeCell ref="G368:G372"/>
    <mergeCell ref="J368:J372"/>
    <mergeCell ref="K368:K372"/>
    <mergeCell ref="L368:L372"/>
    <mergeCell ref="M368:M372"/>
    <mergeCell ref="N368:N372"/>
    <mergeCell ref="O368:O372"/>
    <mergeCell ref="P368:P372"/>
    <mergeCell ref="Q368:Q372"/>
    <mergeCell ref="R368:R372"/>
    <mergeCell ref="S368:S372"/>
    <mergeCell ref="T368:T372"/>
    <mergeCell ref="U368:U372"/>
    <mergeCell ref="V368:V372"/>
    <mergeCell ref="W368:W372"/>
    <mergeCell ref="A373:A377"/>
    <mergeCell ref="B373:B377"/>
    <mergeCell ref="C373:C377"/>
    <mergeCell ref="D373:D377"/>
    <mergeCell ref="E373:E377"/>
    <mergeCell ref="F373:F377"/>
    <mergeCell ref="G373:G377"/>
    <mergeCell ref="J373:J377"/>
    <mergeCell ref="K373:K377"/>
    <mergeCell ref="L373:L377"/>
    <mergeCell ref="M373:M377"/>
    <mergeCell ref="N373:N377"/>
    <mergeCell ref="O373:O377"/>
    <mergeCell ref="P373:P377"/>
    <mergeCell ref="Q373:Q377"/>
    <mergeCell ref="R373:R377"/>
    <mergeCell ref="S373:S377"/>
    <mergeCell ref="T373:T377"/>
    <mergeCell ref="U373:U377"/>
    <mergeCell ref="V373:V377"/>
    <mergeCell ref="W373:W377"/>
    <mergeCell ref="A378:A382"/>
    <mergeCell ref="B378:B382"/>
    <mergeCell ref="C378:C382"/>
    <mergeCell ref="D378:D382"/>
    <mergeCell ref="E378:E382"/>
    <mergeCell ref="F378:F382"/>
    <mergeCell ref="G378:G382"/>
    <mergeCell ref="J378:J382"/>
    <mergeCell ref="K378:K382"/>
    <mergeCell ref="L378:L382"/>
    <mergeCell ref="M378:M382"/>
    <mergeCell ref="N378:N382"/>
    <mergeCell ref="O378:O382"/>
    <mergeCell ref="P378:P382"/>
    <mergeCell ref="Q378:Q382"/>
    <mergeCell ref="R378:R382"/>
    <mergeCell ref="S378:S382"/>
    <mergeCell ref="T378:T382"/>
    <mergeCell ref="U378:U382"/>
    <mergeCell ref="V378:V382"/>
    <mergeCell ref="W378:W382"/>
    <mergeCell ref="A383:A387"/>
    <mergeCell ref="B383:B387"/>
    <mergeCell ref="C383:C387"/>
    <mergeCell ref="D383:D387"/>
    <mergeCell ref="E383:E387"/>
    <mergeCell ref="F383:F387"/>
    <mergeCell ref="G383:G387"/>
    <mergeCell ref="J383:J387"/>
    <mergeCell ref="K383:K387"/>
    <mergeCell ref="L383:L387"/>
    <mergeCell ref="M383:M387"/>
    <mergeCell ref="N383:N387"/>
    <mergeCell ref="O383:O387"/>
    <mergeCell ref="P383:P387"/>
    <mergeCell ref="Q383:Q387"/>
    <mergeCell ref="R383:R387"/>
    <mergeCell ref="S383:S387"/>
    <mergeCell ref="T383:T387"/>
    <mergeCell ref="U383:U387"/>
    <mergeCell ref="V383:V387"/>
    <mergeCell ref="W383:W387"/>
    <mergeCell ref="A388:A392"/>
    <mergeCell ref="B388:B392"/>
    <mergeCell ref="C388:C392"/>
    <mergeCell ref="D388:D392"/>
    <mergeCell ref="E388:E392"/>
    <mergeCell ref="F388:F392"/>
    <mergeCell ref="G388:G392"/>
    <mergeCell ref="J388:J392"/>
    <mergeCell ref="K388:K392"/>
    <mergeCell ref="L388:L392"/>
    <mergeCell ref="M388:M392"/>
    <mergeCell ref="N388:N392"/>
    <mergeCell ref="O388:O392"/>
    <mergeCell ref="P388:P392"/>
    <mergeCell ref="Q388:Q392"/>
    <mergeCell ref="R388:R392"/>
    <mergeCell ref="S388:S392"/>
    <mergeCell ref="T388:T392"/>
    <mergeCell ref="U388:U392"/>
    <mergeCell ref="V388:V392"/>
    <mergeCell ref="W388:W392"/>
    <mergeCell ref="A393:A397"/>
    <mergeCell ref="B393:B397"/>
    <mergeCell ref="C393:C397"/>
    <mergeCell ref="D393:D397"/>
    <mergeCell ref="E393:E397"/>
    <mergeCell ref="F393:F397"/>
    <mergeCell ref="G393:G397"/>
    <mergeCell ref="J393:J397"/>
    <mergeCell ref="K393:K397"/>
    <mergeCell ref="L393:L397"/>
    <mergeCell ref="M393:M397"/>
    <mergeCell ref="N393:N397"/>
    <mergeCell ref="O393:O397"/>
    <mergeCell ref="P393:P397"/>
    <mergeCell ref="Q393:Q397"/>
    <mergeCell ref="R393:R397"/>
    <mergeCell ref="S393:S397"/>
    <mergeCell ref="T393:T397"/>
    <mergeCell ref="U393:U397"/>
    <mergeCell ref="V393:V397"/>
    <mergeCell ref="W393:W397"/>
    <mergeCell ref="A398:A402"/>
    <mergeCell ref="B398:B402"/>
    <mergeCell ref="C398:C402"/>
    <mergeCell ref="D398:D402"/>
    <mergeCell ref="E398:E402"/>
    <mergeCell ref="F398:F402"/>
    <mergeCell ref="G398:G402"/>
    <mergeCell ref="J398:J402"/>
    <mergeCell ref="K398:K402"/>
    <mergeCell ref="L398:L402"/>
    <mergeCell ref="M398:M402"/>
    <mergeCell ref="N398:N402"/>
    <mergeCell ref="O398:O402"/>
    <mergeCell ref="P398:P402"/>
    <mergeCell ref="Q398:Q402"/>
    <mergeCell ref="R398:R402"/>
    <mergeCell ref="S398:S402"/>
    <mergeCell ref="T398:T402"/>
    <mergeCell ref="U398:U402"/>
    <mergeCell ref="V398:V402"/>
    <mergeCell ref="W398:W402"/>
    <mergeCell ref="A403:A407"/>
    <mergeCell ref="B403:B407"/>
    <mergeCell ref="C403:C407"/>
    <mergeCell ref="D403:D407"/>
    <mergeCell ref="E403:E407"/>
    <mergeCell ref="F403:F407"/>
    <mergeCell ref="G403:G407"/>
    <mergeCell ref="J403:J407"/>
    <mergeCell ref="K403:K407"/>
    <mergeCell ref="L403:L407"/>
    <mergeCell ref="M403:M407"/>
    <mergeCell ref="N403:N407"/>
    <mergeCell ref="O403:O407"/>
    <mergeCell ref="P403:P407"/>
    <mergeCell ref="Q403:Q407"/>
    <mergeCell ref="R403:R407"/>
    <mergeCell ref="S403:S407"/>
    <mergeCell ref="T403:T407"/>
    <mergeCell ref="U403:U407"/>
    <mergeCell ref="V403:V407"/>
    <mergeCell ref="W403:W407"/>
    <mergeCell ref="A408:A412"/>
    <mergeCell ref="B408:B412"/>
    <mergeCell ref="C408:C412"/>
    <mergeCell ref="D408:D412"/>
    <mergeCell ref="E408:E412"/>
    <mergeCell ref="F408:F412"/>
    <mergeCell ref="G408:G412"/>
    <mergeCell ref="J408:J412"/>
    <mergeCell ref="K408:K412"/>
    <mergeCell ref="L408:L412"/>
    <mergeCell ref="M408:M412"/>
    <mergeCell ref="N408:N412"/>
    <mergeCell ref="O408:O412"/>
    <mergeCell ref="P408:P412"/>
    <mergeCell ref="Q408:Q412"/>
    <mergeCell ref="R408:R412"/>
    <mergeCell ref="S408:S412"/>
    <mergeCell ref="T408:T412"/>
    <mergeCell ref="U408:U412"/>
    <mergeCell ref="V408:V412"/>
    <mergeCell ref="W408:W412"/>
    <mergeCell ref="A413:A417"/>
    <mergeCell ref="B413:B417"/>
    <mergeCell ref="C413:C417"/>
    <mergeCell ref="D413:D417"/>
    <mergeCell ref="E413:E417"/>
    <mergeCell ref="F413:F417"/>
    <mergeCell ref="G413:G417"/>
    <mergeCell ref="J413:J417"/>
    <mergeCell ref="K413:K417"/>
    <mergeCell ref="L413:L417"/>
    <mergeCell ref="M413:M417"/>
    <mergeCell ref="N413:N417"/>
    <mergeCell ref="O413:O417"/>
    <mergeCell ref="P413:P417"/>
    <mergeCell ref="Q413:Q417"/>
    <mergeCell ref="R413:R417"/>
    <mergeCell ref="S413:S417"/>
    <mergeCell ref="T413:T417"/>
    <mergeCell ref="U413:U417"/>
    <mergeCell ref="V413:V417"/>
    <mergeCell ref="W413:W417"/>
    <mergeCell ref="A418:A422"/>
    <mergeCell ref="B418:B422"/>
    <mergeCell ref="C418:C422"/>
    <mergeCell ref="D418:D422"/>
    <mergeCell ref="E418:E422"/>
    <mergeCell ref="F418:F422"/>
    <mergeCell ref="G418:G422"/>
    <mergeCell ref="J418:J422"/>
    <mergeCell ref="K418:K422"/>
    <mergeCell ref="L418:L422"/>
    <mergeCell ref="M418:M422"/>
    <mergeCell ref="N418:N422"/>
    <mergeCell ref="O418:O422"/>
    <mergeCell ref="P418:P422"/>
    <mergeCell ref="Q418:Q422"/>
    <mergeCell ref="R418:R422"/>
    <mergeCell ref="S418:S422"/>
    <mergeCell ref="T418:T422"/>
    <mergeCell ref="U418:U422"/>
    <mergeCell ref="V418:V422"/>
    <mergeCell ref="W418:W422"/>
    <mergeCell ref="A423:A427"/>
    <mergeCell ref="B423:B427"/>
    <mergeCell ref="C423:C427"/>
    <mergeCell ref="D423:D427"/>
    <mergeCell ref="E423:E427"/>
    <mergeCell ref="F423:F427"/>
    <mergeCell ref="G423:G427"/>
    <mergeCell ref="J423:J427"/>
    <mergeCell ref="K423:K427"/>
    <mergeCell ref="L423:L427"/>
    <mergeCell ref="M423:M427"/>
    <mergeCell ref="N423:N427"/>
    <mergeCell ref="O423:O427"/>
    <mergeCell ref="P423:P427"/>
    <mergeCell ref="Q423:Q427"/>
    <mergeCell ref="R423:R427"/>
    <mergeCell ref="S423:S427"/>
    <mergeCell ref="T423:T427"/>
    <mergeCell ref="U423:U427"/>
    <mergeCell ref="V423:V427"/>
    <mergeCell ref="W423:W427"/>
    <mergeCell ref="A428:A432"/>
    <mergeCell ref="B428:B432"/>
    <mergeCell ref="C428:C432"/>
    <mergeCell ref="D428:D432"/>
    <mergeCell ref="E428:E432"/>
    <mergeCell ref="F428:F432"/>
    <mergeCell ref="G428:G432"/>
    <mergeCell ref="J428:J432"/>
    <mergeCell ref="K428:K432"/>
    <mergeCell ref="L428:L432"/>
    <mergeCell ref="M428:M432"/>
    <mergeCell ref="N428:N432"/>
    <mergeCell ref="O428:O432"/>
    <mergeCell ref="P428:P432"/>
    <mergeCell ref="Q428:Q432"/>
    <mergeCell ref="R428:R432"/>
    <mergeCell ref="S428:S432"/>
    <mergeCell ref="T428:T432"/>
    <mergeCell ref="U428:U432"/>
    <mergeCell ref="V428:V432"/>
    <mergeCell ref="W428:W432"/>
    <mergeCell ref="A433:A437"/>
    <mergeCell ref="B433:B437"/>
    <mergeCell ref="C433:C437"/>
    <mergeCell ref="D433:D437"/>
    <mergeCell ref="E433:E437"/>
    <mergeCell ref="F433:F437"/>
    <mergeCell ref="G433:G437"/>
    <mergeCell ref="J433:J437"/>
    <mergeCell ref="K433:K437"/>
    <mergeCell ref="L433:L437"/>
    <mergeCell ref="M433:M437"/>
    <mergeCell ref="N433:N437"/>
    <mergeCell ref="O433:O437"/>
    <mergeCell ref="P433:P437"/>
    <mergeCell ref="Q433:Q437"/>
    <mergeCell ref="R433:R437"/>
    <mergeCell ref="S433:S437"/>
    <mergeCell ref="T433:T437"/>
    <mergeCell ref="U433:U437"/>
    <mergeCell ref="V433:V437"/>
    <mergeCell ref="W433:W437"/>
    <mergeCell ref="A438:A442"/>
    <mergeCell ref="B438:B442"/>
    <mergeCell ref="C438:C442"/>
    <mergeCell ref="D438:D442"/>
    <mergeCell ref="E438:E442"/>
    <mergeCell ref="F438:F442"/>
    <mergeCell ref="G438:G442"/>
    <mergeCell ref="J438:J442"/>
    <mergeCell ref="K438:K442"/>
    <mergeCell ref="L438:L442"/>
    <mergeCell ref="M438:M442"/>
    <mergeCell ref="N438:N442"/>
    <mergeCell ref="O438:O442"/>
    <mergeCell ref="P438:P442"/>
    <mergeCell ref="Q438:Q442"/>
    <mergeCell ref="R438:R442"/>
    <mergeCell ref="S438:S442"/>
    <mergeCell ref="T438:T442"/>
    <mergeCell ref="U438:U442"/>
    <mergeCell ref="V438:V442"/>
    <mergeCell ref="W438:W442"/>
    <mergeCell ref="A443:A447"/>
    <mergeCell ref="B443:B447"/>
    <mergeCell ref="C443:C447"/>
    <mergeCell ref="D443:D447"/>
    <mergeCell ref="E443:E447"/>
    <mergeCell ref="F443:F447"/>
    <mergeCell ref="G443:G447"/>
    <mergeCell ref="J443:J447"/>
    <mergeCell ref="K443:K447"/>
    <mergeCell ref="L443:L447"/>
    <mergeCell ref="M443:M447"/>
    <mergeCell ref="N443:N447"/>
    <mergeCell ref="O443:O447"/>
    <mergeCell ref="P443:P447"/>
    <mergeCell ref="Q443:Q447"/>
    <mergeCell ref="R443:R447"/>
    <mergeCell ref="S443:S447"/>
    <mergeCell ref="T443:T447"/>
    <mergeCell ref="U443:U447"/>
    <mergeCell ref="V443:V447"/>
    <mergeCell ref="W443:W447"/>
    <mergeCell ref="A448:A452"/>
    <mergeCell ref="B448:B452"/>
    <mergeCell ref="C448:C452"/>
    <mergeCell ref="D448:D452"/>
    <mergeCell ref="E448:E452"/>
    <mergeCell ref="F448:F452"/>
    <mergeCell ref="G448:G452"/>
    <mergeCell ref="J448:J452"/>
    <mergeCell ref="K448:K452"/>
    <mergeCell ref="L448:L452"/>
    <mergeCell ref="M448:M452"/>
    <mergeCell ref="N448:N452"/>
    <mergeCell ref="O448:O452"/>
    <mergeCell ref="P448:P452"/>
    <mergeCell ref="Q448:Q452"/>
    <mergeCell ref="R448:R452"/>
    <mergeCell ref="S448:S452"/>
    <mergeCell ref="T448:T452"/>
    <mergeCell ref="U448:U452"/>
    <mergeCell ref="V448:V452"/>
    <mergeCell ref="W448:W452"/>
    <mergeCell ref="A453:A457"/>
    <mergeCell ref="B453:B457"/>
    <mergeCell ref="C453:C457"/>
    <mergeCell ref="D453:D457"/>
    <mergeCell ref="E453:E457"/>
    <mergeCell ref="F453:F457"/>
    <mergeCell ref="G453:G457"/>
    <mergeCell ref="J453:J457"/>
    <mergeCell ref="K453:K457"/>
    <mergeCell ref="L453:L457"/>
    <mergeCell ref="M453:M457"/>
    <mergeCell ref="N453:N457"/>
    <mergeCell ref="O453:O457"/>
    <mergeCell ref="P453:P457"/>
    <mergeCell ref="Q453:Q457"/>
    <mergeCell ref="R453:R457"/>
    <mergeCell ref="S453:S457"/>
    <mergeCell ref="T453:T457"/>
    <mergeCell ref="U453:U457"/>
    <mergeCell ref="V453:V457"/>
    <mergeCell ref="W453:W457"/>
    <mergeCell ref="A458:A462"/>
    <mergeCell ref="B458:B462"/>
    <mergeCell ref="C458:C462"/>
    <mergeCell ref="D458:D462"/>
    <mergeCell ref="E458:E462"/>
    <mergeCell ref="F458:F462"/>
    <mergeCell ref="G458:G462"/>
    <mergeCell ref="J458:J462"/>
    <mergeCell ref="K458:K462"/>
    <mergeCell ref="L458:L462"/>
    <mergeCell ref="M458:M462"/>
    <mergeCell ref="N458:N462"/>
    <mergeCell ref="O458:O462"/>
    <mergeCell ref="P458:P462"/>
    <mergeCell ref="Q458:Q462"/>
    <mergeCell ref="R458:R462"/>
    <mergeCell ref="S458:S462"/>
    <mergeCell ref="T458:T462"/>
    <mergeCell ref="U458:U462"/>
    <mergeCell ref="V458:V462"/>
    <mergeCell ref="W458:W462"/>
    <mergeCell ref="A463:G467"/>
    <mergeCell ref="J463:J467"/>
    <mergeCell ref="K463:K467"/>
    <mergeCell ref="L463:L467"/>
    <mergeCell ref="M463:M467"/>
    <mergeCell ref="N463:N467"/>
    <mergeCell ref="O463:O467"/>
    <mergeCell ref="P463:P467"/>
    <mergeCell ref="Q463:Q467"/>
    <mergeCell ref="R463:R467"/>
    <mergeCell ref="S463:S467"/>
    <mergeCell ref="T463:T467"/>
    <mergeCell ref="U463:U467"/>
    <mergeCell ref="V463:V467"/>
    <mergeCell ref="W463:W467"/>
    <mergeCell ref="A468:G472"/>
    <mergeCell ref="J468:J472"/>
    <mergeCell ref="K468:K472"/>
    <mergeCell ref="L468:L472"/>
    <mergeCell ref="M468:M472"/>
    <mergeCell ref="N468:N472"/>
    <mergeCell ref="O468:O472"/>
    <mergeCell ref="P468:P472"/>
    <mergeCell ref="Q468:Q472"/>
    <mergeCell ref="R468:R472"/>
    <mergeCell ref="S468:S472"/>
    <mergeCell ref="T468:T472"/>
    <mergeCell ref="U468:U472"/>
    <mergeCell ref="V468:V472"/>
    <mergeCell ref="W468:W472"/>
  </mergeCells>
  <printOptions horizontalCentered="1"/>
  <pageMargins left="0.31496062992125984" right="0.2755905511811024" top="0.984251968503937" bottom="0.7480314960629921" header="0.31496062992125984" footer="0.31496062992125984"/>
  <pageSetup fitToHeight="6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6"/>
  <sheetViews>
    <sheetView tabSelected="1" view="pageBreakPreview" zoomScaleSheetLayoutView="100" zoomScalePageLayoutView="0" workbookViewId="0" topLeftCell="H1">
      <selection activeCell="C22" sqref="C22:C26"/>
    </sheetView>
  </sheetViews>
  <sheetFormatPr defaultColWidth="8.796875" defaultRowHeight="14.25"/>
  <cols>
    <col min="1" max="1" width="5.3984375" style="376" customWidth="1"/>
    <col min="2" max="2" width="13.09765625" style="376" customWidth="1"/>
    <col min="3" max="3" width="43.8984375" style="376" customWidth="1"/>
    <col min="4" max="4" width="10.69921875" style="376" customWidth="1"/>
    <col min="5" max="5" width="10.3984375" style="376" customWidth="1"/>
    <col min="6" max="6" width="11" style="376" customWidth="1"/>
    <col min="7" max="8" width="12.09765625" style="376" customWidth="1"/>
    <col min="9" max="9" width="12.8984375" style="376" customWidth="1"/>
    <col min="10" max="11" width="12.09765625" style="376" customWidth="1"/>
    <col min="12" max="12" width="11.3984375" style="376" customWidth="1"/>
    <col min="13" max="14" width="11.8984375" style="376" customWidth="1"/>
    <col min="15" max="15" width="11.69921875" style="376" customWidth="1"/>
    <col min="16" max="16" width="11.3984375" style="376" customWidth="1"/>
    <col min="17" max="17" width="11.8984375" style="376" customWidth="1"/>
    <col min="18" max="18" width="11.3984375" style="376" customWidth="1"/>
    <col min="19" max="19" width="10.3984375" style="376" customWidth="1"/>
    <col min="20" max="20" width="12.8984375" style="376" customWidth="1"/>
    <col min="21" max="21" width="11.69921875" style="376" customWidth="1"/>
    <col min="22" max="22" width="11" style="376" customWidth="1"/>
    <col min="23" max="16384" width="9" style="376" customWidth="1"/>
  </cols>
  <sheetData>
    <row r="1" spans="1:20" s="346" customFormat="1" ht="15.75">
      <c r="A1" s="345" t="s">
        <v>445</v>
      </c>
      <c r="T1" s="347" t="s">
        <v>959</v>
      </c>
    </row>
    <row r="2" spans="1:20" s="346" customFormat="1" ht="15.75">
      <c r="A2" s="345"/>
      <c r="T2" s="347" t="s">
        <v>960</v>
      </c>
    </row>
    <row r="3" spans="1:20" s="346" customFormat="1" ht="15.75">
      <c r="A3" s="345"/>
      <c r="T3" s="347" t="s">
        <v>961</v>
      </c>
    </row>
    <row r="4" s="346" customFormat="1" ht="10.5" customHeight="1">
      <c r="A4" s="345"/>
    </row>
    <row r="5" spans="1:22" s="346" customFormat="1" ht="48" customHeight="1">
      <c r="A5" s="961" t="s">
        <v>895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</row>
    <row r="6" spans="1:21" s="346" customFormat="1" ht="15" customHeigh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72" t="s">
        <v>17</v>
      </c>
    </row>
    <row r="7" spans="1:22" s="346" customFormat="1" ht="24" customHeight="1">
      <c r="A7" s="937" t="s">
        <v>652</v>
      </c>
      <c r="B7" s="926" t="s">
        <v>896</v>
      </c>
      <c r="C7" s="929" t="s">
        <v>897</v>
      </c>
      <c r="D7" s="929" t="s">
        <v>656</v>
      </c>
      <c r="E7" s="926" t="s">
        <v>657</v>
      </c>
      <c r="F7" s="929" t="s">
        <v>214</v>
      </c>
      <c r="G7" s="932" t="s">
        <v>898</v>
      </c>
      <c r="H7" s="932" t="s">
        <v>899</v>
      </c>
      <c r="I7" s="877" t="s">
        <v>660</v>
      </c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</row>
    <row r="8" spans="1:22" s="349" customFormat="1" ht="25.5" customHeight="1">
      <c r="A8" s="938"/>
      <c r="B8" s="927"/>
      <c r="C8" s="930"/>
      <c r="D8" s="930"/>
      <c r="E8" s="927"/>
      <c r="F8" s="930"/>
      <c r="G8" s="932"/>
      <c r="H8" s="932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</row>
    <row r="9" spans="1:22" s="349" customFormat="1" ht="15.75" customHeight="1">
      <c r="A9" s="938"/>
      <c r="B9" s="927"/>
      <c r="C9" s="930"/>
      <c r="D9" s="930"/>
      <c r="E9" s="927"/>
      <c r="F9" s="930"/>
      <c r="G9" s="350" t="s">
        <v>661</v>
      </c>
      <c r="H9" s="350" t="s">
        <v>661</v>
      </c>
      <c r="I9" s="877" t="s">
        <v>662</v>
      </c>
      <c r="J9" s="940" t="s">
        <v>663</v>
      </c>
      <c r="K9" s="940"/>
      <c r="L9" s="940"/>
      <c r="M9" s="934" t="s">
        <v>664</v>
      </c>
      <c r="N9" s="940" t="s">
        <v>900</v>
      </c>
      <c r="O9" s="940"/>
      <c r="P9" s="940"/>
      <c r="Q9" s="940"/>
      <c r="R9" s="940"/>
      <c r="S9" s="940"/>
      <c r="T9" s="940"/>
      <c r="U9" s="940"/>
      <c r="V9" s="940"/>
    </row>
    <row r="10" spans="1:22" s="349" customFormat="1" ht="12.75" customHeight="1">
      <c r="A10" s="938"/>
      <c r="B10" s="927"/>
      <c r="C10" s="930"/>
      <c r="D10" s="930"/>
      <c r="E10" s="927"/>
      <c r="F10" s="930"/>
      <c r="G10" s="350" t="s">
        <v>666</v>
      </c>
      <c r="H10" s="350" t="s">
        <v>666</v>
      </c>
      <c r="I10" s="877"/>
      <c r="J10" s="940"/>
      <c r="K10" s="940"/>
      <c r="L10" s="940"/>
      <c r="M10" s="934"/>
      <c r="N10" s="922" t="s">
        <v>667</v>
      </c>
      <c r="O10" s="922"/>
      <c r="P10" s="922"/>
      <c r="Q10" s="922" t="s">
        <v>668</v>
      </c>
      <c r="R10" s="922"/>
      <c r="S10" s="922"/>
      <c r="T10" s="934" t="s">
        <v>901</v>
      </c>
      <c r="U10" s="934"/>
      <c r="V10" s="934"/>
    </row>
    <row r="11" spans="1:22" s="349" customFormat="1" ht="14.25" customHeight="1">
      <c r="A11" s="938"/>
      <c r="B11" s="927"/>
      <c r="C11" s="930"/>
      <c r="D11" s="930"/>
      <c r="E11" s="927"/>
      <c r="F11" s="930"/>
      <c r="G11" s="350" t="s">
        <v>670</v>
      </c>
      <c r="H11" s="350" t="s">
        <v>670</v>
      </c>
      <c r="I11" s="877"/>
      <c r="J11" s="922" t="s">
        <v>20</v>
      </c>
      <c r="K11" s="922" t="s">
        <v>671</v>
      </c>
      <c r="L11" s="922" t="s">
        <v>672</v>
      </c>
      <c r="M11" s="934"/>
      <c r="N11" s="922" t="s">
        <v>20</v>
      </c>
      <c r="O11" s="922" t="s">
        <v>673</v>
      </c>
      <c r="P11" s="925" t="s">
        <v>672</v>
      </c>
      <c r="Q11" s="922" t="s">
        <v>20</v>
      </c>
      <c r="R11" s="922" t="s">
        <v>673</v>
      </c>
      <c r="S11" s="935" t="s">
        <v>672</v>
      </c>
      <c r="T11" s="934" t="s">
        <v>674</v>
      </c>
      <c r="U11" s="922" t="s">
        <v>673</v>
      </c>
      <c r="V11" s="935" t="s">
        <v>672</v>
      </c>
    </row>
    <row r="12" spans="1:22" s="349" customFormat="1" ht="16.5" customHeight="1">
      <c r="A12" s="939"/>
      <c r="B12" s="928"/>
      <c r="C12" s="931"/>
      <c r="D12" s="931"/>
      <c r="E12" s="928"/>
      <c r="F12" s="931"/>
      <c r="G12" s="350" t="s">
        <v>901</v>
      </c>
      <c r="H12" s="350" t="s">
        <v>901</v>
      </c>
      <c r="I12" s="877"/>
      <c r="J12" s="922"/>
      <c r="K12" s="922"/>
      <c r="L12" s="922"/>
      <c r="M12" s="934"/>
      <c r="N12" s="922"/>
      <c r="O12" s="922"/>
      <c r="P12" s="925"/>
      <c r="Q12" s="922"/>
      <c r="R12" s="922"/>
      <c r="S12" s="935"/>
      <c r="T12" s="934"/>
      <c r="U12" s="922"/>
      <c r="V12" s="935"/>
    </row>
    <row r="13" spans="1:22" s="352" customFormat="1" ht="12.75" customHeight="1">
      <c r="A13" s="351">
        <v>1</v>
      </c>
      <c r="B13" s="351">
        <v>2</v>
      </c>
      <c r="C13" s="351">
        <v>3</v>
      </c>
      <c r="D13" s="351">
        <v>4</v>
      </c>
      <c r="E13" s="351">
        <v>5</v>
      </c>
      <c r="F13" s="351">
        <v>6</v>
      </c>
      <c r="G13" s="351">
        <v>7</v>
      </c>
      <c r="H13" s="351">
        <v>8</v>
      </c>
      <c r="I13" s="351" t="s">
        <v>676</v>
      </c>
      <c r="J13" s="351" t="s">
        <v>677</v>
      </c>
      <c r="K13" s="351">
        <v>11</v>
      </c>
      <c r="L13" s="351">
        <v>12</v>
      </c>
      <c r="M13" s="351" t="s">
        <v>678</v>
      </c>
      <c r="N13" s="351" t="s">
        <v>679</v>
      </c>
      <c r="O13" s="351">
        <v>15</v>
      </c>
      <c r="P13" s="351">
        <v>16</v>
      </c>
      <c r="Q13" s="351" t="s">
        <v>680</v>
      </c>
      <c r="R13" s="351">
        <v>18</v>
      </c>
      <c r="S13" s="351">
        <v>19</v>
      </c>
      <c r="T13" s="351" t="s">
        <v>681</v>
      </c>
      <c r="U13" s="351">
        <v>21</v>
      </c>
      <c r="V13" s="351">
        <v>22</v>
      </c>
    </row>
    <row r="14" spans="1:22" s="352" customFormat="1" ht="6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</row>
    <row r="15" spans="1:23" s="352" customFormat="1" ht="24" customHeight="1">
      <c r="A15" s="924" t="s">
        <v>902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353"/>
    </row>
    <row r="16" spans="1:23" s="352" customFormat="1" ht="7.5" customHeight="1">
      <c r="A16" s="921"/>
      <c r="B16" s="921"/>
      <c r="C16" s="921"/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354"/>
    </row>
    <row r="17" spans="1:22" s="374" customFormat="1" ht="13.5" customHeight="1">
      <c r="A17" s="879">
        <v>1</v>
      </c>
      <c r="B17" s="879" t="s">
        <v>903</v>
      </c>
      <c r="C17" s="957" t="s">
        <v>904</v>
      </c>
      <c r="D17" s="883" t="s">
        <v>228</v>
      </c>
      <c r="E17" s="956" t="s">
        <v>905</v>
      </c>
      <c r="F17" s="879" t="s">
        <v>906</v>
      </c>
      <c r="G17" s="373">
        <f>G18+G19+G20+G21</f>
        <v>9088150</v>
      </c>
      <c r="H17" s="373">
        <f>H18+H19+H20+H21</f>
        <v>7688150</v>
      </c>
      <c r="I17" s="952">
        <f>J17+M17</f>
        <v>1400000</v>
      </c>
      <c r="J17" s="952">
        <f>K17+L17</f>
        <v>1190000</v>
      </c>
      <c r="K17" s="942">
        <v>1190000</v>
      </c>
      <c r="L17" s="942">
        <v>0</v>
      </c>
      <c r="M17" s="952">
        <f>N17+Q17+T17</f>
        <v>210000</v>
      </c>
      <c r="N17" s="952">
        <f>O17+P17</f>
        <v>210000</v>
      </c>
      <c r="O17" s="942">
        <v>210000</v>
      </c>
      <c r="P17" s="942">
        <v>0</v>
      </c>
      <c r="Q17" s="952">
        <f>R17+S17</f>
        <v>0</v>
      </c>
      <c r="R17" s="942">
        <v>0</v>
      </c>
      <c r="S17" s="942">
        <v>0</v>
      </c>
      <c r="T17" s="952">
        <f>U17+V17</f>
        <v>0</v>
      </c>
      <c r="U17" s="942">
        <v>0</v>
      </c>
      <c r="V17" s="942">
        <v>0</v>
      </c>
    </row>
    <row r="18" spans="1:22" s="374" customFormat="1" ht="13.5" customHeight="1">
      <c r="A18" s="879"/>
      <c r="B18" s="879"/>
      <c r="C18" s="958"/>
      <c r="D18" s="883"/>
      <c r="E18" s="956"/>
      <c r="F18" s="879"/>
      <c r="G18" s="373">
        <v>7724895</v>
      </c>
      <c r="H18" s="373">
        <v>6534895</v>
      </c>
      <c r="I18" s="952"/>
      <c r="J18" s="952"/>
      <c r="K18" s="942"/>
      <c r="L18" s="942"/>
      <c r="M18" s="952"/>
      <c r="N18" s="952"/>
      <c r="O18" s="942"/>
      <c r="P18" s="942"/>
      <c r="Q18" s="952"/>
      <c r="R18" s="942"/>
      <c r="S18" s="942"/>
      <c r="T18" s="952"/>
      <c r="U18" s="942"/>
      <c r="V18" s="942"/>
    </row>
    <row r="19" spans="1:22" s="374" customFormat="1" ht="13.5" customHeight="1">
      <c r="A19" s="879"/>
      <c r="B19" s="879"/>
      <c r="C19" s="958"/>
      <c r="D19" s="883"/>
      <c r="E19" s="956"/>
      <c r="F19" s="879"/>
      <c r="G19" s="373">
        <v>1363216</v>
      </c>
      <c r="H19" s="373">
        <v>1153216</v>
      </c>
      <c r="I19" s="952"/>
      <c r="J19" s="952"/>
      <c r="K19" s="942"/>
      <c r="L19" s="942"/>
      <c r="M19" s="952"/>
      <c r="N19" s="952"/>
      <c r="O19" s="942"/>
      <c r="P19" s="942"/>
      <c r="Q19" s="952"/>
      <c r="R19" s="942"/>
      <c r="S19" s="942"/>
      <c r="T19" s="952"/>
      <c r="U19" s="942"/>
      <c r="V19" s="942"/>
    </row>
    <row r="20" spans="1:22" s="374" customFormat="1" ht="13.5" customHeight="1">
      <c r="A20" s="879"/>
      <c r="B20" s="879"/>
      <c r="C20" s="958"/>
      <c r="D20" s="883"/>
      <c r="E20" s="956"/>
      <c r="F20" s="879"/>
      <c r="G20" s="373">
        <v>39</v>
      </c>
      <c r="H20" s="373">
        <v>39</v>
      </c>
      <c r="I20" s="952"/>
      <c r="J20" s="952"/>
      <c r="K20" s="942"/>
      <c r="L20" s="942"/>
      <c r="M20" s="952"/>
      <c r="N20" s="952"/>
      <c r="O20" s="942"/>
      <c r="P20" s="942"/>
      <c r="Q20" s="952"/>
      <c r="R20" s="942"/>
      <c r="S20" s="942"/>
      <c r="T20" s="952"/>
      <c r="U20" s="942"/>
      <c r="V20" s="942"/>
    </row>
    <row r="21" spans="1:22" s="374" customFormat="1" ht="13.5" customHeight="1">
      <c r="A21" s="879"/>
      <c r="B21" s="879"/>
      <c r="C21" s="959"/>
      <c r="D21" s="883"/>
      <c r="E21" s="956"/>
      <c r="F21" s="879"/>
      <c r="G21" s="373">
        <v>0</v>
      </c>
      <c r="H21" s="373">
        <v>0</v>
      </c>
      <c r="I21" s="952"/>
      <c r="J21" s="952"/>
      <c r="K21" s="942"/>
      <c r="L21" s="942"/>
      <c r="M21" s="952"/>
      <c r="N21" s="952"/>
      <c r="O21" s="942"/>
      <c r="P21" s="942"/>
      <c r="Q21" s="952"/>
      <c r="R21" s="942"/>
      <c r="S21" s="942"/>
      <c r="T21" s="952"/>
      <c r="U21" s="942"/>
      <c r="V21" s="942"/>
    </row>
    <row r="22" spans="1:22" s="374" customFormat="1" ht="13.5" customHeight="1">
      <c r="A22" s="879">
        <v>2</v>
      </c>
      <c r="B22" s="879" t="s">
        <v>903</v>
      </c>
      <c r="C22" s="957" t="s">
        <v>907</v>
      </c>
      <c r="D22" s="883" t="s">
        <v>908</v>
      </c>
      <c r="E22" s="956" t="s">
        <v>905</v>
      </c>
      <c r="F22" s="879" t="s">
        <v>909</v>
      </c>
      <c r="G22" s="373">
        <f>G24+G23+G25+G26</f>
        <v>814900</v>
      </c>
      <c r="H22" s="373">
        <f>H24+H23+H25+H26</f>
        <v>19700</v>
      </c>
      <c r="I22" s="952">
        <f>J22+M22</f>
        <v>358800</v>
      </c>
      <c r="J22" s="952">
        <f>K22+L22</f>
        <v>274482</v>
      </c>
      <c r="K22" s="942">
        <v>274482</v>
      </c>
      <c r="L22" s="942">
        <v>0</v>
      </c>
      <c r="M22" s="952">
        <f>N22+Q22+T22</f>
        <v>84318</v>
      </c>
      <c r="N22" s="952">
        <f>O22+P22</f>
        <v>48438</v>
      </c>
      <c r="O22" s="942">
        <v>48438</v>
      </c>
      <c r="P22" s="942">
        <v>0</v>
      </c>
      <c r="Q22" s="952">
        <f>R22+S22</f>
        <v>35880</v>
      </c>
      <c r="R22" s="942">
        <v>35880</v>
      </c>
      <c r="S22" s="942">
        <v>0</v>
      </c>
      <c r="T22" s="952">
        <f>U22+V22</f>
        <v>0</v>
      </c>
      <c r="U22" s="942">
        <v>0</v>
      </c>
      <c r="V22" s="942">
        <v>0</v>
      </c>
    </row>
    <row r="23" spans="1:22" s="374" customFormat="1" ht="13.5" customHeight="1">
      <c r="A23" s="879"/>
      <c r="B23" s="879"/>
      <c r="C23" s="958"/>
      <c r="D23" s="883"/>
      <c r="E23" s="956"/>
      <c r="F23" s="879"/>
      <c r="G23" s="373">
        <v>623398</v>
      </c>
      <c r="H23" s="373">
        <v>15070</v>
      </c>
      <c r="I23" s="952"/>
      <c r="J23" s="952"/>
      <c r="K23" s="942"/>
      <c r="L23" s="942"/>
      <c r="M23" s="952"/>
      <c r="N23" s="952"/>
      <c r="O23" s="942"/>
      <c r="P23" s="942"/>
      <c r="Q23" s="952"/>
      <c r="R23" s="942"/>
      <c r="S23" s="942"/>
      <c r="T23" s="952"/>
      <c r="U23" s="942"/>
      <c r="V23" s="942"/>
    </row>
    <row r="24" spans="1:22" s="374" customFormat="1" ht="13.5" customHeight="1">
      <c r="A24" s="879"/>
      <c r="B24" s="879"/>
      <c r="C24" s="958"/>
      <c r="D24" s="883"/>
      <c r="E24" s="956"/>
      <c r="F24" s="879"/>
      <c r="G24" s="373">
        <v>110012</v>
      </c>
      <c r="H24" s="373">
        <v>2660</v>
      </c>
      <c r="I24" s="952"/>
      <c r="J24" s="952"/>
      <c r="K24" s="942"/>
      <c r="L24" s="942"/>
      <c r="M24" s="952"/>
      <c r="N24" s="952"/>
      <c r="O24" s="942"/>
      <c r="P24" s="942"/>
      <c r="Q24" s="952"/>
      <c r="R24" s="942"/>
      <c r="S24" s="942"/>
      <c r="T24" s="952"/>
      <c r="U24" s="942"/>
      <c r="V24" s="942"/>
    </row>
    <row r="25" spans="1:22" s="374" customFormat="1" ht="13.5" customHeight="1">
      <c r="A25" s="879"/>
      <c r="B25" s="879"/>
      <c r="C25" s="958"/>
      <c r="D25" s="883"/>
      <c r="E25" s="956"/>
      <c r="F25" s="879"/>
      <c r="G25" s="373">
        <v>81490</v>
      </c>
      <c r="H25" s="373">
        <v>1970</v>
      </c>
      <c r="I25" s="952"/>
      <c r="J25" s="952"/>
      <c r="K25" s="942"/>
      <c r="L25" s="942"/>
      <c r="M25" s="952"/>
      <c r="N25" s="952"/>
      <c r="O25" s="942"/>
      <c r="P25" s="942"/>
      <c r="Q25" s="952"/>
      <c r="R25" s="942"/>
      <c r="S25" s="942"/>
      <c r="T25" s="952"/>
      <c r="U25" s="942"/>
      <c r="V25" s="942"/>
    </row>
    <row r="26" spans="1:22" s="374" customFormat="1" ht="13.5" customHeight="1">
      <c r="A26" s="879"/>
      <c r="B26" s="879"/>
      <c r="C26" s="959"/>
      <c r="D26" s="883"/>
      <c r="E26" s="956"/>
      <c r="F26" s="879"/>
      <c r="G26" s="373">
        <v>0</v>
      </c>
      <c r="H26" s="373">
        <v>0</v>
      </c>
      <c r="I26" s="952"/>
      <c r="J26" s="952"/>
      <c r="K26" s="942"/>
      <c r="L26" s="942"/>
      <c r="M26" s="952"/>
      <c r="N26" s="952"/>
      <c r="O26" s="942"/>
      <c r="P26" s="942"/>
      <c r="Q26" s="952"/>
      <c r="R26" s="942"/>
      <c r="S26" s="942"/>
      <c r="T26" s="952"/>
      <c r="U26" s="942"/>
      <c r="V26" s="942"/>
    </row>
    <row r="27" spans="1:22" s="374" customFormat="1" ht="13.5" customHeight="1">
      <c r="A27" s="879">
        <v>3</v>
      </c>
      <c r="B27" s="902" t="s">
        <v>910</v>
      </c>
      <c r="C27" s="960" t="s">
        <v>911</v>
      </c>
      <c r="D27" s="883" t="s">
        <v>912</v>
      </c>
      <c r="E27" s="956" t="s">
        <v>812</v>
      </c>
      <c r="F27" s="879" t="s">
        <v>691</v>
      </c>
      <c r="G27" s="373">
        <f>G28+G29+G30+G31</f>
        <v>713161</v>
      </c>
      <c r="H27" s="373">
        <f>H28+H29+H30+H31</f>
        <v>541658</v>
      </c>
      <c r="I27" s="952">
        <f>J27+M27</f>
        <v>171503</v>
      </c>
      <c r="J27" s="952">
        <f>K27+L27</f>
        <v>140285</v>
      </c>
      <c r="K27" s="942">
        <v>140285</v>
      </c>
      <c r="L27" s="942">
        <v>0</v>
      </c>
      <c r="M27" s="952">
        <f>N27+Q27+T27</f>
        <v>31218</v>
      </c>
      <c r="N27" s="952">
        <f>O27+P27</f>
        <v>17198</v>
      </c>
      <c r="O27" s="942">
        <v>17198</v>
      </c>
      <c r="P27" s="942">
        <v>0</v>
      </c>
      <c r="Q27" s="952">
        <f>R27+S27</f>
        <v>14020</v>
      </c>
      <c r="R27" s="942">
        <v>14020</v>
      </c>
      <c r="S27" s="942">
        <v>0</v>
      </c>
      <c r="T27" s="952">
        <f>U27+V27</f>
        <v>0</v>
      </c>
      <c r="U27" s="942">
        <v>0</v>
      </c>
      <c r="V27" s="942">
        <v>0</v>
      </c>
    </row>
    <row r="28" spans="1:22" s="374" customFormat="1" ht="13.5" customHeight="1">
      <c r="A28" s="879"/>
      <c r="B28" s="903"/>
      <c r="C28" s="960"/>
      <c r="D28" s="883"/>
      <c r="E28" s="956"/>
      <c r="F28" s="879"/>
      <c r="G28" s="373">
        <v>587227</v>
      </c>
      <c r="H28" s="373">
        <v>446942</v>
      </c>
      <c r="I28" s="952"/>
      <c r="J28" s="952"/>
      <c r="K28" s="942"/>
      <c r="L28" s="942"/>
      <c r="M28" s="952"/>
      <c r="N28" s="952"/>
      <c r="O28" s="942"/>
      <c r="P28" s="942"/>
      <c r="Q28" s="952"/>
      <c r="R28" s="942"/>
      <c r="S28" s="942"/>
      <c r="T28" s="952"/>
      <c r="U28" s="942"/>
      <c r="V28" s="942"/>
    </row>
    <row r="29" spans="1:22" s="374" customFormat="1" ht="13.5" customHeight="1">
      <c r="A29" s="879"/>
      <c r="B29" s="903"/>
      <c r="C29" s="960"/>
      <c r="D29" s="883"/>
      <c r="E29" s="956"/>
      <c r="F29" s="879"/>
      <c r="G29" s="373">
        <v>71987</v>
      </c>
      <c r="H29" s="373">
        <v>54789</v>
      </c>
      <c r="I29" s="952"/>
      <c r="J29" s="952"/>
      <c r="K29" s="942"/>
      <c r="L29" s="942"/>
      <c r="M29" s="952"/>
      <c r="N29" s="952"/>
      <c r="O29" s="942"/>
      <c r="P29" s="942"/>
      <c r="Q29" s="952"/>
      <c r="R29" s="942"/>
      <c r="S29" s="942"/>
      <c r="T29" s="952"/>
      <c r="U29" s="942"/>
      <c r="V29" s="942"/>
    </row>
    <row r="30" spans="1:22" s="374" customFormat="1" ht="13.5" customHeight="1">
      <c r="A30" s="879"/>
      <c r="B30" s="903"/>
      <c r="C30" s="960"/>
      <c r="D30" s="883"/>
      <c r="E30" s="956"/>
      <c r="F30" s="879"/>
      <c r="G30" s="373">
        <v>53947</v>
      </c>
      <c r="H30" s="373">
        <v>39927</v>
      </c>
      <c r="I30" s="952"/>
      <c r="J30" s="952"/>
      <c r="K30" s="942"/>
      <c r="L30" s="942"/>
      <c r="M30" s="952"/>
      <c r="N30" s="952"/>
      <c r="O30" s="942"/>
      <c r="P30" s="942"/>
      <c r="Q30" s="952"/>
      <c r="R30" s="942"/>
      <c r="S30" s="942"/>
      <c r="T30" s="952"/>
      <c r="U30" s="942"/>
      <c r="V30" s="942"/>
    </row>
    <row r="31" spans="1:22" s="374" customFormat="1" ht="13.5" customHeight="1">
      <c r="A31" s="879"/>
      <c r="B31" s="904"/>
      <c r="C31" s="960"/>
      <c r="D31" s="883"/>
      <c r="E31" s="956"/>
      <c r="F31" s="879"/>
      <c r="G31" s="373">
        <v>0</v>
      </c>
      <c r="H31" s="373">
        <v>0</v>
      </c>
      <c r="I31" s="952"/>
      <c r="J31" s="952"/>
      <c r="K31" s="942"/>
      <c r="L31" s="942"/>
      <c r="M31" s="952"/>
      <c r="N31" s="952"/>
      <c r="O31" s="942"/>
      <c r="P31" s="942"/>
      <c r="Q31" s="952"/>
      <c r="R31" s="942"/>
      <c r="S31" s="942"/>
      <c r="T31" s="952"/>
      <c r="U31" s="942"/>
      <c r="V31" s="942"/>
    </row>
    <row r="32" spans="1:22" s="374" customFormat="1" ht="13.5" customHeight="1">
      <c r="A32" s="879">
        <v>4</v>
      </c>
      <c r="B32" s="902" t="s">
        <v>913</v>
      </c>
      <c r="C32" s="957" t="s">
        <v>914</v>
      </c>
      <c r="D32" s="883" t="s">
        <v>915</v>
      </c>
      <c r="E32" s="956" t="s">
        <v>790</v>
      </c>
      <c r="F32" s="879" t="s">
        <v>916</v>
      </c>
      <c r="G32" s="373">
        <f>G33+G34+G35+G36</f>
        <v>7350762</v>
      </c>
      <c r="H32" s="373">
        <f>H33+H34+H35+H36</f>
        <v>2478430</v>
      </c>
      <c r="I32" s="952">
        <f>J32+M32</f>
        <v>3228000</v>
      </c>
      <c r="J32" s="952">
        <f>K32+L32</f>
        <v>0</v>
      </c>
      <c r="K32" s="942">
        <v>0</v>
      </c>
      <c r="L32" s="942">
        <v>0</v>
      </c>
      <c r="M32" s="952">
        <f>N32+Q32+T32</f>
        <v>3228000</v>
      </c>
      <c r="N32" s="952">
        <f>O32+P32</f>
        <v>3228000</v>
      </c>
      <c r="O32" s="942">
        <v>3228000</v>
      </c>
      <c r="P32" s="942">
        <v>0</v>
      </c>
      <c r="Q32" s="952">
        <f>R32+S32</f>
        <v>0</v>
      </c>
      <c r="R32" s="942">
        <v>0</v>
      </c>
      <c r="S32" s="942">
        <v>0</v>
      </c>
      <c r="T32" s="952">
        <f>U32+V32</f>
        <v>0</v>
      </c>
      <c r="U32" s="942">
        <v>0</v>
      </c>
      <c r="V32" s="942">
        <v>0</v>
      </c>
    </row>
    <row r="33" spans="1:22" s="374" customFormat="1" ht="13.5" customHeight="1">
      <c r="A33" s="879"/>
      <c r="B33" s="903"/>
      <c r="C33" s="958"/>
      <c r="D33" s="883"/>
      <c r="E33" s="956"/>
      <c r="F33" s="879"/>
      <c r="G33" s="373">
        <v>0</v>
      </c>
      <c r="H33" s="373">
        <v>0</v>
      </c>
      <c r="I33" s="952"/>
      <c r="J33" s="952"/>
      <c r="K33" s="942"/>
      <c r="L33" s="942"/>
      <c r="M33" s="952"/>
      <c r="N33" s="952"/>
      <c r="O33" s="942"/>
      <c r="P33" s="942"/>
      <c r="Q33" s="952"/>
      <c r="R33" s="942"/>
      <c r="S33" s="942"/>
      <c r="T33" s="952"/>
      <c r="U33" s="942"/>
      <c r="V33" s="942"/>
    </row>
    <row r="34" spans="1:22" s="374" customFormat="1" ht="13.5" customHeight="1">
      <c r="A34" s="879"/>
      <c r="B34" s="903"/>
      <c r="C34" s="958"/>
      <c r="D34" s="883"/>
      <c r="E34" s="956"/>
      <c r="F34" s="879"/>
      <c r="G34" s="373">
        <v>7350762</v>
      </c>
      <c r="H34" s="373">
        <v>2478430</v>
      </c>
      <c r="I34" s="952"/>
      <c r="J34" s="952"/>
      <c r="K34" s="942"/>
      <c r="L34" s="942"/>
      <c r="M34" s="952"/>
      <c r="N34" s="952"/>
      <c r="O34" s="942"/>
      <c r="P34" s="942"/>
      <c r="Q34" s="952"/>
      <c r="R34" s="942"/>
      <c r="S34" s="942"/>
      <c r="T34" s="952"/>
      <c r="U34" s="942"/>
      <c r="V34" s="942"/>
    </row>
    <row r="35" spans="1:22" s="374" customFormat="1" ht="13.5" customHeight="1">
      <c r="A35" s="879"/>
      <c r="B35" s="903"/>
      <c r="C35" s="958"/>
      <c r="D35" s="883"/>
      <c r="E35" s="956"/>
      <c r="F35" s="879"/>
      <c r="G35" s="373">
        <v>0</v>
      </c>
      <c r="H35" s="373">
        <v>0</v>
      </c>
      <c r="I35" s="952"/>
      <c r="J35" s="952"/>
      <c r="K35" s="942"/>
      <c r="L35" s="942"/>
      <c r="M35" s="952"/>
      <c r="N35" s="952"/>
      <c r="O35" s="942"/>
      <c r="P35" s="942"/>
      <c r="Q35" s="952"/>
      <c r="R35" s="942"/>
      <c r="S35" s="942"/>
      <c r="T35" s="952"/>
      <c r="U35" s="942"/>
      <c r="V35" s="942"/>
    </row>
    <row r="36" spans="1:22" s="374" customFormat="1" ht="13.5" customHeight="1">
      <c r="A36" s="879"/>
      <c r="B36" s="904"/>
      <c r="C36" s="959"/>
      <c r="D36" s="883"/>
      <c r="E36" s="956"/>
      <c r="F36" s="879"/>
      <c r="G36" s="373">
        <v>0</v>
      </c>
      <c r="H36" s="373">
        <v>0</v>
      </c>
      <c r="I36" s="952"/>
      <c r="J36" s="952"/>
      <c r="K36" s="942"/>
      <c r="L36" s="942"/>
      <c r="M36" s="952"/>
      <c r="N36" s="952"/>
      <c r="O36" s="942"/>
      <c r="P36" s="942"/>
      <c r="Q36" s="952"/>
      <c r="R36" s="942"/>
      <c r="S36" s="942"/>
      <c r="T36" s="952"/>
      <c r="U36" s="942"/>
      <c r="V36" s="942"/>
    </row>
    <row r="37" spans="1:22" s="374" customFormat="1" ht="13.5" customHeight="1">
      <c r="A37" s="879">
        <v>5</v>
      </c>
      <c r="B37" s="902" t="s">
        <v>917</v>
      </c>
      <c r="C37" s="957" t="s">
        <v>918</v>
      </c>
      <c r="D37" s="883" t="s">
        <v>919</v>
      </c>
      <c r="E37" s="956" t="s">
        <v>795</v>
      </c>
      <c r="F37" s="879" t="s">
        <v>725</v>
      </c>
      <c r="G37" s="373">
        <f>G39+G38+G40+G41</f>
        <v>11977480</v>
      </c>
      <c r="H37" s="373">
        <f>H39+H38+H40+H41</f>
        <v>7485709</v>
      </c>
      <c r="I37" s="952">
        <f>J37+M37</f>
        <v>3810530</v>
      </c>
      <c r="J37" s="952">
        <f>K37+L37</f>
        <v>3211513</v>
      </c>
      <c r="K37" s="942">
        <v>3211513</v>
      </c>
      <c r="L37" s="942">
        <v>0</v>
      </c>
      <c r="M37" s="952">
        <f>N37+Q37+T37</f>
        <v>599017</v>
      </c>
      <c r="N37" s="952">
        <f>O37+P37</f>
        <v>599017</v>
      </c>
      <c r="O37" s="942">
        <v>599017</v>
      </c>
      <c r="P37" s="942">
        <v>0</v>
      </c>
      <c r="Q37" s="952">
        <f>R37+S37</f>
        <v>0</v>
      </c>
      <c r="R37" s="942">
        <v>0</v>
      </c>
      <c r="S37" s="942">
        <v>0</v>
      </c>
      <c r="T37" s="952">
        <f>U37+V37</f>
        <v>0</v>
      </c>
      <c r="U37" s="942">
        <v>0</v>
      </c>
      <c r="V37" s="942">
        <v>0</v>
      </c>
    </row>
    <row r="38" spans="1:22" s="374" customFormat="1" ht="13.5" customHeight="1">
      <c r="A38" s="879"/>
      <c r="B38" s="903"/>
      <c r="C38" s="958"/>
      <c r="D38" s="883"/>
      <c r="E38" s="956"/>
      <c r="F38" s="879"/>
      <c r="G38" s="373">
        <v>10094620</v>
      </c>
      <c r="H38" s="373">
        <v>6308955</v>
      </c>
      <c r="I38" s="952"/>
      <c r="J38" s="952"/>
      <c r="K38" s="942"/>
      <c r="L38" s="942"/>
      <c r="M38" s="952"/>
      <c r="N38" s="952"/>
      <c r="O38" s="942"/>
      <c r="P38" s="942"/>
      <c r="Q38" s="952"/>
      <c r="R38" s="942"/>
      <c r="S38" s="942"/>
      <c r="T38" s="952"/>
      <c r="U38" s="942"/>
      <c r="V38" s="942"/>
    </row>
    <row r="39" spans="1:22" s="374" customFormat="1" ht="13.5" customHeight="1">
      <c r="A39" s="879"/>
      <c r="B39" s="903"/>
      <c r="C39" s="958"/>
      <c r="D39" s="883"/>
      <c r="E39" s="956"/>
      <c r="F39" s="879"/>
      <c r="G39" s="373">
        <v>1882860</v>
      </c>
      <c r="H39" s="373">
        <v>1176754</v>
      </c>
      <c r="I39" s="952"/>
      <c r="J39" s="952"/>
      <c r="K39" s="942"/>
      <c r="L39" s="942"/>
      <c r="M39" s="952"/>
      <c r="N39" s="952"/>
      <c r="O39" s="942"/>
      <c r="P39" s="942"/>
      <c r="Q39" s="952"/>
      <c r="R39" s="942"/>
      <c r="S39" s="942"/>
      <c r="T39" s="952"/>
      <c r="U39" s="942"/>
      <c r="V39" s="942"/>
    </row>
    <row r="40" spans="1:22" s="374" customFormat="1" ht="13.5" customHeight="1">
      <c r="A40" s="879"/>
      <c r="B40" s="903"/>
      <c r="C40" s="958"/>
      <c r="D40" s="883"/>
      <c r="E40" s="956"/>
      <c r="F40" s="879"/>
      <c r="G40" s="373">
        <v>0</v>
      </c>
      <c r="H40" s="373">
        <v>0</v>
      </c>
      <c r="I40" s="952"/>
      <c r="J40" s="952"/>
      <c r="K40" s="942"/>
      <c r="L40" s="942"/>
      <c r="M40" s="952"/>
      <c r="N40" s="952"/>
      <c r="O40" s="942"/>
      <c r="P40" s="942"/>
      <c r="Q40" s="952"/>
      <c r="R40" s="942"/>
      <c r="S40" s="942"/>
      <c r="T40" s="952"/>
      <c r="U40" s="942"/>
      <c r="V40" s="942"/>
    </row>
    <row r="41" spans="1:22" s="374" customFormat="1" ht="13.5" customHeight="1">
      <c r="A41" s="879"/>
      <c r="B41" s="904"/>
      <c r="C41" s="959"/>
      <c r="D41" s="883"/>
      <c r="E41" s="956"/>
      <c r="F41" s="879"/>
      <c r="G41" s="373">
        <v>0</v>
      </c>
      <c r="H41" s="373">
        <v>0</v>
      </c>
      <c r="I41" s="952"/>
      <c r="J41" s="952"/>
      <c r="K41" s="942"/>
      <c r="L41" s="942"/>
      <c r="M41" s="952"/>
      <c r="N41" s="952"/>
      <c r="O41" s="942"/>
      <c r="P41" s="942"/>
      <c r="Q41" s="952"/>
      <c r="R41" s="942"/>
      <c r="S41" s="942"/>
      <c r="T41" s="952"/>
      <c r="U41" s="942"/>
      <c r="V41" s="942"/>
    </row>
    <row r="42" spans="1:22" s="374" customFormat="1" ht="13.5" customHeight="1">
      <c r="A42" s="879">
        <v>6</v>
      </c>
      <c r="B42" s="902" t="s">
        <v>920</v>
      </c>
      <c r="C42" s="957" t="s">
        <v>921</v>
      </c>
      <c r="D42" s="883" t="s">
        <v>922</v>
      </c>
      <c r="E42" s="956" t="s">
        <v>812</v>
      </c>
      <c r="F42" s="879" t="s">
        <v>707</v>
      </c>
      <c r="G42" s="373">
        <f>G43+G44+G45+G46</f>
        <v>51143</v>
      </c>
      <c r="H42" s="373">
        <f>H43+H44+H45+H46</f>
        <v>43728</v>
      </c>
      <c r="I42" s="952">
        <f>J42+M42</f>
        <v>7415</v>
      </c>
      <c r="J42" s="952">
        <f>K42+L42</f>
        <v>6250</v>
      </c>
      <c r="K42" s="942">
        <v>6250</v>
      </c>
      <c r="L42" s="942">
        <v>0</v>
      </c>
      <c r="M42" s="952">
        <f>N42+Q42+T42</f>
        <v>1165</v>
      </c>
      <c r="N42" s="952">
        <f>O42+P42</f>
        <v>1165</v>
      </c>
      <c r="O42" s="942">
        <v>1165</v>
      </c>
      <c r="P42" s="942">
        <v>0</v>
      </c>
      <c r="Q42" s="952">
        <f>R42+S42</f>
        <v>0</v>
      </c>
      <c r="R42" s="942">
        <v>0</v>
      </c>
      <c r="S42" s="942">
        <v>0</v>
      </c>
      <c r="T42" s="952">
        <f>U42+V42</f>
        <v>0</v>
      </c>
      <c r="U42" s="942">
        <v>0</v>
      </c>
      <c r="V42" s="942">
        <v>0</v>
      </c>
    </row>
    <row r="43" spans="1:22" s="374" customFormat="1" ht="13.5" customHeight="1">
      <c r="A43" s="879"/>
      <c r="B43" s="903"/>
      <c r="C43" s="958"/>
      <c r="D43" s="883"/>
      <c r="E43" s="956"/>
      <c r="F43" s="879"/>
      <c r="G43" s="373">
        <v>43103</v>
      </c>
      <c r="H43" s="373">
        <v>36853</v>
      </c>
      <c r="I43" s="952"/>
      <c r="J43" s="952"/>
      <c r="K43" s="942"/>
      <c r="L43" s="942"/>
      <c r="M43" s="952"/>
      <c r="N43" s="952"/>
      <c r="O43" s="942"/>
      <c r="P43" s="942"/>
      <c r="Q43" s="952"/>
      <c r="R43" s="942"/>
      <c r="S43" s="942"/>
      <c r="T43" s="952"/>
      <c r="U43" s="942"/>
      <c r="V43" s="942"/>
    </row>
    <row r="44" spans="1:22" s="374" customFormat="1" ht="13.5" customHeight="1">
      <c r="A44" s="879"/>
      <c r="B44" s="903"/>
      <c r="C44" s="958"/>
      <c r="D44" s="883"/>
      <c r="E44" s="956"/>
      <c r="F44" s="879"/>
      <c r="G44" s="373">
        <v>8040</v>
      </c>
      <c r="H44" s="373">
        <v>6875</v>
      </c>
      <c r="I44" s="952"/>
      <c r="J44" s="952"/>
      <c r="K44" s="942"/>
      <c r="L44" s="942"/>
      <c r="M44" s="952"/>
      <c r="N44" s="952"/>
      <c r="O44" s="942"/>
      <c r="P44" s="942"/>
      <c r="Q44" s="952"/>
      <c r="R44" s="942"/>
      <c r="S44" s="942"/>
      <c r="T44" s="952"/>
      <c r="U44" s="942"/>
      <c r="V44" s="942"/>
    </row>
    <row r="45" spans="1:22" s="374" customFormat="1" ht="13.5" customHeight="1">
      <c r="A45" s="879"/>
      <c r="B45" s="903"/>
      <c r="C45" s="958"/>
      <c r="D45" s="883"/>
      <c r="E45" s="956"/>
      <c r="F45" s="879"/>
      <c r="G45" s="373">
        <v>0</v>
      </c>
      <c r="H45" s="373">
        <v>0</v>
      </c>
      <c r="I45" s="952"/>
      <c r="J45" s="952"/>
      <c r="K45" s="942"/>
      <c r="L45" s="942"/>
      <c r="M45" s="952"/>
      <c r="N45" s="952"/>
      <c r="O45" s="942"/>
      <c r="P45" s="942"/>
      <c r="Q45" s="952"/>
      <c r="R45" s="942"/>
      <c r="S45" s="942"/>
      <c r="T45" s="952"/>
      <c r="U45" s="942"/>
      <c r="V45" s="942"/>
    </row>
    <row r="46" spans="1:22" s="374" customFormat="1" ht="13.5" customHeight="1">
      <c r="A46" s="879"/>
      <c r="B46" s="904"/>
      <c r="C46" s="959"/>
      <c r="D46" s="883"/>
      <c r="E46" s="956"/>
      <c r="F46" s="879"/>
      <c r="G46" s="373">
        <v>0</v>
      </c>
      <c r="H46" s="373">
        <v>0</v>
      </c>
      <c r="I46" s="952"/>
      <c r="J46" s="952"/>
      <c r="K46" s="942"/>
      <c r="L46" s="942"/>
      <c r="M46" s="952"/>
      <c r="N46" s="952"/>
      <c r="O46" s="942"/>
      <c r="P46" s="942"/>
      <c r="Q46" s="952"/>
      <c r="R46" s="942"/>
      <c r="S46" s="942"/>
      <c r="T46" s="952"/>
      <c r="U46" s="942"/>
      <c r="V46" s="942"/>
    </row>
    <row r="47" spans="1:22" s="374" customFormat="1" ht="13.5" customHeight="1">
      <c r="A47" s="879">
        <v>7</v>
      </c>
      <c r="B47" s="902" t="s">
        <v>923</v>
      </c>
      <c r="C47" s="957" t="s">
        <v>924</v>
      </c>
      <c r="D47" s="883" t="s">
        <v>228</v>
      </c>
      <c r="E47" s="956" t="s">
        <v>905</v>
      </c>
      <c r="F47" s="879" t="s">
        <v>809</v>
      </c>
      <c r="G47" s="373">
        <f>G48+G49+G50+G51</f>
        <v>326482</v>
      </c>
      <c r="H47" s="373">
        <f>H48+H49+H50+H51</f>
        <v>0</v>
      </c>
      <c r="I47" s="952">
        <f>J47+M47</f>
        <v>174214</v>
      </c>
      <c r="J47" s="952">
        <f>K47+L47</f>
        <v>163142</v>
      </c>
      <c r="K47" s="942">
        <v>163142</v>
      </c>
      <c r="L47" s="942">
        <v>0</v>
      </c>
      <c r="M47" s="952">
        <f>N47+Q47+T47</f>
        <v>11072</v>
      </c>
      <c r="N47" s="952">
        <f>O47+P47</f>
        <v>11072</v>
      </c>
      <c r="O47" s="942">
        <v>11072</v>
      </c>
      <c r="P47" s="942">
        <v>0</v>
      </c>
      <c r="Q47" s="952">
        <f>R47+S47</f>
        <v>0</v>
      </c>
      <c r="R47" s="942">
        <v>0</v>
      </c>
      <c r="S47" s="942">
        <v>0</v>
      </c>
      <c r="T47" s="952">
        <f>U47+V47</f>
        <v>0</v>
      </c>
      <c r="U47" s="942">
        <v>0</v>
      </c>
      <c r="V47" s="942">
        <v>0</v>
      </c>
    </row>
    <row r="48" spans="1:22" s="374" customFormat="1" ht="13.5" customHeight="1">
      <c r="A48" s="879"/>
      <c r="B48" s="903"/>
      <c r="C48" s="958"/>
      <c r="D48" s="883"/>
      <c r="E48" s="956"/>
      <c r="F48" s="879"/>
      <c r="G48" s="373">
        <v>305736</v>
      </c>
      <c r="H48" s="373">
        <v>0</v>
      </c>
      <c r="I48" s="952"/>
      <c r="J48" s="952"/>
      <c r="K48" s="942"/>
      <c r="L48" s="942"/>
      <c r="M48" s="952"/>
      <c r="N48" s="952"/>
      <c r="O48" s="942"/>
      <c r="P48" s="942"/>
      <c r="Q48" s="952"/>
      <c r="R48" s="942"/>
      <c r="S48" s="942"/>
      <c r="T48" s="952"/>
      <c r="U48" s="942"/>
      <c r="V48" s="942"/>
    </row>
    <row r="49" spans="1:22" s="374" customFormat="1" ht="13.5" customHeight="1">
      <c r="A49" s="879"/>
      <c r="B49" s="903"/>
      <c r="C49" s="958"/>
      <c r="D49" s="883"/>
      <c r="E49" s="956"/>
      <c r="F49" s="879"/>
      <c r="G49" s="373">
        <v>20746</v>
      </c>
      <c r="H49" s="373">
        <v>0</v>
      </c>
      <c r="I49" s="952"/>
      <c r="J49" s="952"/>
      <c r="K49" s="942"/>
      <c r="L49" s="942"/>
      <c r="M49" s="952"/>
      <c r="N49" s="952"/>
      <c r="O49" s="942"/>
      <c r="P49" s="942"/>
      <c r="Q49" s="952"/>
      <c r="R49" s="942"/>
      <c r="S49" s="942"/>
      <c r="T49" s="952"/>
      <c r="U49" s="942"/>
      <c r="V49" s="942"/>
    </row>
    <row r="50" spans="1:22" s="374" customFormat="1" ht="13.5" customHeight="1">
      <c r="A50" s="879"/>
      <c r="B50" s="903"/>
      <c r="C50" s="958"/>
      <c r="D50" s="883"/>
      <c r="E50" s="956"/>
      <c r="F50" s="879"/>
      <c r="G50" s="373">
        <v>0</v>
      </c>
      <c r="H50" s="373">
        <v>0</v>
      </c>
      <c r="I50" s="952"/>
      <c r="J50" s="952"/>
      <c r="K50" s="942"/>
      <c r="L50" s="942"/>
      <c r="M50" s="952"/>
      <c r="N50" s="952"/>
      <c r="O50" s="942"/>
      <c r="P50" s="942"/>
      <c r="Q50" s="952"/>
      <c r="R50" s="942"/>
      <c r="S50" s="942"/>
      <c r="T50" s="952"/>
      <c r="U50" s="942"/>
      <c r="V50" s="942"/>
    </row>
    <row r="51" spans="1:22" s="374" customFormat="1" ht="13.5" customHeight="1">
      <c r="A51" s="879"/>
      <c r="B51" s="904"/>
      <c r="C51" s="959"/>
      <c r="D51" s="883"/>
      <c r="E51" s="956"/>
      <c r="F51" s="879"/>
      <c r="G51" s="373">
        <v>0</v>
      </c>
      <c r="H51" s="373">
        <v>0</v>
      </c>
      <c r="I51" s="952"/>
      <c r="J51" s="952"/>
      <c r="K51" s="942"/>
      <c r="L51" s="942"/>
      <c r="M51" s="952"/>
      <c r="N51" s="952"/>
      <c r="O51" s="942"/>
      <c r="P51" s="942"/>
      <c r="Q51" s="952"/>
      <c r="R51" s="942"/>
      <c r="S51" s="942"/>
      <c r="T51" s="952"/>
      <c r="U51" s="942"/>
      <c r="V51" s="942"/>
    </row>
    <row r="52" spans="1:22" s="374" customFormat="1" ht="13.5" customHeight="1">
      <c r="A52" s="879">
        <v>8</v>
      </c>
      <c r="B52" s="883" t="s">
        <v>925</v>
      </c>
      <c r="C52" s="957" t="s">
        <v>926</v>
      </c>
      <c r="D52" s="883" t="s">
        <v>915</v>
      </c>
      <c r="E52" s="956" t="s">
        <v>790</v>
      </c>
      <c r="F52" s="879" t="s">
        <v>927</v>
      </c>
      <c r="G52" s="373">
        <f>G53+G54+G55+G56</f>
        <v>14084846</v>
      </c>
      <c r="H52" s="373">
        <f>H53+H54+H55+H56</f>
        <v>11079686</v>
      </c>
      <c r="I52" s="952">
        <f>J52+M52</f>
        <v>3005160</v>
      </c>
      <c r="J52" s="952">
        <f>K52+L52</f>
        <v>2532749</v>
      </c>
      <c r="K52" s="942">
        <v>2509151</v>
      </c>
      <c r="L52" s="942">
        <v>23598</v>
      </c>
      <c r="M52" s="952">
        <f>N52+Q52+T52</f>
        <v>472411</v>
      </c>
      <c r="N52" s="952">
        <f>O52+P52</f>
        <v>0</v>
      </c>
      <c r="O52" s="942">
        <v>0</v>
      </c>
      <c r="P52" s="942">
        <v>0</v>
      </c>
      <c r="Q52" s="952">
        <f>R52+S52</f>
        <v>472411</v>
      </c>
      <c r="R52" s="942">
        <v>468009</v>
      </c>
      <c r="S52" s="942">
        <v>4402</v>
      </c>
      <c r="T52" s="952">
        <f>U52+V52</f>
        <v>0</v>
      </c>
      <c r="U52" s="942">
        <v>0</v>
      </c>
      <c r="V52" s="942">
        <v>0</v>
      </c>
    </row>
    <row r="53" spans="1:22" s="374" customFormat="1" ht="13.5" customHeight="1">
      <c r="A53" s="879"/>
      <c r="B53" s="883"/>
      <c r="C53" s="958"/>
      <c r="D53" s="883"/>
      <c r="E53" s="956"/>
      <c r="F53" s="879"/>
      <c r="G53" s="373">
        <v>11870706</v>
      </c>
      <c r="H53" s="373">
        <v>9337957</v>
      </c>
      <c r="I53" s="952"/>
      <c r="J53" s="952"/>
      <c r="K53" s="942"/>
      <c r="L53" s="942"/>
      <c r="M53" s="952"/>
      <c r="N53" s="952"/>
      <c r="O53" s="942"/>
      <c r="P53" s="942"/>
      <c r="Q53" s="952"/>
      <c r="R53" s="942"/>
      <c r="S53" s="942"/>
      <c r="T53" s="952"/>
      <c r="U53" s="942"/>
      <c r="V53" s="942"/>
    </row>
    <row r="54" spans="1:22" s="374" customFormat="1" ht="13.5" customHeight="1">
      <c r="A54" s="879"/>
      <c r="B54" s="883"/>
      <c r="C54" s="958"/>
      <c r="D54" s="883"/>
      <c r="E54" s="956"/>
      <c r="F54" s="879"/>
      <c r="G54" s="373">
        <v>0</v>
      </c>
      <c r="H54" s="373">
        <v>0</v>
      </c>
      <c r="I54" s="952"/>
      <c r="J54" s="952"/>
      <c r="K54" s="942"/>
      <c r="L54" s="942"/>
      <c r="M54" s="952"/>
      <c r="N54" s="952"/>
      <c r="O54" s="942"/>
      <c r="P54" s="942"/>
      <c r="Q54" s="952"/>
      <c r="R54" s="942"/>
      <c r="S54" s="942"/>
      <c r="T54" s="952"/>
      <c r="U54" s="942"/>
      <c r="V54" s="942"/>
    </row>
    <row r="55" spans="1:22" s="374" customFormat="1" ht="13.5" customHeight="1">
      <c r="A55" s="879"/>
      <c r="B55" s="883"/>
      <c r="C55" s="958"/>
      <c r="D55" s="883"/>
      <c r="E55" s="956"/>
      <c r="F55" s="879"/>
      <c r="G55" s="373">
        <v>2214140</v>
      </c>
      <c r="H55" s="373">
        <v>1741729</v>
      </c>
      <c r="I55" s="952"/>
      <c r="J55" s="952"/>
      <c r="K55" s="942"/>
      <c r="L55" s="942"/>
      <c r="M55" s="952"/>
      <c r="N55" s="952"/>
      <c r="O55" s="942"/>
      <c r="P55" s="942"/>
      <c r="Q55" s="952"/>
      <c r="R55" s="942"/>
      <c r="S55" s="942"/>
      <c r="T55" s="952"/>
      <c r="U55" s="942"/>
      <c r="V55" s="942"/>
    </row>
    <row r="56" spans="1:22" s="374" customFormat="1" ht="13.5" customHeight="1">
      <c r="A56" s="879"/>
      <c r="B56" s="883"/>
      <c r="C56" s="959"/>
      <c r="D56" s="883"/>
      <c r="E56" s="956"/>
      <c r="F56" s="879"/>
      <c r="G56" s="373">
        <v>0</v>
      </c>
      <c r="H56" s="373">
        <v>0</v>
      </c>
      <c r="I56" s="952"/>
      <c r="J56" s="952"/>
      <c r="K56" s="942"/>
      <c r="L56" s="942"/>
      <c r="M56" s="952"/>
      <c r="N56" s="952"/>
      <c r="O56" s="942"/>
      <c r="P56" s="942"/>
      <c r="Q56" s="952"/>
      <c r="R56" s="942"/>
      <c r="S56" s="942"/>
      <c r="T56" s="952"/>
      <c r="U56" s="942"/>
      <c r="V56" s="942"/>
    </row>
    <row r="57" spans="1:22" s="374" customFormat="1" ht="13.5" customHeight="1">
      <c r="A57" s="879">
        <v>9</v>
      </c>
      <c r="B57" s="902" t="s">
        <v>928</v>
      </c>
      <c r="C57" s="960" t="s">
        <v>929</v>
      </c>
      <c r="D57" s="883" t="s">
        <v>228</v>
      </c>
      <c r="E57" s="956" t="s">
        <v>930</v>
      </c>
      <c r="F57" s="879" t="s">
        <v>931</v>
      </c>
      <c r="G57" s="373">
        <f>G58+G59+G60+G61</f>
        <v>32013540</v>
      </c>
      <c r="H57" s="373">
        <f>H58+H59+H60+H61</f>
        <v>16393540</v>
      </c>
      <c r="I57" s="952">
        <f>J57+M57</f>
        <v>4300000</v>
      </c>
      <c r="J57" s="952">
        <f>K57+L57</f>
        <v>2736000</v>
      </c>
      <c r="K57" s="942">
        <v>2736000</v>
      </c>
      <c r="L57" s="942">
        <v>0</v>
      </c>
      <c r="M57" s="952">
        <f>N57+Q57+T57</f>
        <v>1564000</v>
      </c>
      <c r="N57" s="952">
        <f>O57+P57</f>
        <v>1564000</v>
      </c>
      <c r="O57" s="942">
        <v>1564000</v>
      </c>
      <c r="P57" s="942">
        <v>0</v>
      </c>
      <c r="Q57" s="952">
        <f>R57+S57</f>
        <v>0</v>
      </c>
      <c r="R57" s="942">
        <v>0</v>
      </c>
      <c r="S57" s="942">
        <v>0</v>
      </c>
      <c r="T57" s="952">
        <f>U57+V57</f>
        <v>0</v>
      </c>
      <c r="U57" s="942">
        <v>0</v>
      </c>
      <c r="V57" s="942">
        <v>0</v>
      </c>
    </row>
    <row r="58" spans="1:22" s="374" customFormat="1" ht="13.5" customHeight="1">
      <c r="A58" s="879"/>
      <c r="B58" s="903"/>
      <c r="C58" s="960"/>
      <c r="D58" s="883"/>
      <c r="E58" s="956"/>
      <c r="F58" s="879"/>
      <c r="G58" s="373">
        <v>20369748</v>
      </c>
      <c r="H58" s="373">
        <v>10430748</v>
      </c>
      <c r="I58" s="952"/>
      <c r="J58" s="952"/>
      <c r="K58" s="942"/>
      <c r="L58" s="942"/>
      <c r="M58" s="952"/>
      <c r="N58" s="952"/>
      <c r="O58" s="942"/>
      <c r="P58" s="942"/>
      <c r="Q58" s="952"/>
      <c r="R58" s="942"/>
      <c r="S58" s="942"/>
      <c r="T58" s="952"/>
      <c r="U58" s="942"/>
      <c r="V58" s="942"/>
    </row>
    <row r="59" spans="1:22" s="374" customFormat="1" ht="13.5" customHeight="1">
      <c r="A59" s="879"/>
      <c r="B59" s="903"/>
      <c r="C59" s="960"/>
      <c r="D59" s="883"/>
      <c r="E59" s="956"/>
      <c r="F59" s="879"/>
      <c r="G59" s="373">
        <v>11643792</v>
      </c>
      <c r="H59" s="373">
        <v>5962792</v>
      </c>
      <c r="I59" s="952"/>
      <c r="J59" s="952"/>
      <c r="K59" s="942"/>
      <c r="L59" s="942"/>
      <c r="M59" s="952"/>
      <c r="N59" s="952"/>
      <c r="O59" s="942"/>
      <c r="P59" s="942"/>
      <c r="Q59" s="952"/>
      <c r="R59" s="942"/>
      <c r="S59" s="942"/>
      <c r="T59" s="952"/>
      <c r="U59" s="942"/>
      <c r="V59" s="942"/>
    </row>
    <row r="60" spans="1:22" s="374" customFormat="1" ht="13.5" customHeight="1">
      <c r="A60" s="879"/>
      <c r="B60" s="903"/>
      <c r="C60" s="960"/>
      <c r="D60" s="883"/>
      <c r="E60" s="956"/>
      <c r="F60" s="879"/>
      <c r="G60" s="373">
        <v>0</v>
      </c>
      <c r="H60" s="373">
        <v>0</v>
      </c>
      <c r="I60" s="952"/>
      <c r="J60" s="952"/>
      <c r="K60" s="942"/>
      <c r="L60" s="942"/>
      <c r="M60" s="952"/>
      <c r="N60" s="952"/>
      <c r="O60" s="942"/>
      <c r="P60" s="942"/>
      <c r="Q60" s="952"/>
      <c r="R60" s="942"/>
      <c r="S60" s="942"/>
      <c r="T60" s="952"/>
      <c r="U60" s="942"/>
      <c r="V60" s="942"/>
    </row>
    <row r="61" spans="1:22" s="374" customFormat="1" ht="13.5" customHeight="1">
      <c r="A61" s="879"/>
      <c r="B61" s="904"/>
      <c r="C61" s="960"/>
      <c r="D61" s="883"/>
      <c r="E61" s="956"/>
      <c r="F61" s="879"/>
      <c r="G61" s="373">
        <v>0</v>
      </c>
      <c r="H61" s="373">
        <v>0</v>
      </c>
      <c r="I61" s="952"/>
      <c r="J61" s="952"/>
      <c r="K61" s="942"/>
      <c r="L61" s="942"/>
      <c r="M61" s="952"/>
      <c r="N61" s="952"/>
      <c r="O61" s="942"/>
      <c r="P61" s="942"/>
      <c r="Q61" s="952"/>
      <c r="R61" s="942"/>
      <c r="S61" s="942"/>
      <c r="T61" s="952"/>
      <c r="U61" s="942"/>
      <c r="V61" s="942"/>
    </row>
    <row r="62" spans="1:22" s="374" customFormat="1" ht="15.75" customHeight="1">
      <c r="A62" s="879">
        <v>10</v>
      </c>
      <c r="B62" s="902" t="s">
        <v>928</v>
      </c>
      <c r="C62" s="960" t="s">
        <v>932</v>
      </c>
      <c r="D62" s="883" t="s">
        <v>228</v>
      </c>
      <c r="E62" s="956" t="s">
        <v>930</v>
      </c>
      <c r="F62" s="879" t="s">
        <v>931</v>
      </c>
      <c r="G62" s="373">
        <f>G63+G64+G65+G66</f>
        <v>919398</v>
      </c>
      <c r="H62" s="373">
        <f>H63+H64+H65+H66</f>
        <v>519398</v>
      </c>
      <c r="I62" s="952">
        <f>J62+M62</f>
        <v>100000</v>
      </c>
      <c r="J62" s="952">
        <f>K62+L62</f>
        <v>64000</v>
      </c>
      <c r="K62" s="942">
        <v>64000</v>
      </c>
      <c r="L62" s="942">
        <v>0</v>
      </c>
      <c r="M62" s="952">
        <f>N62+Q62+T62</f>
        <v>36000</v>
      </c>
      <c r="N62" s="952">
        <f>O62+P62</f>
        <v>36000</v>
      </c>
      <c r="O62" s="942">
        <v>36000</v>
      </c>
      <c r="P62" s="942">
        <v>0</v>
      </c>
      <c r="Q62" s="952">
        <f>R62+S62</f>
        <v>0</v>
      </c>
      <c r="R62" s="942">
        <v>0</v>
      </c>
      <c r="S62" s="942">
        <v>0</v>
      </c>
      <c r="T62" s="952">
        <f>U62+V62</f>
        <v>0</v>
      </c>
      <c r="U62" s="942">
        <v>0</v>
      </c>
      <c r="V62" s="942">
        <v>0</v>
      </c>
    </row>
    <row r="63" spans="1:22" s="374" customFormat="1" ht="15.75" customHeight="1">
      <c r="A63" s="879"/>
      <c r="B63" s="903"/>
      <c r="C63" s="960"/>
      <c r="D63" s="883"/>
      <c r="E63" s="956"/>
      <c r="F63" s="879"/>
      <c r="G63" s="373">
        <v>586863</v>
      </c>
      <c r="H63" s="373">
        <v>330863</v>
      </c>
      <c r="I63" s="952"/>
      <c r="J63" s="952"/>
      <c r="K63" s="942"/>
      <c r="L63" s="942"/>
      <c r="M63" s="952"/>
      <c r="N63" s="952"/>
      <c r="O63" s="942"/>
      <c r="P63" s="942"/>
      <c r="Q63" s="952"/>
      <c r="R63" s="942"/>
      <c r="S63" s="942"/>
      <c r="T63" s="952"/>
      <c r="U63" s="942"/>
      <c r="V63" s="942"/>
    </row>
    <row r="64" spans="1:22" s="374" customFormat="1" ht="15.75" customHeight="1">
      <c r="A64" s="879"/>
      <c r="B64" s="903"/>
      <c r="C64" s="960"/>
      <c r="D64" s="883"/>
      <c r="E64" s="956"/>
      <c r="F64" s="879"/>
      <c r="G64" s="373">
        <v>332535</v>
      </c>
      <c r="H64" s="373">
        <v>188535</v>
      </c>
      <c r="I64" s="952"/>
      <c r="J64" s="952"/>
      <c r="K64" s="942"/>
      <c r="L64" s="942"/>
      <c r="M64" s="952"/>
      <c r="N64" s="952"/>
      <c r="O64" s="942"/>
      <c r="P64" s="942"/>
      <c r="Q64" s="952"/>
      <c r="R64" s="942"/>
      <c r="S64" s="942"/>
      <c r="T64" s="952"/>
      <c r="U64" s="942"/>
      <c r="V64" s="942"/>
    </row>
    <row r="65" spans="1:22" s="374" customFormat="1" ht="15.75" customHeight="1">
      <c r="A65" s="879"/>
      <c r="B65" s="903"/>
      <c r="C65" s="960"/>
      <c r="D65" s="883"/>
      <c r="E65" s="956"/>
      <c r="F65" s="879"/>
      <c r="G65" s="373">
        <v>0</v>
      </c>
      <c r="H65" s="373">
        <v>0</v>
      </c>
      <c r="I65" s="952"/>
      <c r="J65" s="952"/>
      <c r="K65" s="942"/>
      <c r="L65" s="942"/>
      <c r="M65" s="952"/>
      <c r="N65" s="952"/>
      <c r="O65" s="942"/>
      <c r="P65" s="942"/>
      <c r="Q65" s="952"/>
      <c r="R65" s="942"/>
      <c r="S65" s="942"/>
      <c r="T65" s="952"/>
      <c r="U65" s="942"/>
      <c r="V65" s="942"/>
    </row>
    <row r="66" spans="1:22" s="374" customFormat="1" ht="15.75" customHeight="1">
      <c r="A66" s="879"/>
      <c r="B66" s="904"/>
      <c r="C66" s="960"/>
      <c r="D66" s="883"/>
      <c r="E66" s="956"/>
      <c r="F66" s="879"/>
      <c r="G66" s="373">
        <v>0</v>
      </c>
      <c r="H66" s="373">
        <v>0</v>
      </c>
      <c r="I66" s="952"/>
      <c r="J66" s="952"/>
      <c r="K66" s="942"/>
      <c r="L66" s="942"/>
      <c r="M66" s="952"/>
      <c r="N66" s="952"/>
      <c r="O66" s="942"/>
      <c r="P66" s="942"/>
      <c r="Q66" s="952"/>
      <c r="R66" s="942"/>
      <c r="S66" s="942"/>
      <c r="T66" s="952"/>
      <c r="U66" s="942"/>
      <c r="V66" s="942"/>
    </row>
    <row r="67" spans="1:22" s="374" customFormat="1" ht="15.75" customHeight="1">
      <c r="A67" s="879">
        <v>11</v>
      </c>
      <c r="B67" s="902" t="s">
        <v>928</v>
      </c>
      <c r="C67" s="960" t="s">
        <v>933</v>
      </c>
      <c r="D67" s="883" t="s">
        <v>228</v>
      </c>
      <c r="E67" s="956" t="s">
        <v>930</v>
      </c>
      <c r="F67" s="879" t="s">
        <v>931</v>
      </c>
      <c r="G67" s="373">
        <f>G68+G69+G70+G71</f>
        <v>7969332</v>
      </c>
      <c r="H67" s="373">
        <f>H68+H69+H70+H71</f>
        <v>4979332</v>
      </c>
      <c r="I67" s="952">
        <f>J67+M67</f>
        <v>1200000</v>
      </c>
      <c r="J67" s="952">
        <f>K67+L67</f>
        <v>764000</v>
      </c>
      <c r="K67" s="942">
        <v>764000</v>
      </c>
      <c r="L67" s="942">
        <v>0</v>
      </c>
      <c r="M67" s="952">
        <f>N67+Q67+T67</f>
        <v>436000</v>
      </c>
      <c r="N67" s="952">
        <f>O67+P67</f>
        <v>436000</v>
      </c>
      <c r="O67" s="942">
        <v>436000</v>
      </c>
      <c r="P67" s="942">
        <v>0</v>
      </c>
      <c r="Q67" s="952">
        <f>R67+S67</f>
        <v>0</v>
      </c>
      <c r="R67" s="942">
        <v>0</v>
      </c>
      <c r="S67" s="942">
        <v>0</v>
      </c>
      <c r="T67" s="952">
        <f>U67+V67</f>
        <v>0</v>
      </c>
      <c r="U67" s="942">
        <v>0</v>
      </c>
      <c r="V67" s="942">
        <v>0</v>
      </c>
    </row>
    <row r="68" spans="1:22" s="374" customFormat="1" ht="15.75" customHeight="1">
      <c r="A68" s="879"/>
      <c r="B68" s="903"/>
      <c r="C68" s="960"/>
      <c r="D68" s="883"/>
      <c r="E68" s="956"/>
      <c r="F68" s="879"/>
      <c r="G68" s="373">
        <v>5072788</v>
      </c>
      <c r="H68" s="373">
        <v>3168788</v>
      </c>
      <c r="I68" s="952"/>
      <c r="J68" s="952"/>
      <c r="K68" s="942"/>
      <c r="L68" s="942"/>
      <c r="M68" s="952"/>
      <c r="N68" s="952"/>
      <c r="O68" s="942"/>
      <c r="P68" s="942"/>
      <c r="Q68" s="952"/>
      <c r="R68" s="942"/>
      <c r="S68" s="942"/>
      <c r="T68" s="952"/>
      <c r="U68" s="942"/>
      <c r="V68" s="942"/>
    </row>
    <row r="69" spans="1:22" s="374" customFormat="1" ht="15.75" customHeight="1">
      <c r="A69" s="879"/>
      <c r="B69" s="903"/>
      <c r="C69" s="960"/>
      <c r="D69" s="883"/>
      <c r="E69" s="956"/>
      <c r="F69" s="879"/>
      <c r="G69" s="373">
        <v>2896544</v>
      </c>
      <c r="H69" s="373">
        <v>1810544</v>
      </c>
      <c r="I69" s="952"/>
      <c r="J69" s="952"/>
      <c r="K69" s="942"/>
      <c r="L69" s="942"/>
      <c r="M69" s="952"/>
      <c r="N69" s="952"/>
      <c r="O69" s="942"/>
      <c r="P69" s="942"/>
      <c r="Q69" s="952"/>
      <c r="R69" s="942"/>
      <c r="S69" s="942"/>
      <c r="T69" s="952"/>
      <c r="U69" s="942"/>
      <c r="V69" s="942"/>
    </row>
    <row r="70" spans="1:22" s="374" customFormat="1" ht="15.75" customHeight="1">
      <c r="A70" s="879"/>
      <c r="B70" s="903"/>
      <c r="C70" s="960"/>
      <c r="D70" s="883"/>
      <c r="E70" s="956"/>
      <c r="F70" s="879"/>
      <c r="G70" s="373">
        <v>0</v>
      </c>
      <c r="H70" s="373">
        <v>0</v>
      </c>
      <c r="I70" s="952"/>
      <c r="J70" s="952"/>
      <c r="K70" s="942"/>
      <c r="L70" s="942"/>
      <c r="M70" s="952"/>
      <c r="N70" s="952"/>
      <c r="O70" s="942"/>
      <c r="P70" s="942"/>
      <c r="Q70" s="952"/>
      <c r="R70" s="942"/>
      <c r="S70" s="942"/>
      <c r="T70" s="952"/>
      <c r="U70" s="942"/>
      <c r="V70" s="942"/>
    </row>
    <row r="71" spans="1:22" s="374" customFormat="1" ht="15.75" customHeight="1">
      <c r="A71" s="879"/>
      <c r="B71" s="904"/>
      <c r="C71" s="960"/>
      <c r="D71" s="883"/>
      <c r="E71" s="956"/>
      <c r="F71" s="879"/>
      <c r="G71" s="373">
        <v>0</v>
      </c>
      <c r="H71" s="373">
        <v>0</v>
      </c>
      <c r="I71" s="952"/>
      <c r="J71" s="952"/>
      <c r="K71" s="942"/>
      <c r="L71" s="942"/>
      <c r="M71" s="952"/>
      <c r="N71" s="952"/>
      <c r="O71" s="942"/>
      <c r="P71" s="942"/>
      <c r="Q71" s="952"/>
      <c r="R71" s="942"/>
      <c r="S71" s="942"/>
      <c r="T71" s="952"/>
      <c r="U71" s="942"/>
      <c r="V71" s="942"/>
    </row>
    <row r="72" spans="1:22" s="374" customFormat="1" ht="15" customHeight="1">
      <c r="A72" s="879">
        <v>12</v>
      </c>
      <c r="B72" s="883" t="s">
        <v>934</v>
      </c>
      <c r="C72" s="957" t="s">
        <v>935</v>
      </c>
      <c r="D72" s="883" t="s">
        <v>228</v>
      </c>
      <c r="E72" s="956" t="s">
        <v>936</v>
      </c>
      <c r="F72" s="879" t="s">
        <v>688</v>
      </c>
      <c r="G72" s="373">
        <f>G74+G73+G75+G76</f>
        <v>3682243</v>
      </c>
      <c r="H72" s="373">
        <f>H74+H73+H75+H76</f>
        <v>2422243</v>
      </c>
      <c r="I72" s="952">
        <f>J72+M72</f>
        <v>380000</v>
      </c>
      <c r="J72" s="952">
        <f>K72+L72</f>
        <v>285000</v>
      </c>
      <c r="K72" s="942">
        <v>285000</v>
      </c>
      <c r="L72" s="942">
        <v>0</v>
      </c>
      <c r="M72" s="952">
        <f>N72+Q72+T72</f>
        <v>95000</v>
      </c>
      <c r="N72" s="952">
        <f>O72+P72</f>
        <v>95000</v>
      </c>
      <c r="O72" s="942">
        <v>95000</v>
      </c>
      <c r="P72" s="942">
        <v>0</v>
      </c>
      <c r="Q72" s="952">
        <f>R72+S72</f>
        <v>0</v>
      </c>
      <c r="R72" s="942">
        <v>0</v>
      </c>
      <c r="S72" s="942">
        <v>0</v>
      </c>
      <c r="T72" s="952">
        <f>U72+V72</f>
        <v>0</v>
      </c>
      <c r="U72" s="942">
        <v>0</v>
      </c>
      <c r="V72" s="942">
        <v>0</v>
      </c>
    </row>
    <row r="73" spans="1:22" s="374" customFormat="1" ht="15">
      <c r="A73" s="879"/>
      <c r="B73" s="883"/>
      <c r="C73" s="958"/>
      <c r="D73" s="883"/>
      <c r="E73" s="956"/>
      <c r="F73" s="879"/>
      <c r="G73" s="373">
        <v>2761682</v>
      </c>
      <c r="H73" s="373">
        <v>1816682</v>
      </c>
      <c r="I73" s="952"/>
      <c r="J73" s="952"/>
      <c r="K73" s="942"/>
      <c r="L73" s="942"/>
      <c r="M73" s="952"/>
      <c r="N73" s="952"/>
      <c r="O73" s="942"/>
      <c r="P73" s="942"/>
      <c r="Q73" s="952"/>
      <c r="R73" s="942"/>
      <c r="S73" s="942"/>
      <c r="T73" s="952"/>
      <c r="U73" s="942"/>
      <c r="V73" s="942"/>
    </row>
    <row r="74" spans="1:22" s="374" customFormat="1" ht="15">
      <c r="A74" s="879"/>
      <c r="B74" s="883"/>
      <c r="C74" s="958"/>
      <c r="D74" s="883"/>
      <c r="E74" s="956"/>
      <c r="F74" s="879"/>
      <c r="G74" s="373">
        <v>920561</v>
      </c>
      <c r="H74" s="373">
        <v>605561</v>
      </c>
      <c r="I74" s="952"/>
      <c r="J74" s="952"/>
      <c r="K74" s="942"/>
      <c r="L74" s="942"/>
      <c r="M74" s="952"/>
      <c r="N74" s="952"/>
      <c r="O74" s="942"/>
      <c r="P74" s="942"/>
      <c r="Q74" s="952"/>
      <c r="R74" s="942"/>
      <c r="S74" s="942"/>
      <c r="T74" s="952"/>
      <c r="U74" s="942"/>
      <c r="V74" s="942"/>
    </row>
    <row r="75" spans="1:22" s="374" customFormat="1" ht="15">
      <c r="A75" s="879"/>
      <c r="B75" s="883"/>
      <c r="C75" s="958"/>
      <c r="D75" s="883"/>
      <c r="E75" s="956"/>
      <c r="F75" s="879"/>
      <c r="G75" s="373">
        <v>0</v>
      </c>
      <c r="H75" s="373">
        <v>0</v>
      </c>
      <c r="I75" s="952"/>
      <c r="J75" s="952"/>
      <c r="K75" s="942"/>
      <c r="L75" s="942"/>
      <c r="M75" s="952"/>
      <c r="N75" s="952"/>
      <c r="O75" s="942"/>
      <c r="P75" s="942"/>
      <c r="Q75" s="952"/>
      <c r="R75" s="942"/>
      <c r="S75" s="942"/>
      <c r="T75" s="952"/>
      <c r="U75" s="942"/>
      <c r="V75" s="942"/>
    </row>
    <row r="76" spans="1:22" s="374" customFormat="1" ht="15">
      <c r="A76" s="879"/>
      <c r="B76" s="883"/>
      <c r="C76" s="959"/>
      <c r="D76" s="883"/>
      <c r="E76" s="956"/>
      <c r="F76" s="879"/>
      <c r="G76" s="373">
        <v>0</v>
      </c>
      <c r="H76" s="373">
        <v>0</v>
      </c>
      <c r="I76" s="952"/>
      <c r="J76" s="952"/>
      <c r="K76" s="942"/>
      <c r="L76" s="942"/>
      <c r="M76" s="952"/>
      <c r="N76" s="952"/>
      <c r="O76" s="942"/>
      <c r="P76" s="942"/>
      <c r="Q76" s="952"/>
      <c r="R76" s="942"/>
      <c r="S76" s="942"/>
      <c r="T76" s="952"/>
      <c r="U76" s="942"/>
      <c r="V76" s="942"/>
    </row>
    <row r="77" spans="1:22" s="374" customFormat="1" ht="15" customHeight="1">
      <c r="A77" s="879">
        <v>13</v>
      </c>
      <c r="B77" s="883" t="s">
        <v>937</v>
      </c>
      <c r="C77" s="957" t="s">
        <v>938</v>
      </c>
      <c r="D77" s="883" t="s">
        <v>228</v>
      </c>
      <c r="E77" s="956" t="s">
        <v>849</v>
      </c>
      <c r="F77" s="879" t="s">
        <v>713</v>
      </c>
      <c r="G77" s="373">
        <f>G79+G78+G80+G81</f>
        <v>4933661</v>
      </c>
      <c r="H77" s="373">
        <f>H79+H78+H80+H81</f>
        <v>3541744</v>
      </c>
      <c r="I77" s="952">
        <f>J77+M77</f>
        <v>1391917</v>
      </c>
      <c r="J77" s="952">
        <f>K77+L77</f>
        <v>626378</v>
      </c>
      <c r="K77" s="942">
        <v>626378</v>
      </c>
      <c r="L77" s="942">
        <v>0</v>
      </c>
      <c r="M77" s="952">
        <f>N77+Q77+T77</f>
        <v>765539</v>
      </c>
      <c r="N77" s="952">
        <f>O77+P77</f>
        <v>0</v>
      </c>
      <c r="O77" s="942">
        <v>0</v>
      </c>
      <c r="P77" s="942">
        <v>0</v>
      </c>
      <c r="Q77" s="952">
        <f>R77+S77</f>
        <v>69585</v>
      </c>
      <c r="R77" s="942">
        <v>69585</v>
      </c>
      <c r="S77" s="942">
        <v>0</v>
      </c>
      <c r="T77" s="952">
        <f>U77+V77</f>
        <v>695954</v>
      </c>
      <c r="U77" s="942">
        <v>695954</v>
      </c>
      <c r="V77" s="942">
        <v>0</v>
      </c>
    </row>
    <row r="78" spans="1:22" s="374" customFormat="1" ht="15">
      <c r="A78" s="879"/>
      <c r="B78" s="883"/>
      <c r="C78" s="958"/>
      <c r="D78" s="883"/>
      <c r="E78" s="956"/>
      <c r="F78" s="879"/>
      <c r="G78" s="373">
        <v>2220149</v>
      </c>
      <c r="H78" s="373">
        <v>1593771</v>
      </c>
      <c r="I78" s="952"/>
      <c r="J78" s="952"/>
      <c r="K78" s="942"/>
      <c r="L78" s="942"/>
      <c r="M78" s="952"/>
      <c r="N78" s="952"/>
      <c r="O78" s="942"/>
      <c r="P78" s="942"/>
      <c r="Q78" s="952"/>
      <c r="R78" s="942"/>
      <c r="S78" s="942"/>
      <c r="T78" s="952"/>
      <c r="U78" s="942"/>
      <c r="V78" s="942"/>
    </row>
    <row r="79" spans="1:22" s="374" customFormat="1" ht="15">
      <c r="A79" s="879"/>
      <c r="B79" s="883"/>
      <c r="C79" s="958"/>
      <c r="D79" s="883"/>
      <c r="E79" s="956"/>
      <c r="F79" s="879"/>
      <c r="G79" s="373">
        <v>0</v>
      </c>
      <c r="H79" s="373">
        <v>0</v>
      </c>
      <c r="I79" s="952"/>
      <c r="J79" s="952"/>
      <c r="K79" s="942"/>
      <c r="L79" s="942"/>
      <c r="M79" s="952"/>
      <c r="N79" s="952"/>
      <c r="O79" s="942"/>
      <c r="P79" s="942"/>
      <c r="Q79" s="952"/>
      <c r="R79" s="942"/>
      <c r="S79" s="942"/>
      <c r="T79" s="952"/>
      <c r="U79" s="942"/>
      <c r="V79" s="942"/>
    </row>
    <row r="80" spans="1:22" s="374" customFormat="1" ht="15">
      <c r="A80" s="879"/>
      <c r="B80" s="883"/>
      <c r="C80" s="958"/>
      <c r="D80" s="883"/>
      <c r="E80" s="956"/>
      <c r="F80" s="879"/>
      <c r="G80" s="373">
        <v>246683</v>
      </c>
      <c r="H80" s="373">
        <v>177098</v>
      </c>
      <c r="I80" s="952"/>
      <c r="J80" s="952"/>
      <c r="K80" s="942"/>
      <c r="L80" s="942"/>
      <c r="M80" s="952"/>
      <c r="N80" s="952"/>
      <c r="O80" s="942"/>
      <c r="P80" s="942"/>
      <c r="Q80" s="952"/>
      <c r="R80" s="942"/>
      <c r="S80" s="942"/>
      <c r="T80" s="952"/>
      <c r="U80" s="942"/>
      <c r="V80" s="942"/>
    </row>
    <row r="81" spans="1:22" s="374" customFormat="1" ht="15">
      <c r="A81" s="879"/>
      <c r="B81" s="883"/>
      <c r="C81" s="959"/>
      <c r="D81" s="883"/>
      <c r="E81" s="956"/>
      <c r="F81" s="879"/>
      <c r="G81" s="373">
        <v>2466829</v>
      </c>
      <c r="H81" s="373">
        <v>1770875</v>
      </c>
      <c r="I81" s="952"/>
      <c r="J81" s="952"/>
      <c r="K81" s="942"/>
      <c r="L81" s="942"/>
      <c r="M81" s="952"/>
      <c r="N81" s="952"/>
      <c r="O81" s="942"/>
      <c r="P81" s="942"/>
      <c r="Q81" s="952"/>
      <c r="R81" s="942"/>
      <c r="S81" s="942"/>
      <c r="T81" s="952"/>
      <c r="U81" s="942"/>
      <c r="V81" s="942"/>
    </row>
    <row r="82" spans="1:22" s="374" customFormat="1" ht="15" customHeight="1">
      <c r="A82" s="879">
        <v>14</v>
      </c>
      <c r="B82" s="883" t="s">
        <v>939</v>
      </c>
      <c r="C82" s="957" t="s">
        <v>940</v>
      </c>
      <c r="D82" s="883" t="s">
        <v>228</v>
      </c>
      <c r="E82" s="956" t="s">
        <v>729</v>
      </c>
      <c r="F82" s="879" t="s">
        <v>747</v>
      </c>
      <c r="G82" s="373">
        <f>G84+G83+G85+G86</f>
        <v>31626097</v>
      </c>
      <c r="H82" s="373">
        <f>H84+H83+H85+H86</f>
        <v>8977038</v>
      </c>
      <c r="I82" s="952">
        <f>J82+M82</f>
        <v>22649059</v>
      </c>
      <c r="J82" s="952">
        <f>K82+L82</f>
        <v>11113686</v>
      </c>
      <c r="K82" s="942">
        <v>269942</v>
      </c>
      <c r="L82" s="942">
        <v>10843744</v>
      </c>
      <c r="M82" s="952">
        <f>N82+Q82+T82</f>
        <v>11535373</v>
      </c>
      <c r="N82" s="952">
        <f>O82+P82</f>
        <v>0</v>
      </c>
      <c r="O82" s="942">
        <v>0</v>
      </c>
      <c r="P82" s="942">
        <v>0</v>
      </c>
      <c r="Q82" s="952">
        <f>R82+S82</f>
        <v>11535373</v>
      </c>
      <c r="R82" s="942">
        <v>120680</v>
      </c>
      <c r="S82" s="942">
        <v>11414693</v>
      </c>
      <c r="T82" s="952">
        <f>U82+V82</f>
        <v>0</v>
      </c>
      <c r="U82" s="942">
        <v>0</v>
      </c>
      <c r="V82" s="942">
        <v>0</v>
      </c>
    </row>
    <row r="83" spans="1:22" s="374" customFormat="1" ht="15">
      <c r="A83" s="879"/>
      <c r="B83" s="883"/>
      <c r="C83" s="958"/>
      <c r="D83" s="883"/>
      <c r="E83" s="956"/>
      <c r="F83" s="879"/>
      <c r="G83" s="373">
        <v>14873864</v>
      </c>
      <c r="H83" s="373">
        <v>3760178</v>
      </c>
      <c r="I83" s="952"/>
      <c r="J83" s="952"/>
      <c r="K83" s="942"/>
      <c r="L83" s="942"/>
      <c r="M83" s="952"/>
      <c r="N83" s="952"/>
      <c r="O83" s="942"/>
      <c r="P83" s="942"/>
      <c r="Q83" s="952"/>
      <c r="R83" s="942"/>
      <c r="S83" s="942"/>
      <c r="T83" s="952"/>
      <c r="U83" s="942"/>
      <c r="V83" s="942"/>
    </row>
    <row r="84" spans="1:22" s="374" customFormat="1" ht="15">
      <c r="A84" s="879"/>
      <c r="B84" s="883"/>
      <c r="C84" s="958"/>
      <c r="D84" s="883"/>
      <c r="E84" s="956"/>
      <c r="F84" s="879"/>
      <c r="G84" s="373">
        <v>0</v>
      </c>
      <c r="H84" s="373">
        <v>0</v>
      </c>
      <c r="I84" s="952"/>
      <c r="J84" s="952"/>
      <c r="K84" s="942"/>
      <c r="L84" s="942"/>
      <c r="M84" s="952"/>
      <c r="N84" s="952"/>
      <c r="O84" s="942"/>
      <c r="P84" s="942"/>
      <c r="Q84" s="952"/>
      <c r="R84" s="942"/>
      <c r="S84" s="942"/>
      <c r="T84" s="952"/>
      <c r="U84" s="942"/>
      <c r="V84" s="942"/>
    </row>
    <row r="85" spans="1:22" s="374" customFormat="1" ht="15">
      <c r="A85" s="879"/>
      <c r="B85" s="883"/>
      <c r="C85" s="958"/>
      <c r="D85" s="883"/>
      <c r="E85" s="956"/>
      <c r="F85" s="879"/>
      <c r="G85" s="373">
        <v>16752233</v>
      </c>
      <c r="H85" s="373">
        <v>5216860</v>
      </c>
      <c r="I85" s="952"/>
      <c r="J85" s="952"/>
      <c r="K85" s="942"/>
      <c r="L85" s="942"/>
      <c r="M85" s="952"/>
      <c r="N85" s="952"/>
      <c r="O85" s="942"/>
      <c r="P85" s="942"/>
      <c r="Q85" s="952"/>
      <c r="R85" s="942"/>
      <c r="S85" s="942"/>
      <c r="T85" s="952"/>
      <c r="U85" s="942"/>
      <c r="V85" s="942"/>
    </row>
    <row r="86" spans="1:22" s="374" customFormat="1" ht="15">
      <c r="A86" s="879"/>
      <c r="B86" s="883"/>
      <c r="C86" s="959"/>
      <c r="D86" s="883"/>
      <c r="E86" s="956"/>
      <c r="F86" s="879"/>
      <c r="G86" s="373">
        <v>0</v>
      </c>
      <c r="H86" s="373">
        <v>0</v>
      </c>
      <c r="I86" s="952"/>
      <c r="J86" s="952"/>
      <c r="K86" s="942"/>
      <c r="L86" s="942"/>
      <c r="M86" s="952"/>
      <c r="N86" s="952"/>
      <c r="O86" s="942"/>
      <c r="P86" s="942"/>
      <c r="Q86" s="952"/>
      <c r="R86" s="942"/>
      <c r="S86" s="942"/>
      <c r="T86" s="952"/>
      <c r="U86" s="942"/>
      <c r="V86" s="942"/>
    </row>
    <row r="87" spans="1:22" s="374" customFormat="1" ht="14.25" customHeight="1">
      <c r="A87" s="879">
        <v>15</v>
      </c>
      <c r="B87" s="902" t="s">
        <v>941</v>
      </c>
      <c r="C87" s="953" t="s">
        <v>942</v>
      </c>
      <c r="D87" s="883" t="s">
        <v>943</v>
      </c>
      <c r="E87" s="956" t="s">
        <v>812</v>
      </c>
      <c r="F87" s="879" t="s">
        <v>707</v>
      </c>
      <c r="G87" s="373">
        <f>G88+G89+G90+G91</f>
        <v>349982</v>
      </c>
      <c r="H87" s="373">
        <f>H88+H89+H90+H91</f>
        <v>327069</v>
      </c>
      <c r="I87" s="952">
        <f>J87+M87</f>
        <v>22913</v>
      </c>
      <c r="J87" s="952">
        <f>K87+L87</f>
        <v>22913</v>
      </c>
      <c r="K87" s="942">
        <v>22913</v>
      </c>
      <c r="L87" s="942">
        <v>0</v>
      </c>
      <c r="M87" s="952">
        <f>N87+Q87+T87</f>
        <v>0</v>
      </c>
      <c r="N87" s="952">
        <f>O87+P87</f>
        <v>0</v>
      </c>
      <c r="O87" s="942">
        <v>0</v>
      </c>
      <c r="P87" s="942">
        <v>0</v>
      </c>
      <c r="Q87" s="952">
        <f>R87+S87</f>
        <v>0</v>
      </c>
      <c r="R87" s="942">
        <v>0</v>
      </c>
      <c r="S87" s="942">
        <v>0</v>
      </c>
      <c r="T87" s="952">
        <f>U87+V87</f>
        <v>0</v>
      </c>
      <c r="U87" s="942">
        <v>0</v>
      </c>
      <c r="V87" s="942">
        <v>0</v>
      </c>
    </row>
    <row r="88" spans="1:22" s="374" customFormat="1" ht="14.25" customHeight="1">
      <c r="A88" s="879"/>
      <c r="B88" s="903"/>
      <c r="C88" s="954"/>
      <c r="D88" s="883"/>
      <c r="E88" s="956"/>
      <c r="F88" s="879"/>
      <c r="G88" s="373">
        <v>349982</v>
      </c>
      <c r="H88" s="373">
        <v>327069</v>
      </c>
      <c r="I88" s="952"/>
      <c r="J88" s="952"/>
      <c r="K88" s="942"/>
      <c r="L88" s="942"/>
      <c r="M88" s="952"/>
      <c r="N88" s="952"/>
      <c r="O88" s="942"/>
      <c r="P88" s="942"/>
      <c r="Q88" s="952"/>
      <c r="R88" s="942"/>
      <c r="S88" s="942"/>
      <c r="T88" s="952"/>
      <c r="U88" s="942"/>
      <c r="V88" s="942"/>
    </row>
    <row r="89" spans="1:22" s="374" customFormat="1" ht="14.25" customHeight="1">
      <c r="A89" s="879"/>
      <c r="B89" s="903"/>
      <c r="C89" s="954"/>
      <c r="D89" s="883"/>
      <c r="E89" s="956"/>
      <c r="F89" s="879"/>
      <c r="G89" s="373">
        <v>0</v>
      </c>
      <c r="H89" s="373">
        <v>0</v>
      </c>
      <c r="I89" s="952"/>
      <c r="J89" s="952"/>
      <c r="K89" s="942"/>
      <c r="L89" s="942"/>
      <c r="M89" s="952"/>
      <c r="N89" s="952"/>
      <c r="O89" s="942"/>
      <c r="P89" s="942"/>
      <c r="Q89" s="952"/>
      <c r="R89" s="942"/>
      <c r="S89" s="942"/>
      <c r="T89" s="952"/>
      <c r="U89" s="942"/>
      <c r="V89" s="942"/>
    </row>
    <row r="90" spans="1:22" s="374" customFormat="1" ht="14.25" customHeight="1">
      <c r="A90" s="879"/>
      <c r="B90" s="903"/>
      <c r="C90" s="954"/>
      <c r="D90" s="883"/>
      <c r="E90" s="956"/>
      <c r="F90" s="879"/>
      <c r="G90" s="373">
        <v>0</v>
      </c>
      <c r="H90" s="373">
        <v>0</v>
      </c>
      <c r="I90" s="952"/>
      <c r="J90" s="952"/>
      <c r="K90" s="942"/>
      <c r="L90" s="942"/>
      <c r="M90" s="952"/>
      <c r="N90" s="952"/>
      <c r="O90" s="942"/>
      <c r="P90" s="942"/>
      <c r="Q90" s="952"/>
      <c r="R90" s="942"/>
      <c r="S90" s="942"/>
      <c r="T90" s="952"/>
      <c r="U90" s="942"/>
      <c r="V90" s="942"/>
    </row>
    <row r="91" spans="1:22" s="374" customFormat="1" ht="14.25" customHeight="1">
      <c r="A91" s="879"/>
      <c r="B91" s="904"/>
      <c r="C91" s="955"/>
      <c r="D91" s="883"/>
      <c r="E91" s="956"/>
      <c r="F91" s="879"/>
      <c r="G91" s="373">
        <v>0</v>
      </c>
      <c r="H91" s="373">
        <v>0</v>
      </c>
      <c r="I91" s="952"/>
      <c r="J91" s="952"/>
      <c r="K91" s="942"/>
      <c r="L91" s="942"/>
      <c r="M91" s="952"/>
      <c r="N91" s="952"/>
      <c r="O91" s="942"/>
      <c r="P91" s="942"/>
      <c r="Q91" s="952"/>
      <c r="R91" s="942"/>
      <c r="S91" s="942"/>
      <c r="T91" s="952"/>
      <c r="U91" s="942"/>
      <c r="V91" s="942"/>
    </row>
    <row r="92" spans="1:22" s="374" customFormat="1" ht="14.25" customHeight="1">
      <c r="A92" s="879">
        <v>16</v>
      </c>
      <c r="B92" s="902" t="s">
        <v>944</v>
      </c>
      <c r="C92" s="953" t="s">
        <v>945</v>
      </c>
      <c r="D92" s="883" t="s">
        <v>228</v>
      </c>
      <c r="E92" s="956" t="s">
        <v>946</v>
      </c>
      <c r="F92" s="879" t="s">
        <v>783</v>
      </c>
      <c r="G92" s="373">
        <f>G93+G94+G95+G96</f>
        <v>489975</v>
      </c>
      <c r="H92" s="373">
        <f>H93+H94+H95+H96</f>
        <v>54439</v>
      </c>
      <c r="I92" s="952">
        <f>J92+M92</f>
        <v>422344</v>
      </c>
      <c r="J92" s="952">
        <f>K92+L92</f>
        <v>358993</v>
      </c>
      <c r="K92" s="942">
        <v>358993</v>
      </c>
      <c r="L92" s="942">
        <v>0</v>
      </c>
      <c r="M92" s="952">
        <f>N92+Q92+T92</f>
        <v>63351</v>
      </c>
      <c r="N92" s="952">
        <f>O92+P92</f>
        <v>0</v>
      </c>
      <c r="O92" s="942">
        <v>0</v>
      </c>
      <c r="P92" s="942">
        <v>0</v>
      </c>
      <c r="Q92" s="952">
        <f>R92+S92</f>
        <v>63351</v>
      </c>
      <c r="R92" s="942">
        <v>63351</v>
      </c>
      <c r="S92" s="942">
        <v>0</v>
      </c>
      <c r="T92" s="952">
        <f>U92+V92</f>
        <v>0</v>
      </c>
      <c r="U92" s="942">
        <v>0</v>
      </c>
      <c r="V92" s="942">
        <v>0</v>
      </c>
    </row>
    <row r="93" spans="1:22" s="374" customFormat="1" ht="14.25" customHeight="1">
      <c r="A93" s="879"/>
      <c r="B93" s="903"/>
      <c r="C93" s="954"/>
      <c r="D93" s="883"/>
      <c r="E93" s="956"/>
      <c r="F93" s="879"/>
      <c r="G93" s="373">
        <v>416478</v>
      </c>
      <c r="H93" s="373">
        <v>46272</v>
      </c>
      <c r="I93" s="952"/>
      <c r="J93" s="952"/>
      <c r="K93" s="942"/>
      <c r="L93" s="942"/>
      <c r="M93" s="952"/>
      <c r="N93" s="952"/>
      <c r="O93" s="942"/>
      <c r="P93" s="942"/>
      <c r="Q93" s="952"/>
      <c r="R93" s="942"/>
      <c r="S93" s="942"/>
      <c r="T93" s="952"/>
      <c r="U93" s="942"/>
      <c r="V93" s="942"/>
    </row>
    <row r="94" spans="1:22" s="374" customFormat="1" ht="14.25" customHeight="1">
      <c r="A94" s="879"/>
      <c r="B94" s="903"/>
      <c r="C94" s="954"/>
      <c r="D94" s="883"/>
      <c r="E94" s="956"/>
      <c r="F94" s="879"/>
      <c r="G94" s="373">
        <v>0</v>
      </c>
      <c r="H94" s="373">
        <v>0</v>
      </c>
      <c r="I94" s="952"/>
      <c r="J94" s="952"/>
      <c r="K94" s="942"/>
      <c r="L94" s="942"/>
      <c r="M94" s="952"/>
      <c r="N94" s="952"/>
      <c r="O94" s="942"/>
      <c r="P94" s="942"/>
      <c r="Q94" s="952"/>
      <c r="R94" s="942"/>
      <c r="S94" s="942"/>
      <c r="T94" s="952"/>
      <c r="U94" s="942"/>
      <c r="V94" s="942"/>
    </row>
    <row r="95" spans="1:22" s="374" customFormat="1" ht="14.25" customHeight="1">
      <c r="A95" s="879"/>
      <c r="B95" s="903"/>
      <c r="C95" s="954"/>
      <c r="D95" s="883"/>
      <c r="E95" s="956"/>
      <c r="F95" s="879"/>
      <c r="G95" s="373">
        <v>73497</v>
      </c>
      <c r="H95" s="373">
        <v>8167</v>
      </c>
      <c r="I95" s="952"/>
      <c r="J95" s="952"/>
      <c r="K95" s="942"/>
      <c r="L95" s="942"/>
      <c r="M95" s="952"/>
      <c r="N95" s="952"/>
      <c r="O95" s="942"/>
      <c r="P95" s="942"/>
      <c r="Q95" s="952"/>
      <c r="R95" s="942"/>
      <c r="S95" s="942"/>
      <c r="T95" s="952"/>
      <c r="U95" s="942"/>
      <c r="V95" s="942"/>
    </row>
    <row r="96" spans="1:22" s="374" customFormat="1" ht="14.25" customHeight="1">
      <c r="A96" s="879"/>
      <c r="B96" s="904"/>
      <c r="C96" s="955"/>
      <c r="D96" s="883"/>
      <c r="E96" s="956"/>
      <c r="F96" s="879"/>
      <c r="G96" s="373">
        <v>0</v>
      </c>
      <c r="H96" s="373">
        <v>0</v>
      </c>
      <c r="I96" s="952"/>
      <c r="J96" s="952"/>
      <c r="K96" s="942"/>
      <c r="L96" s="942"/>
      <c r="M96" s="952"/>
      <c r="N96" s="952"/>
      <c r="O96" s="942"/>
      <c r="P96" s="942"/>
      <c r="Q96" s="952"/>
      <c r="R96" s="942"/>
      <c r="S96" s="942"/>
      <c r="T96" s="952"/>
      <c r="U96" s="942"/>
      <c r="V96" s="942"/>
    </row>
    <row r="97" spans="1:22" s="374" customFormat="1" ht="14.25" customHeight="1">
      <c r="A97" s="879">
        <v>17</v>
      </c>
      <c r="B97" s="902" t="s">
        <v>947</v>
      </c>
      <c r="C97" s="953" t="s">
        <v>948</v>
      </c>
      <c r="D97" s="883" t="s">
        <v>228</v>
      </c>
      <c r="E97" s="956" t="s">
        <v>849</v>
      </c>
      <c r="F97" s="879" t="s">
        <v>713</v>
      </c>
      <c r="G97" s="373">
        <f>G98+G99+G100+G101</f>
        <v>763665</v>
      </c>
      <c r="H97" s="373">
        <f>H98+H99+H100+H101</f>
        <v>391550</v>
      </c>
      <c r="I97" s="952">
        <f>J97+M97</f>
        <v>372115</v>
      </c>
      <c r="J97" s="952">
        <f>K97+L97</f>
        <v>316299</v>
      </c>
      <c r="K97" s="942">
        <v>316299</v>
      </c>
      <c r="L97" s="942">
        <v>0</v>
      </c>
      <c r="M97" s="952">
        <f>N97+Q97+T97</f>
        <v>55816</v>
      </c>
      <c r="N97" s="952">
        <f>O97+P97</f>
        <v>0</v>
      </c>
      <c r="O97" s="942">
        <v>0</v>
      </c>
      <c r="P97" s="942">
        <v>0</v>
      </c>
      <c r="Q97" s="952">
        <f>R97+S97</f>
        <v>55816</v>
      </c>
      <c r="R97" s="942">
        <v>55816</v>
      </c>
      <c r="S97" s="942">
        <v>0</v>
      </c>
      <c r="T97" s="952">
        <f>U97+V97</f>
        <v>0</v>
      </c>
      <c r="U97" s="942">
        <v>0</v>
      </c>
      <c r="V97" s="942">
        <v>0</v>
      </c>
    </row>
    <row r="98" spans="1:22" s="374" customFormat="1" ht="14.25" customHeight="1">
      <c r="A98" s="879"/>
      <c r="B98" s="903"/>
      <c r="C98" s="954"/>
      <c r="D98" s="883"/>
      <c r="E98" s="956"/>
      <c r="F98" s="879"/>
      <c r="G98" s="373">
        <v>649115</v>
      </c>
      <c r="H98" s="373">
        <v>332816</v>
      </c>
      <c r="I98" s="952"/>
      <c r="J98" s="952"/>
      <c r="K98" s="942"/>
      <c r="L98" s="942"/>
      <c r="M98" s="952"/>
      <c r="N98" s="952"/>
      <c r="O98" s="942"/>
      <c r="P98" s="942"/>
      <c r="Q98" s="952"/>
      <c r="R98" s="942"/>
      <c r="S98" s="942"/>
      <c r="T98" s="952"/>
      <c r="U98" s="942"/>
      <c r="V98" s="942"/>
    </row>
    <row r="99" spans="1:22" s="374" customFormat="1" ht="14.25" customHeight="1">
      <c r="A99" s="879"/>
      <c r="B99" s="903"/>
      <c r="C99" s="954"/>
      <c r="D99" s="883"/>
      <c r="E99" s="956"/>
      <c r="F99" s="879"/>
      <c r="G99" s="373">
        <v>0</v>
      </c>
      <c r="H99" s="373">
        <v>0</v>
      </c>
      <c r="I99" s="952"/>
      <c r="J99" s="952"/>
      <c r="K99" s="942"/>
      <c r="L99" s="942"/>
      <c r="M99" s="952"/>
      <c r="N99" s="952"/>
      <c r="O99" s="942"/>
      <c r="P99" s="942"/>
      <c r="Q99" s="952"/>
      <c r="R99" s="942"/>
      <c r="S99" s="942"/>
      <c r="T99" s="952"/>
      <c r="U99" s="942"/>
      <c r="V99" s="942"/>
    </row>
    <row r="100" spans="1:22" s="374" customFormat="1" ht="14.25" customHeight="1">
      <c r="A100" s="879"/>
      <c r="B100" s="903"/>
      <c r="C100" s="954"/>
      <c r="D100" s="883"/>
      <c r="E100" s="956"/>
      <c r="F100" s="879"/>
      <c r="G100" s="373">
        <v>114550</v>
      </c>
      <c r="H100" s="373">
        <v>58734</v>
      </c>
      <c r="I100" s="952"/>
      <c r="J100" s="952"/>
      <c r="K100" s="942"/>
      <c r="L100" s="942"/>
      <c r="M100" s="952"/>
      <c r="N100" s="952"/>
      <c r="O100" s="942"/>
      <c r="P100" s="942"/>
      <c r="Q100" s="952"/>
      <c r="R100" s="942"/>
      <c r="S100" s="942"/>
      <c r="T100" s="952"/>
      <c r="U100" s="942"/>
      <c r="V100" s="942"/>
    </row>
    <row r="101" spans="1:22" s="374" customFormat="1" ht="14.25" customHeight="1">
      <c r="A101" s="879"/>
      <c r="B101" s="904"/>
      <c r="C101" s="955"/>
      <c r="D101" s="883"/>
      <c r="E101" s="956"/>
      <c r="F101" s="879"/>
      <c r="G101" s="373">
        <v>0</v>
      </c>
      <c r="H101" s="373">
        <v>0</v>
      </c>
      <c r="I101" s="952"/>
      <c r="J101" s="952"/>
      <c r="K101" s="942"/>
      <c r="L101" s="942"/>
      <c r="M101" s="952"/>
      <c r="N101" s="952"/>
      <c r="O101" s="942"/>
      <c r="P101" s="942"/>
      <c r="Q101" s="952"/>
      <c r="R101" s="942"/>
      <c r="S101" s="942"/>
      <c r="T101" s="952"/>
      <c r="U101" s="942"/>
      <c r="V101" s="942"/>
    </row>
    <row r="102" spans="1:22" s="374" customFormat="1" ht="14.25" customHeight="1">
      <c r="A102" s="879">
        <v>18</v>
      </c>
      <c r="B102" s="902" t="s">
        <v>947</v>
      </c>
      <c r="C102" s="953" t="s">
        <v>949</v>
      </c>
      <c r="D102" s="883" t="s">
        <v>228</v>
      </c>
      <c r="E102" s="956" t="s">
        <v>729</v>
      </c>
      <c r="F102" s="879" t="s">
        <v>713</v>
      </c>
      <c r="G102" s="373">
        <f>G103+G104+G105+G106</f>
        <v>698886</v>
      </c>
      <c r="H102" s="373">
        <f>H103+H104+H105+H106</f>
        <v>534689</v>
      </c>
      <c r="I102" s="952">
        <f>J102+M102</f>
        <v>164197</v>
      </c>
      <c r="J102" s="952">
        <f>K102+L102</f>
        <v>139569</v>
      </c>
      <c r="K102" s="942">
        <v>139569</v>
      </c>
      <c r="L102" s="942">
        <v>0</v>
      </c>
      <c r="M102" s="952">
        <f>N102+Q102+T102</f>
        <v>24628</v>
      </c>
      <c r="N102" s="952">
        <f>O102+P102</f>
        <v>0</v>
      </c>
      <c r="O102" s="942">
        <v>0</v>
      </c>
      <c r="P102" s="942">
        <v>0</v>
      </c>
      <c r="Q102" s="952">
        <f>R102+S102</f>
        <v>24628</v>
      </c>
      <c r="R102" s="942">
        <v>24628</v>
      </c>
      <c r="S102" s="942">
        <v>0</v>
      </c>
      <c r="T102" s="952">
        <f>U102+V102</f>
        <v>0</v>
      </c>
      <c r="U102" s="942">
        <v>0</v>
      </c>
      <c r="V102" s="942">
        <v>0</v>
      </c>
    </row>
    <row r="103" spans="1:22" s="374" customFormat="1" ht="14.25" customHeight="1">
      <c r="A103" s="879"/>
      <c r="B103" s="903"/>
      <c r="C103" s="954"/>
      <c r="D103" s="883"/>
      <c r="E103" s="956"/>
      <c r="F103" s="879"/>
      <c r="G103" s="373">
        <v>594053</v>
      </c>
      <c r="H103" s="373">
        <v>454484</v>
      </c>
      <c r="I103" s="952"/>
      <c r="J103" s="952"/>
      <c r="K103" s="942"/>
      <c r="L103" s="942"/>
      <c r="M103" s="952"/>
      <c r="N103" s="952"/>
      <c r="O103" s="942"/>
      <c r="P103" s="942"/>
      <c r="Q103" s="952"/>
      <c r="R103" s="942"/>
      <c r="S103" s="942"/>
      <c r="T103" s="952"/>
      <c r="U103" s="942"/>
      <c r="V103" s="942"/>
    </row>
    <row r="104" spans="1:22" s="374" customFormat="1" ht="14.25" customHeight="1">
      <c r="A104" s="879"/>
      <c r="B104" s="903"/>
      <c r="C104" s="954"/>
      <c r="D104" s="883"/>
      <c r="E104" s="956"/>
      <c r="F104" s="879"/>
      <c r="G104" s="373">
        <v>0</v>
      </c>
      <c r="H104" s="373">
        <v>0</v>
      </c>
      <c r="I104" s="952"/>
      <c r="J104" s="952"/>
      <c r="K104" s="942"/>
      <c r="L104" s="942"/>
      <c r="M104" s="952"/>
      <c r="N104" s="952"/>
      <c r="O104" s="942"/>
      <c r="P104" s="942"/>
      <c r="Q104" s="952"/>
      <c r="R104" s="942"/>
      <c r="S104" s="942"/>
      <c r="T104" s="952"/>
      <c r="U104" s="942"/>
      <c r="V104" s="942"/>
    </row>
    <row r="105" spans="1:22" s="374" customFormat="1" ht="14.25" customHeight="1">
      <c r="A105" s="879"/>
      <c r="B105" s="903"/>
      <c r="C105" s="954"/>
      <c r="D105" s="883"/>
      <c r="E105" s="956"/>
      <c r="F105" s="879"/>
      <c r="G105" s="373">
        <v>104833</v>
      </c>
      <c r="H105" s="373">
        <v>80205</v>
      </c>
      <c r="I105" s="952"/>
      <c r="J105" s="952"/>
      <c r="K105" s="942"/>
      <c r="L105" s="942"/>
      <c r="M105" s="952"/>
      <c r="N105" s="952"/>
      <c r="O105" s="942"/>
      <c r="P105" s="942"/>
      <c r="Q105" s="952"/>
      <c r="R105" s="942"/>
      <c r="S105" s="942"/>
      <c r="T105" s="952"/>
      <c r="U105" s="942"/>
      <c r="V105" s="942"/>
    </row>
    <row r="106" spans="1:22" s="374" customFormat="1" ht="14.25" customHeight="1">
      <c r="A106" s="879"/>
      <c r="B106" s="904"/>
      <c r="C106" s="955"/>
      <c r="D106" s="883"/>
      <c r="E106" s="956"/>
      <c r="F106" s="879"/>
      <c r="G106" s="373">
        <v>0</v>
      </c>
      <c r="H106" s="373">
        <v>0</v>
      </c>
      <c r="I106" s="952"/>
      <c r="J106" s="952"/>
      <c r="K106" s="942"/>
      <c r="L106" s="942"/>
      <c r="M106" s="952"/>
      <c r="N106" s="952"/>
      <c r="O106" s="942"/>
      <c r="P106" s="942"/>
      <c r="Q106" s="952"/>
      <c r="R106" s="942"/>
      <c r="S106" s="942"/>
      <c r="T106" s="952"/>
      <c r="U106" s="942"/>
      <c r="V106" s="942"/>
    </row>
    <row r="107" spans="1:22" s="374" customFormat="1" ht="14.25" customHeight="1">
      <c r="A107" s="879">
        <v>19</v>
      </c>
      <c r="B107" s="902" t="s">
        <v>944</v>
      </c>
      <c r="C107" s="953" t="s">
        <v>950</v>
      </c>
      <c r="D107" s="883" t="s">
        <v>228</v>
      </c>
      <c r="E107" s="956" t="s">
        <v>946</v>
      </c>
      <c r="F107" s="879" t="s">
        <v>783</v>
      </c>
      <c r="G107" s="373">
        <f>G108+G109+G110+G111</f>
        <v>619300</v>
      </c>
      <c r="H107" s="373">
        <f>H108+H109+H110+H111</f>
        <v>145905</v>
      </c>
      <c r="I107" s="952">
        <f>J107+M107</f>
        <v>347135</v>
      </c>
      <c r="J107" s="952">
        <f>K107+L107</f>
        <v>295066</v>
      </c>
      <c r="K107" s="942">
        <v>295066</v>
      </c>
      <c r="L107" s="942">
        <v>0</v>
      </c>
      <c r="M107" s="952">
        <f>N107+Q107+T107</f>
        <v>52069</v>
      </c>
      <c r="N107" s="952">
        <f>O107+P107</f>
        <v>0</v>
      </c>
      <c r="O107" s="942">
        <v>0</v>
      </c>
      <c r="P107" s="942">
        <v>0</v>
      </c>
      <c r="Q107" s="952">
        <f>R107+S107</f>
        <v>52069</v>
      </c>
      <c r="R107" s="942">
        <v>52069</v>
      </c>
      <c r="S107" s="942">
        <v>0</v>
      </c>
      <c r="T107" s="952">
        <f>U107+V107</f>
        <v>0</v>
      </c>
      <c r="U107" s="942">
        <v>0</v>
      </c>
      <c r="V107" s="942">
        <v>0</v>
      </c>
    </row>
    <row r="108" spans="1:22" s="374" customFormat="1" ht="14.25" customHeight="1">
      <c r="A108" s="879"/>
      <c r="B108" s="903"/>
      <c r="C108" s="954"/>
      <c r="D108" s="883"/>
      <c r="E108" s="956"/>
      <c r="F108" s="879"/>
      <c r="G108" s="373">
        <v>526405</v>
      </c>
      <c r="H108" s="373">
        <v>124017</v>
      </c>
      <c r="I108" s="952"/>
      <c r="J108" s="952"/>
      <c r="K108" s="942"/>
      <c r="L108" s="942"/>
      <c r="M108" s="952"/>
      <c r="N108" s="952"/>
      <c r="O108" s="942"/>
      <c r="P108" s="942"/>
      <c r="Q108" s="952"/>
      <c r="R108" s="942"/>
      <c r="S108" s="942"/>
      <c r="T108" s="952"/>
      <c r="U108" s="942"/>
      <c r="V108" s="942"/>
    </row>
    <row r="109" spans="1:22" s="374" customFormat="1" ht="14.25" customHeight="1">
      <c r="A109" s="879"/>
      <c r="B109" s="903"/>
      <c r="C109" s="954"/>
      <c r="D109" s="883"/>
      <c r="E109" s="956"/>
      <c r="F109" s="879"/>
      <c r="G109" s="373">
        <v>0</v>
      </c>
      <c r="H109" s="373">
        <v>0</v>
      </c>
      <c r="I109" s="952"/>
      <c r="J109" s="952"/>
      <c r="K109" s="942"/>
      <c r="L109" s="942"/>
      <c r="M109" s="952"/>
      <c r="N109" s="952"/>
      <c r="O109" s="942"/>
      <c r="P109" s="942"/>
      <c r="Q109" s="952"/>
      <c r="R109" s="942"/>
      <c r="S109" s="942"/>
      <c r="T109" s="952"/>
      <c r="U109" s="942"/>
      <c r="V109" s="942"/>
    </row>
    <row r="110" spans="1:22" s="374" customFormat="1" ht="14.25" customHeight="1">
      <c r="A110" s="879"/>
      <c r="B110" s="903"/>
      <c r="C110" s="954"/>
      <c r="D110" s="883"/>
      <c r="E110" s="956"/>
      <c r="F110" s="879"/>
      <c r="G110" s="373">
        <v>92895</v>
      </c>
      <c r="H110" s="373">
        <v>21888</v>
      </c>
      <c r="I110" s="952"/>
      <c r="J110" s="952"/>
      <c r="K110" s="942"/>
      <c r="L110" s="942"/>
      <c r="M110" s="952"/>
      <c r="N110" s="952"/>
      <c r="O110" s="942"/>
      <c r="P110" s="942"/>
      <c r="Q110" s="952"/>
      <c r="R110" s="942"/>
      <c r="S110" s="942"/>
      <c r="T110" s="952"/>
      <c r="U110" s="942"/>
      <c r="V110" s="942"/>
    </row>
    <row r="111" spans="1:22" s="374" customFormat="1" ht="14.25" customHeight="1">
      <c r="A111" s="879"/>
      <c r="B111" s="904"/>
      <c r="C111" s="955"/>
      <c r="D111" s="883"/>
      <c r="E111" s="956"/>
      <c r="F111" s="879"/>
      <c r="G111" s="373">
        <v>0</v>
      </c>
      <c r="H111" s="373">
        <v>0</v>
      </c>
      <c r="I111" s="952"/>
      <c r="J111" s="952"/>
      <c r="K111" s="942"/>
      <c r="L111" s="942"/>
      <c r="M111" s="952"/>
      <c r="N111" s="952"/>
      <c r="O111" s="942"/>
      <c r="P111" s="942"/>
      <c r="Q111" s="952"/>
      <c r="R111" s="942"/>
      <c r="S111" s="942"/>
      <c r="T111" s="952"/>
      <c r="U111" s="942"/>
      <c r="V111" s="942"/>
    </row>
    <row r="112" spans="1:22" s="374" customFormat="1" ht="14.25" customHeight="1">
      <c r="A112" s="879">
        <v>20</v>
      </c>
      <c r="B112" s="902" t="s">
        <v>951</v>
      </c>
      <c r="C112" s="953" t="s">
        <v>952</v>
      </c>
      <c r="D112" s="883" t="s">
        <v>228</v>
      </c>
      <c r="E112" s="956" t="s">
        <v>953</v>
      </c>
      <c r="F112" s="879" t="s">
        <v>954</v>
      </c>
      <c r="G112" s="373">
        <f>G113+G114+G115+G116</f>
        <v>789965</v>
      </c>
      <c r="H112" s="373">
        <f>H113+H114+H115+H116</f>
        <v>264866</v>
      </c>
      <c r="I112" s="952">
        <f>J112+M112</f>
        <v>286256</v>
      </c>
      <c r="J112" s="952">
        <f>K112+L112</f>
        <v>243319</v>
      </c>
      <c r="K112" s="942">
        <v>243319</v>
      </c>
      <c r="L112" s="942">
        <v>0</v>
      </c>
      <c r="M112" s="952">
        <f>N112+Q112+T112</f>
        <v>42937</v>
      </c>
      <c r="N112" s="952">
        <f>O112+P112</f>
        <v>0</v>
      </c>
      <c r="O112" s="942">
        <v>0</v>
      </c>
      <c r="P112" s="942">
        <v>0</v>
      </c>
      <c r="Q112" s="952">
        <f>R112+S112</f>
        <v>42937</v>
      </c>
      <c r="R112" s="942">
        <v>42937</v>
      </c>
      <c r="S112" s="942">
        <v>0</v>
      </c>
      <c r="T112" s="952">
        <f>U112+V112</f>
        <v>0</v>
      </c>
      <c r="U112" s="942">
        <v>0</v>
      </c>
      <c r="V112" s="942">
        <v>0</v>
      </c>
    </row>
    <row r="113" spans="1:22" s="374" customFormat="1" ht="14.25" customHeight="1">
      <c r="A113" s="879"/>
      <c r="B113" s="903"/>
      <c r="C113" s="954"/>
      <c r="D113" s="883"/>
      <c r="E113" s="956"/>
      <c r="F113" s="879"/>
      <c r="G113" s="373">
        <v>671470</v>
      </c>
      <c r="H113" s="373">
        <v>225133</v>
      </c>
      <c r="I113" s="952"/>
      <c r="J113" s="952"/>
      <c r="K113" s="942"/>
      <c r="L113" s="942"/>
      <c r="M113" s="952"/>
      <c r="N113" s="952"/>
      <c r="O113" s="942"/>
      <c r="P113" s="942"/>
      <c r="Q113" s="952"/>
      <c r="R113" s="942"/>
      <c r="S113" s="942"/>
      <c r="T113" s="952"/>
      <c r="U113" s="942"/>
      <c r="V113" s="942"/>
    </row>
    <row r="114" spans="1:22" s="374" customFormat="1" ht="14.25" customHeight="1">
      <c r="A114" s="879"/>
      <c r="B114" s="903"/>
      <c r="C114" s="954"/>
      <c r="D114" s="883"/>
      <c r="E114" s="956"/>
      <c r="F114" s="879"/>
      <c r="G114" s="373">
        <v>0</v>
      </c>
      <c r="H114" s="373">
        <v>0</v>
      </c>
      <c r="I114" s="952"/>
      <c r="J114" s="952"/>
      <c r="K114" s="942"/>
      <c r="L114" s="942"/>
      <c r="M114" s="952"/>
      <c r="N114" s="952"/>
      <c r="O114" s="942"/>
      <c r="P114" s="942"/>
      <c r="Q114" s="952"/>
      <c r="R114" s="942"/>
      <c r="S114" s="942"/>
      <c r="T114" s="952"/>
      <c r="U114" s="942"/>
      <c r="V114" s="942"/>
    </row>
    <row r="115" spans="1:22" s="374" customFormat="1" ht="14.25" customHeight="1">
      <c r="A115" s="879"/>
      <c r="B115" s="903"/>
      <c r="C115" s="954"/>
      <c r="D115" s="883"/>
      <c r="E115" s="956"/>
      <c r="F115" s="879"/>
      <c r="G115" s="373">
        <v>118495</v>
      </c>
      <c r="H115" s="373">
        <v>39733</v>
      </c>
      <c r="I115" s="952"/>
      <c r="J115" s="952"/>
      <c r="K115" s="942"/>
      <c r="L115" s="942"/>
      <c r="M115" s="952"/>
      <c r="N115" s="952"/>
      <c r="O115" s="942"/>
      <c r="P115" s="942"/>
      <c r="Q115" s="952"/>
      <c r="R115" s="942"/>
      <c r="S115" s="942"/>
      <c r="T115" s="952"/>
      <c r="U115" s="942"/>
      <c r="V115" s="942"/>
    </row>
    <row r="116" spans="1:22" s="374" customFormat="1" ht="14.25" customHeight="1">
      <c r="A116" s="879"/>
      <c r="B116" s="904"/>
      <c r="C116" s="955"/>
      <c r="D116" s="883"/>
      <c r="E116" s="956"/>
      <c r="F116" s="879"/>
      <c r="G116" s="373">
        <v>0</v>
      </c>
      <c r="H116" s="373">
        <v>0</v>
      </c>
      <c r="I116" s="952"/>
      <c r="J116" s="952"/>
      <c r="K116" s="942"/>
      <c r="L116" s="942"/>
      <c r="M116" s="952"/>
      <c r="N116" s="952"/>
      <c r="O116" s="942"/>
      <c r="P116" s="942"/>
      <c r="Q116" s="952"/>
      <c r="R116" s="942"/>
      <c r="S116" s="942"/>
      <c r="T116" s="952"/>
      <c r="U116" s="942"/>
      <c r="V116" s="942"/>
    </row>
    <row r="117" spans="1:22" s="374" customFormat="1" ht="14.25" customHeight="1">
      <c r="A117" s="879">
        <v>21</v>
      </c>
      <c r="B117" s="902" t="s">
        <v>951</v>
      </c>
      <c r="C117" s="953" t="s">
        <v>955</v>
      </c>
      <c r="D117" s="883" t="s">
        <v>228</v>
      </c>
      <c r="E117" s="956" t="s">
        <v>956</v>
      </c>
      <c r="F117" s="879" t="s">
        <v>698</v>
      </c>
      <c r="G117" s="373">
        <f>G118+G119+G120+G121</f>
        <v>812585</v>
      </c>
      <c r="H117" s="373">
        <f>H118+H119+H120+H121</f>
        <v>415068</v>
      </c>
      <c r="I117" s="952">
        <f>J117+M117</f>
        <v>282505</v>
      </c>
      <c r="J117" s="952">
        <f>K117+L117</f>
        <v>240131</v>
      </c>
      <c r="K117" s="942">
        <v>240131</v>
      </c>
      <c r="L117" s="942">
        <v>0</v>
      </c>
      <c r="M117" s="952">
        <f>N117+Q117+T117</f>
        <v>42374</v>
      </c>
      <c r="N117" s="952">
        <f>O117+P117</f>
        <v>0</v>
      </c>
      <c r="O117" s="942">
        <v>0</v>
      </c>
      <c r="P117" s="942">
        <v>0</v>
      </c>
      <c r="Q117" s="952">
        <f>R117+S117</f>
        <v>42374</v>
      </c>
      <c r="R117" s="942">
        <v>42374</v>
      </c>
      <c r="S117" s="942">
        <v>0</v>
      </c>
      <c r="T117" s="952">
        <f>U117+V117</f>
        <v>0</v>
      </c>
      <c r="U117" s="942">
        <v>0</v>
      </c>
      <c r="V117" s="942">
        <v>0</v>
      </c>
    </row>
    <row r="118" spans="1:22" s="374" customFormat="1" ht="14.25" customHeight="1">
      <c r="A118" s="879"/>
      <c r="B118" s="903"/>
      <c r="C118" s="954"/>
      <c r="D118" s="883"/>
      <c r="E118" s="956"/>
      <c r="F118" s="879"/>
      <c r="G118" s="373">
        <v>690697</v>
      </c>
      <c r="H118" s="373">
        <v>352806</v>
      </c>
      <c r="I118" s="952"/>
      <c r="J118" s="952"/>
      <c r="K118" s="942"/>
      <c r="L118" s="942"/>
      <c r="M118" s="952"/>
      <c r="N118" s="952"/>
      <c r="O118" s="942"/>
      <c r="P118" s="942"/>
      <c r="Q118" s="952"/>
      <c r="R118" s="942"/>
      <c r="S118" s="942"/>
      <c r="T118" s="952"/>
      <c r="U118" s="942"/>
      <c r="V118" s="942"/>
    </row>
    <row r="119" spans="1:22" s="374" customFormat="1" ht="14.25" customHeight="1">
      <c r="A119" s="879"/>
      <c r="B119" s="903"/>
      <c r="C119" s="954"/>
      <c r="D119" s="883"/>
      <c r="E119" s="956"/>
      <c r="F119" s="879"/>
      <c r="G119" s="373">
        <v>0</v>
      </c>
      <c r="H119" s="373">
        <v>0</v>
      </c>
      <c r="I119" s="952"/>
      <c r="J119" s="952"/>
      <c r="K119" s="942"/>
      <c r="L119" s="942"/>
      <c r="M119" s="952"/>
      <c r="N119" s="952"/>
      <c r="O119" s="942"/>
      <c r="P119" s="942"/>
      <c r="Q119" s="952"/>
      <c r="R119" s="942"/>
      <c r="S119" s="942"/>
      <c r="T119" s="952"/>
      <c r="U119" s="942"/>
      <c r="V119" s="942"/>
    </row>
    <row r="120" spans="1:22" s="374" customFormat="1" ht="14.25" customHeight="1">
      <c r="A120" s="879"/>
      <c r="B120" s="903"/>
      <c r="C120" s="954"/>
      <c r="D120" s="883"/>
      <c r="E120" s="956"/>
      <c r="F120" s="879"/>
      <c r="G120" s="373">
        <v>121888</v>
      </c>
      <c r="H120" s="373">
        <v>62262</v>
      </c>
      <c r="I120" s="952"/>
      <c r="J120" s="952"/>
      <c r="K120" s="942"/>
      <c r="L120" s="942"/>
      <c r="M120" s="952"/>
      <c r="N120" s="952"/>
      <c r="O120" s="942"/>
      <c r="P120" s="942"/>
      <c r="Q120" s="952"/>
      <c r="R120" s="942"/>
      <c r="S120" s="942"/>
      <c r="T120" s="952"/>
      <c r="U120" s="942"/>
      <c r="V120" s="942"/>
    </row>
    <row r="121" spans="1:22" s="374" customFormat="1" ht="14.25" customHeight="1">
      <c r="A121" s="879"/>
      <c r="B121" s="904"/>
      <c r="C121" s="955"/>
      <c r="D121" s="883"/>
      <c r="E121" s="956"/>
      <c r="F121" s="879"/>
      <c r="G121" s="373">
        <v>0</v>
      </c>
      <c r="H121" s="373">
        <v>0</v>
      </c>
      <c r="I121" s="952"/>
      <c r="J121" s="952"/>
      <c r="K121" s="942"/>
      <c r="L121" s="942"/>
      <c r="M121" s="952"/>
      <c r="N121" s="952"/>
      <c r="O121" s="942"/>
      <c r="P121" s="942"/>
      <c r="Q121" s="952"/>
      <c r="R121" s="942"/>
      <c r="S121" s="942"/>
      <c r="T121" s="952"/>
      <c r="U121" s="942"/>
      <c r="V121" s="942"/>
    </row>
    <row r="122" spans="1:22" s="374" customFormat="1" ht="14.25" customHeight="1">
      <c r="A122" s="879">
        <v>22</v>
      </c>
      <c r="B122" s="902" t="s">
        <v>951</v>
      </c>
      <c r="C122" s="953" t="s">
        <v>957</v>
      </c>
      <c r="D122" s="883" t="s">
        <v>228</v>
      </c>
      <c r="E122" s="956" t="s">
        <v>956</v>
      </c>
      <c r="F122" s="879" t="s">
        <v>698</v>
      </c>
      <c r="G122" s="373">
        <f>G123+G124+G125+G126</f>
        <v>805853</v>
      </c>
      <c r="H122" s="373">
        <f>H123+H124+H125+H126</f>
        <v>236292</v>
      </c>
      <c r="I122" s="952">
        <f>J122+M122</f>
        <v>491537</v>
      </c>
      <c r="J122" s="952">
        <f>K122+L122</f>
        <v>417808</v>
      </c>
      <c r="K122" s="942">
        <v>417808</v>
      </c>
      <c r="L122" s="942">
        <v>0</v>
      </c>
      <c r="M122" s="952">
        <f>N122+Q122+T122</f>
        <v>73729</v>
      </c>
      <c r="N122" s="952">
        <f>O122+P122</f>
        <v>0</v>
      </c>
      <c r="O122" s="942">
        <v>0</v>
      </c>
      <c r="P122" s="942">
        <v>0</v>
      </c>
      <c r="Q122" s="952">
        <f>R122+S122</f>
        <v>73729</v>
      </c>
      <c r="R122" s="942">
        <v>73729</v>
      </c>
      <c r="S122" s="942">
        <v>0</v>
      </c>
      <c r="T122" s="952">
        <f>U122+V122</f>
        <v>0</v>
      </c>
      <c r="U122" s="942">
        <v>0</v>
      </c>
      <c r="V122" s="942">
        <v>0</v>
      </c>
    </row>
    <row r="123" spans="1:22" s="374" customFormat="1" ht="14.25" customHeight="1">
      <c r="A123" s="879"/>
      <c r="B123" s="903"/>
      <c r="C123" s="954"/>
      <c r="D123" s="883"/>
      <c r="E123" s="956"/>
      <c r="F123" s="879"/>
      <c r="G123" s="373">
        <v>684974</v>
      </c>
      <c r="H123" s="373">
        <v>200846</v>
      </c>
      <c r="I123" s="952"/>
      <c r="J123" s="952"/>
      <c r="K123" s="942"/>
      <c r="L123" s="942"/>
      <c r="M123" s="952"/>
      <c r="N123" s="952"/>
      <c r="O123" s="942"/>
      <c r="P123" s="942"/>
      <c r="Q123" s="952"/>
      <c r="R123" s="942"/>
      <c r="S123" s="942"/>
      <c r="T123" s="952"/>
      <c r="U123" s="942"/>
      <c r="V123" s="942"/>
    </row>
    <row r="124" spans="1:22" s="374" customFormat="1" ht="14.25" customHeight="1">
      <c r="A124" s="879"/>
      <c r="B124" s="903"/>
      <c r="C124" s="954"/>
      <c r="D124" s="883"/>
      <c r="E124" s="956"/>
      <c r="F124" s="879"/>
      <c r="G124" s="373">
        <v>0</v>
      </c>
      <c r="H124" s="373">
        <v>0</v>
      </c>
      <c r="I124" s="952"/>
      <c r="J124" s="952"/>
      <c r="K124" s="942"/>
      <c r="L124" s="942"/>
      <c r="M124" s="952"/>
      <c r="N124" s="952"/>
      <c r="O124" s="942"/>
      <c r="P124" s="942"/>
      <c r="Q124" s="952"/>
      <c r="R124" s="942"/>
      <c r="S124" s="942"/>
      <c r="T124" s="952"/>
      <c r="U124" s="942"/>
      <c r="V124" s="942"/>
    </row>
    <row r="125" spans="1:22" s="374" customFormat="1" ht="14.25" customHeight="1">
      <c r="A125" s="879"/>
      <c r="B125" s="903"/>
      <c r="C125" s="954"/>
      <c r="D125" s="883"/>
      <c r="E125" s="956"/>
      <c r="F125" s="879"/>
      <c r="G125" s="373">
        <v>120879</v>
      </c>
      <c r="H125" s="373">
        <v>35446</v>
      </c>
      <c r="I125" s="952"/>
      <c r="J125" s="952"/>
      <c r="K125" s="942"/>
      <c r="L125" s="942"/>
      <c r="M125" s="952"/>
      <c r="N125" s="952"/>
      <c r="O125" s="942"/>
      <c r="P125" s="942"/>
      <c r="Q125" s="952"/>
      <c r="R125" s="942"/>
      <c r="S125" s="942"/>
      <c r="T125" s="952"/>
      <c r="U125" s="942"/>
      <c r="V125" s="942"/>
    </row>
    <row r="126" spans="1:22" s="374" customFormat="1" ht="14.25" customHeight="1">
      <c r="A126" s="879"/>
      <c r="B126" s="904"/>
      <c r="C126" s="955"/>
      <c r="D126" s="883"/>
      <c r="E126" s="956"/>
      <c r="F126" s="879"/>
      <c r="G126" s="373">
        <v>0</v>
      </c>
      <c r="H126" s="373">
        <v>0</v>
      </c>
      <c r="I126" s="952"/>
      <c r="J126" s="952"/>
      <c r="K126" s="942"/>
      <c r="L126" s="942"/>
      <c r="M126" s="952"/>
      <c r="N126" s="952"/>
      <c r="O126" s="942"/>
      <c r="P126" s="942"/>
      <c r="Q126" s="952"/>
      <c r="R126" s="942"/>
      <c r="S126" s="942"/>
      <c r="T126" s="952"/>
      <c r="U126" s="942"/>
      <c r="V126" s="942"/>
    </row>
    <row r="127" spans="1:22" s="374" customFormat="1" ht="14.25" customHeight="1">
      <c r="A127" s="879">
        <v>23</v>
      </c>
      <c r="B127" s="902" t="s">
        <v>951</v>
      </c>
      <c r="C127" s="953" t="s">
        <v>958</v>
      </c>
      <c r="D127" s="883" t="s">
        <v>228</v>
      </c>
      <c r="E127" s="956" t="s">
        <v>956</v>
      </c>
      <c r="F127" s="879" t="s">
        <v>698</v>
      </c>
      <c r="G127" s="373">
        <f>G128+G129+G130+G131</f>
        <v>824624</v>
      </c>
      <c r="H127" s="373">
        <f>H128+H129+H130+H131</f>
        <v>340039</v>
      </c>
      <c r="I127" s="952">
        <f>J127+M127</f>
        <v>431175</v>
      </c>
      <c r="J127" s="952">
        <f>K127+L127</f>
        <v>366501</v>
      </c>
      <c r="K127" s="942">
        <v>366501</v>
      </c>
      <c r="L127" s="942">
        <v>0</v>
      </c>
      <c r="M127" s="952">
        <f>N127+Q127+T127</f>
        <v>64674</v>
      </c>
      <c r="N127" s="952">
        <f>O127+P127</f>
        <v>0</v>
      </c>
      <c r="O127" s="942">
        <v>0</v>
      </c>
      <c r="P127" s="942">
        <v>0</v>
      </c>
      <c r="Q127" s="952">
        <f>R127+S127</f>
        <v>64674</v>
      </c>
      <c r="R127" s="942">
        <v>64674</v>
      </c>
      <c r="S127" s="942">
        <v>0</v>
      </c>
      <c r="T127" s="952">
        <f>U127+V127</f>
        <v>0</v>
      </c>
      <c r="U127" s="942">
        <v>0</v>
      </c>
      <c r="V127" s="942">
        <v>0</v>
      </c>
    </row>
    <row r="128" spans="1:22" s="374" customFormat="1" ht="14.25" customHeight="1">
      <c r="A128" s="879"/>
      <c r="B128" s="903"/>
      <c r="C128" s="954"/>
      <c r="D128" s="883"/>
      <c r="E128" s="956"/>
      <c r="F128" s="879"/>
      <c r="G128" s="373">
        <v>700930</v>
      </c>
      <c r="H128" s="373">
        <v>289030</v>
      </c>
      <c r="I128" s="952"/>
      <c r="J128" s="952"/>
      <c r="K128" s="942"/>
      <c r="L128" s="942"/>
      <c r="M128" s="952"/>
      <c r="N128" s="952"/>
      <c r="O128" s="942"/>
      <c r="P128" s="942"/>
      <c r="Q128" s="952"/>
      <c r="R128" s="942"/>
      <c r="S128" s="942"/>
      <c r="T128" s="952"/>
      <c r="U128" s="942"/>
      <c r="V128" s="942"/>
    </row>
    <row r="129" spans="1:22" s="374" customFormat="1" ht="14.25" customHeight="1">
      <c r="A129" s="879"/>
      <c r="B129" s="903"/>
      <c r="C129" s="954"/>
      <c r="D129" s="883"/>
      <c r="E129" s="956"/>
      <c r="F129" s="879"/>
      <c r="G129" s="373">
        <v>0</v>
      </c>
      <c r="H129" s="373">
        <v>0</v>
      </c>
      <c r="I129" s="952"/>
      <c r="J129" s="952"/>
      <c r="K129" s="942"/>
      <c r="L129" s="942"/>
      <c r="M129" s="952"/>
      <c r="N129" s="952"/>
      <c r="O129" s="942"/>
      <c r="P129" s="942"/>
      <c r="Q129" s="952"/>
      <c r="R129" s="942"/>
      <c r="S129" s="942"/>
      <c r="T129" s="952"/>
      <c r="U129" s="942"/>
      <c r="V129" s="942"/>
    </row>
    <row r="130" spans="1:22" s="374" customFormat="1" ht="14.25" customHeight="1">
      <c r="A130" s="879"/>
      <c r="B130" s="903"/>
      <c r="C130" s="954"/>
      <c r="D130" s="883"/>
      <c r="E130" s="956"/>
      <c r="F130" s="879"/>
      <c r="G130" s="373">
        <v>123694</v>
      </c>
      <c r="H130" s="373">
        <v>51009</v>
      </c>
      <c r="I130" s="952"/>
      <c r="J130" s="952"/>
      <c r="K130" s="942"/>
      <c r="L130" s="942"/>
      <c r="M130" s="952"/>
      <c r="N130" s="952"/>
      <c r="O130" s="942"/>
      <c r="P130" s="942"/>
      <c r="Q130" s="952"/>
      <c r="R130" s="942"/>
      <c r="S130" s="942"/>
      <c r="T130" s="952"/>
      <c r="U130" s="942"/>
      <c r="V130" s="942"/>
    </row>
    <row r="131" spans="1:22" s="374" customFormat="1" ht="14.25" customHeight="1">
      <c r="A131" s="879"/>
      <c r="B131" s="904"/>
      <c r="C131" s="955"/>
      <c r="D131" s="883"/>
      <c r="E131" s="956"/>
      <c r="F131" s="879"/>
      <c r="G131" s="373">
        <v>0</v>
      </c>
      <c r="H131" s="373">
        <v>0</v>
      </c>
      <c r="I131" s="952"/>
      <c r="J131" s="952"/>
      <c r="K131" s="942"/>
      <c r="L131" s="942"/>
      <c r="M131" s="952"/>
      <c r="N131" s="952"/>
      <c r="O131" s="942"/>
      <c r="P131" s="942"/>
      <c r="Q131" s="952"/>
      <c r="R131" s="942"/>
      <c r="S131" s="942"/>
      <c r="T131" s="952"/>
      <c r="U131" s="942"/>
      <c r="V131" s="942"/>
    </row>
    <row r="132" spans="1:22" s="375" customFormat="1" ht="15">
      <c r="A132" s="943" t="s">
        <v>664</v>
      </c>
      <c r="B132" s="944"/>
      <c r="C132" s="944"/>
      <c r="D132" s="944"/>
      <c r="E132" s="944"/>
      <c r="F132" s="945"/>
      <c r="G132" s="366">
        <f>G107+G102+G97+G87+G92+G42+G82+G77+G72+G67+G62+G57+G52+G22+G32+G27+G17+G112+G117+G122+G127+G37+G47</f>
        <v>131706030</v>
      </c>
      <c r="H132" s="366">
        <f>H107+H102+H97+H87+H92+H42+H82+H77+H72+H67+H62+H57+H52+H22+H32+H27+H17+H112+H117+H122+H127+H37+H47</f>
        <v>68880273</v>
      </c>
      <c r="I132" s="941">
        <f>SUM(I17:I131)</f>
        <v>44996775</v>
      </c>
      <c r="J132" s="941">
        <f aca="true" t="shared" si="0" ref="J132:V132">SUM(J17:J131)</f>
        <v>25508084</v>
      </c>
      <c r="K132" s="941">
        <f t="shared" si="0"/>
        <v>14640742</v>
      </c>
      <c r="L132" s="941">
        <f t="shared" si="0"/>
        <v>10867342</v>
      </c>
      <c r="M132" s="941">
        <f t="shared" si="0"/>
        <v>19488691</v>
      </c>
      <c r="N132" s="941">
        <f t="shared" si="0"/>
        <v>6245890</v>
      </c>
      <c r="O132" s="941">
        <f t="shared" si="0"/>
        <v>6245890</v>
      </c>
      <c r="P132" s="941">
        <f t="shared" si="0"/>
        <v>0</v>
      </c>
      <c r="Q132" s="941">
        <f t="shared" si="0"/>
        <v>12546847</v>
      </c>
      <c r="R132" s="941">
        <f>SUM(R17:R131)</f>
        <v>1127752</v>
      </c>
      <c r="S132" s="941">
        <f t="shared" si="0"/>
        <v>11419095</v>
      </c>
      <c r="T132" s="941">
        <f t="shared" si="0"/>
        <v>695954</v>
      </c>
      <c r="U132" s="941">
        <f t="shared" si="0"/>
        <v>695954</v>
      </c>
      <c r="V132" s="941">
        <f t="shared" si="0"/>
        <v>0</v>
      </c>
    </row>
    <row r="133" spans="1:22" s="375" customFormat="1" ht="15">
      <c r="A133" s="946"/>
      <c r="B133" s="947"/>
      <c r="C133" s="947"/>
      <c r="D133" s="947"/>
      <c r="E133" s="947"/>
      <c r="F133" s="948"/>
      <c r="G133" s="366">
        <f aca="true" t="shared" si="1" ref="G133:H136">G108+G103+G98+G88+G93+G43+G83+G78+G73+G68+G63+G58+G53+G23+G33+G28+G18+G113+G118+G123+G128+G38+G48</f>
        <v>82418883</v>
      </c>
      <c r="H133" s="366">
        <f t="shared" si="1"/>
        <v>46134175</v>
      </c>
      <c r="I133" s="941"/>
      <c r="J133" s="941"/>
      <c r="K133" s="941"/>
      <c r="L133" s="941"/>
      <c r="M133" s="941"/>
      <c r="N133" s="941"/>
      <c r="O133" s="941"/>
      <c r="P133" s="941"/>
      <c r="Q133" s="941"/>
      <c r="R133" s="941"/>
      <c r="S133" s="941"/>
      <c r="T133" s="941"/>
      <c r="U133" s="941"/>
      <c r="V133" s="941"/>
    </row>
    <row r="134" spans="1:22" s="375" customFormat="1" ht="15">
      <c r="A134" s="946"/>
      <c r="B134" s="947"/>
      <c r="C134" s="947"/>
      <c r="D134" s="947"/>
      <c r="E134" s="947"/>
      <c r="F134" s="948"/>
      <c r="G134" s="366">
        <f t="shared" si="1"/>
        <v>26601055</v>
      </c>
      <c r="H134" s="366">
        <f t="shared" si="1"/>
        <v>13440156</v>
      </c>
      <c r="I134" s="941"/>
      <c r="J134" s="941"/>
      <c r="K134" s="941"/>
      <c r="L134" s="941"/>
      <c r="M134" s="941"/>
      <c r="N134" s="941"/>
      <c r="O134" s="941"/>
      <c r="P134" s="941"/>
      <c r="Q134" s="941"/>
      <c r="R134" s="941"/>
      <c r="S134" s="941"/>
      <c r="T134" s="941"/>
      <c r="U134" s="941"/>
      <c r="V134" s="941"/>
    </row>
    <row r="135" spans="1:22" s="375" customFormat="1" ht="15">
      <c r="A135" s="946"/>
      <c r="B135" s="947"/>
      <c r="C135" s="947"/>
      <c r="D135" s="947"/>
      <c r="E135" s="947"/>
      <c r="F135" s="948"/>
      <c r="G135" s="366">
        <f t="shared" si="1"/>
        <v>20219263</v>
      </c>
      <c r="H135" s="366">
        <f t="shared" si="1"/>
        <v>7535067</v>
      </c>
      <c r="I135" s="941"/>
      <c r="J135" s="941"/>
      <c r="K135" s="941"/>
      <c r="L135" s="941"/>
      <c r="M135" s="941"/>
      <c r="N135" s="941"/>
      <c r="O135" s="941"/>
      <c r="P135" s="941"/>
      <c r="Q135" s="941"/>
      <c r="R135" s="941"/>
      <c r="S135" s="941"/>
      <c r="T135" s="941"/>
      <c r="U135" s="941"/>
      <c r="V135" s="941"/>
    </row>
    <row r="136" spans="1:22" s="375" customFormat="1" ht="15">
      <c r="A136" s="949"/>
      <c r="B136" s="950"/>
      <c r="C136" s="950"/>
      <c r="D136" s="950"/>
      <c r="E136" s="950"/>
      <c r="F136" s="951"/>
      <c r="G136" s="366">
        <f t="shared" si="1"/>
        <v>2466829</v>
      </c>
      <c r="H136" s="366">
        <f t="shared" si="1"/>
        <v>1770875</v>
      </c>
      <c r="I136" s="941"/>
      <c r="J136" s="941"/>
      <c r="K136" s="941"/>
      <c r="L136" s="941"/>
      <c r="M136" s="941"/>
      <c r="N136" s="941"/>
      <c r="O136" s="941"/>
      <c r="P136" s="941"/>
      <c r="Q136" s="941"/>
      <c r="R136" s="941"/>
      <c r="S136" s="941"/>
      <c r="T136" s="941"/>
      <c r="U136" s="941"/>
      <c r="V136" s="941"/>
    </row>
  </sheetData>
  <sheetProtection password="C25B" sheet="1"/>
  <mergeCells count="507">
    <mergeCell ref="H7:H8"/>
    <mergeCell ref="I7:V8"/>
    <mergeCell ref="U11:U12"/>
    <mergeCell ref="V11:V12"/>
    <mergeCell ref="A5:V5"/>
    <mergeCell ref="A7:A12"/>
    <mergeCell ref="B7:B12"/>
    <mergeCell ref="C7:C12"/>
    <mergeCell ref="D7:D12"/>
    <mergeCell ref="E7:E12"/>
    <mergeCell ref="N10:P10"/>
    <mergeCell ref="Q10:S10"/>
    <mergeCell ref="F7:F12"/>
    <mergeCell ref="G7:G8"/>
    <mergeCell ref="R11:R12"/>
    <mergeCell ref="S11:S12"/>
    <mergeCell ref="A15:V15"/>
    <mergeCell ref="K11:K12"/>
    <mergeCell ref="L11:L12"/>
    <mergeCell ref="T10:V10"/>
    <mergeCell ref="J11:J12"/>
    <mergeCell ref="T11:T12"/>
    <mergeCell ref="A16:V16"/>
    <mergeCell ref="N11:N12"/>
    <mergeCell ref="O11:O12"/>
    <mergeCell ref="P11:P12"/>
    <mergeCell ref="Q11:Q12"/>
    <mergeCell ref="I9:I12"/>
    <mergeCell ref="J9:L10"/>
    <mergeCell ref="M9:M12"/>
    <mergeCell ref="N9:V9"/>
    <mergeCell ref="A14:V14"/>
    <mergeCell ref="A17:A21"/>
    <mergeCell ref="B17:B21"/>
    <mergeCell ref="C17:C21"/>
    <mergeCell ref="D17:D21"/>
    <mergeCell ref="E17:E21"/>
    <mergeCell ref="F17:F21"/>
    <mergeCell ref="I17:I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T17:T21"/>
    <mergeCell ref="U17:U21"/>
    <mergeCell ref="V17:V21"/>
    <mergeCell ref="A22:A26"/>
    <mergeCell ref="B22:B26"/>
    <mergeCell ref="C22:C26"/>
    <mergeCell ref="D22:D26"/>
    <mergeCell ref="E22:E26"/>
    <mergeCell ref="F22:F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A27:A31"/>
    <mergeCell ref="B27:B31"/>
    <mergeCell ref="C27:C31"/>
    <mergeCell ref="D27:D31"/>
    <mergeCell ref="E27:E31"/>
    <mergeCell ref="F27:F31"/>
    <mergeCell ref="I27:I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V27:V31"/>
    <mergeCell ref="A32:A36"/>
    <mergeCell ref="B32:B36"/>
    <mergeCell ref="C32:C36"/>
    <mergeCell ref="D32:D36"/>
    <mergeCell ref="E32:E36"/>
    <mergeCell ref="F32:F36"/>
    <mergeCell ref="I32:I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A37:A41"/>
    <mergeCell ref="B37:B41"/>
    <mergeCell ref="C37:C41"/>
    <mergeCell ref="D37:D41"/>
    <mergeCell ref="E37:E41"/>
    <mergeCell ref="F37:F41"/>
    <mergeCell ref="I37:I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A42:A46"/>
    <mergeCell ref="B42:B46"/>
    <mergeCell ref="C42:C46"/>
    <mergeCell ref="D42:D46"/>
    <mergeCell ref="E42:E46"/>
    <mergeCell ref="F42:F46"/>
    <mergeCell ref="I42:I46"/>
    <mergeCell ref="J42:J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A47:A51"/>
    <mergeCell ref="B47:B51"/>
    <mergeCell ref="C47:C51"/>
    <mergeCell ref="D47:D51"/>
    <mergeCell ref="E47:E51"/>
    <mergeCell ref="F47:F51"/>
    <mergeCell ref="I47:I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A52:A56"/>
    <mergeCell ref="B52:B56"/>
    <mergeCell ref="C52:C56"/>
    <mergeCell ref="D52:D56"/>
    <mergeCell ref="E52:E56"/>
    <mergeCell ref="F52:F56"/>
    <mergeCell ref="I52:I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A57:A61"/>
    <mergeCell ref="B57:B61"/>
    <mergeCell ref="C57:C61"/>
    <mergeCell ref="D57:D61"/>
    <mergeCell ref="E57:E61"/>
    <mergeCell ref="F57:F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  <mergeCell ref="V57:V61"/>
    <mergeCell ref="A62:A66"/>
    <mergeCell ref="B62:B66"/>
    <mergeCell ref="C62:C66"/>
    <mergeCell ref="D62:D66"/>
    <mergeCell ref="E62:E66"/>
    <mergeCell ref="F62:F66"/>
    <mergeCell ref="I62:I66"/>
    <mergeCell ref="J62:J66"/>
    <mergeCell ref="K62:K66"/>
    <mergeCell ref="L62:L66"/>
    <mergeCell ref="M62:M66"/>
    <mergeCell ref="N62:N66"/>
    <mergeCell ref="O62:O66"/>
    <mergeCell ref="P62:P66"/>
    <mergeCell ref="Q62:Q66"/>
    <mergeCell ref="R62:R66"/>
    <mergeCell ref="S62:S66"/>
    <mergeCell ref="T62:T66"/>
    <mergeCell ref="U62:U66"/>
    <mergeCell ref="V62:V66"/>
    <mergeCell ref="A67:A71"/>
    <mergeCell ref="B67:B71"/>
    <mergeCell ref="C67:C71"/>
    <mergeCell ref="D67:D71"/>
    <mergeCell ref="E67:E71"/>
    <mergeCell ref="F67:F71"/>
    <mergeCell ref="I67:I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A72:A76"/>
    <mergeCell ref="B72:B76"/>
    <mergeCell ref="C72:C76"/>
    <mergeCell ref="D72:D76"/>
    <mergeCell ref="E72:E76"/>
    <mergeCell ref="F72:F76"/>
    <mergeCell ref="I72:I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U72:U76"/>
    <mergeCell ref="V72:V76"/>
    <mergeCell ref="A77:A81"/>
    <mergeCell ref="B77:B81"/>
    <mergeCell ref="C77:C81"/>
    <mergeCell ref="D77:D81"/>
    <mergeCell ref="E77:E81"/>
    <mergeCell ref="F77:F81"/>
    <mergeCell ref="I77:I81"/>
    <mergeCell ref="J77:J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T77:T81"/>
    <mergeCell ref="U77:U81"/>
    <mergeCell ref="V77:V81"/>
    <mergeCell ref="A82:A86"/>
    <mergeCell ref="B82:B86"/>
    <mergeCell ref="C82:C86"/>
    <mergeCell ref="D82:D86"/>
    <mergeCell ref="E82:E86"/>
    <mergeCell ref="F82:F86"/>
    <mergeCell ref="I82:I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A87:A91"/>
    <mergeCell ref="B87:B91"/>
    <mergeCell ref="C87:C91"/>
    <mergeCell ref="D87:D91"/>
    <mergeCell ref="E87:E91"/>
    <mergeCell ref="F87:F91"/>
    <mergeCell ref="I87:I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A92:A96"/>
    <mergeCell ref="B92:B96"/>
    <mergeCell ref="C92:C96"/>
    <mergeCell ref="D92:D96"/>
    <mergeCell ref="E92:E96"/>
    <mergeCell ref="F92:F96"/>
    <mergeCell ref="I92:I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A97:A101"/>
    <mergeCell ref="B97:B101"/>
    <mergeCell ref="C97:C101"/>
    <mergeCell ref="D97:D101"/>
    <mergeCell ref="E97:E101"/>
    <mergeCell ref="F97:F101"/>
    <mergeCell ref="I97:I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A102:A106"/>
    <mergeCell ref="B102:B106"/>
    <mergeCell ref="C102:C106"/>
    <mergeCell ref="D102:D106"/>
    <mergeCell ref="E102:E106"/>
    <mergeCell ref="F102:F106"/>
    <mergeCell ref="I102:I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A107:A111"/>
    <mergeCell ref="B107:B111"/>
    <mergeCell ref="C107:C111"/>
    <mergeCell ref="D107:D111"/>
    <mergeCell ref="E107:E111"/>
    <mergeCell ref="F107:F111"/>
    <mergeCell ref="I107:I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A112:A116"/>
    <mergeCell ref="B112:B116"/>
    <mergeCell ref="C112:C116"/>
    <mergeCell ref="D112:D116"/>
    <mergeCell ref="E112:E116"/>
    <mergeCell ref="F112:F116"/>
    <mergeCell ref="I112:I116"/>
    <mergeCell ref="J112:J116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S112:S116"/>
    <mergeCell ref="T112:T116"/>
    <mergeCell ref="U112:U116"/>
    <mergeCell ref="V112:V116"/>
    <mergeCell ref="A117:A121"/>
    <mergeCell ref="B117:B121"/>
    <mergeCell ref="C117:C121"/>
    <mergeCell ref="D117:D121"/>
    <mergeCell ref="E117:E121"/>
    <mergeCell ref="F117:F121"/>
    <mergeCell ref="I117:I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R117:R121"/>
    <mergeCell ref="S117:S121"/>
    <mergeCell ref="T117:T121"/>
    <mergeCell ref="U117:U121"/>
    <mergeCell ref="V117:V121"/>
    <mergeCell ref="A122:A126"/>
    <mergeCell ref="B122:B126"/>
    <mergeCell ref="C122:C126"/>
    <mergeCell ref="D122:D126"/>
    <mergeCell ref="E122:E126"/>
    <mergeCell ref="F122:F126"/>
    <mergeCell ref="I122:I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A127:A131"/>
    <mergeCell ref="B127:B131"/>
    <mergeCell ref="C127:C131"/>
    <mergeCell ref="D127:D131"/>
    <mergeCell ref="E127:E131"/>
    <mergeCell ref="F127:F131"/>
    <mergeCell ref="I127:I131"/>
    <mergeCell ref="J127:J131"/>
    <mergeCell ref="K127:K131"/>
    <mergeCell ref="L127:L131"/>
    <mergeCell ref="M127:M131"/>
    <mergeCell ref="N127:N131"/>
    <mergeCell ref="O127:O131"/>
    <mergeCell ref="P127:P131"/>
    <mergeCell ref="Q127:Q131"/>
    <mergeCell ref="R127:R131"/>
    <mergeCell ref="S127:S131"/>
    <mergeCell ref="T127:T131"/>
    <mergeCell ref="U127:U131"/>
    <mergeCell ref="V127:V131"/>
    <mergeCell ref="A132:F136"/>
    <mergeCell ref="I132:I136"/>
    <mergeCell ref="J132:J136"/>
    <mergeCell ref="K132:K136"/>
    <mergeCell ref="L132:L136"/>
    <mergeCell ref="M132:M136"/>
    <mergeCell ref="N132:N136"/>
    <mergeCell ref="O132:O136"/>
    <mergeCell ref="V132:V136"/>
    <mergeCell ref="P132:P136"/>
    <mergeCell ref="Q132:Q136"/>
    <mergeCell ref="R132:R136"/>
    <mergeCell ref="S132:S136"/>
    <mergeCell ref="T132:T136"/>
    <mergeCell ref="U132:U136"/>
  </mergeCells>
  <printOptions horizontalCentered="1"/>
  <pageMargins left="0.2362204724409449" right="0.1968503937007874" top="0.984251968503937" bottom="0.7480314960629921" header="0.31496062992125984" footer="0.31496062992125984"/>
  <pageSetup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SheetLayoutView="100" zoomScalePageLayoutView="0" workbookViewId="0" topLeftCell="A1">
      <selection activeCell="D19" sqref="D19"/>
    </sheetView>
  </sheetViews>
  <sheetFormatPr defaultColWidth="8.796875" defaultRowHeight="14.25"/>
  <cols>
    <col min="1" max="1" width="4.09765625" style="6" customWidth="1"/>
    <col min="2" max="2" width="6.19921875" style="4" customWidth="1"/>
    <col min="3" max="3" width="8.3984375" style="4" customWidth="1"/>
    <col min="4" max="4" width="38.5" style="4" customWidth="1"/>
    <col min="5" max="5" width="10.19921875" style="4" customWidth="1"/>
    <col min="6" max="6" width="11.5" style="4" customWidth="1"/>
    <col min="7" max="7" width="11.69921875" style="4" customWidth="1"/>
    <col min="8" max="8" width="12.09765625" style="4" customWidth="1"/>
    <col min="9" max="9" width="12.8984375" style="4" customWidth="1"/>
    <col min="10" max="10" width="12" style="4" customWidth="1"/>
    <col min="11" max="11" width="30.69921875" style="4" customWidth="1"/>
    <col min="12" max="16384" width="9" style="4" customWidth="1"/>
  </cols>
  <sheetData>
    <row r="1" ht="13.5" customHeight="1">
      <c r="K1" s="1" t="s">
        <v>281</v>
      </c>
    </row>
    <row r="2" ht="13.5" customHeight="1">
      <c r="K2" s="1" t="s">
        <v>416</v>
      </c>
    </row>
    <row r="3" ht="13.5" customHeight="1">
      <c r="K3" s="1" t="s">
        <v>417</v>
      </c>
    </row>
    <row r="4" spans="1:11" s="7" customFormat="1" ht="18.75">
      <c r="A4" s="970" t="s">
        <v>216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</row>
    <row r="5" spans="1:11" s="7" customFormat="1" ht="18.75">
      <c r="A5" s="970" t="s">
        <v>351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</row>
    <row r="6" spans="1:11" s="7" customFormat="1" ht="10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6:11" ht="11.25" customHeight="1">
      <c r="F7" s="8"/>
      <c r="K7" s="6" t="s">
        <v>17</v>
      </c>
    </row>
    <row r="8" spans="1:11" s="10" customFormat="1" ht="12.75" customHeight="1">
      <c r="A8" s="968" t="s">
        <v>217</v>
      </c>
      <c r="B8" s="968" t="s">
        <v>18</v>
      </c>
      <c r="C8" s="968" t="s">
        <v>218</v>
      </c>
      <c r="D8" s="968" t="s">
        <v>219</v>
      </c>
      <c r="E8" s="968" t="s">
        <v>214</v>
      </c>
      <c r="F8" s="968" t="s">
        <v>220</v>
      </c>
      <c r="G8" s="968" t="s">
        <v>353</v>
      </c>
      <c r="H8" s="971" t="s">
        <v>221</v>
      </c>
      <c r="I8" s="971"/>
      <c r="J8" s="971"/>
      <c r="K8" s="968" t="s">
        <v>222</v>
      </c>
    </row>
    <row r="9" spans="1:11" s="10" customFormat="1" ht="12.75" customHeight="1">
      <c r="A9" s="968"/>
      <c r="B9" s="968"/>
      <c r="C9" s="968"/>
      <c r="D9" s="968"/>
      <c r="E9" s="968"/>
      <c r="F9" s="968"/>
      <c r="G9" s="968"/>
      <c r="H9" s="968" t="s">
        <v>354</v>
      </c>
      <c r="I9" s="969" t="s">
        <v>223</v>
      </c>
      <c r="J9" s="969"/>
      <c r="K9" s="968"/>
    </row>
    <row r="10" spans="1:11" s="10" customFormat="1" ht="12.75" customHeight="1">
      <c r="A10" s="968"/>
      <c r="B10" s="968"/>
      <c r="C10" s="968"/>
      <c r="D10" s="968"/>
      <c r="E10" s="968"/>
      <c r="F10" s="968"/>
      <c r="G10" s="968"/>
      <c r="H10" s="968"/>
      <c r="I10" s="968" t="s">
        <v>224</v>
      </c>
      <c r="J10" s="968" t="s">
        <v>225</v>
      </c>
      <c r="K10" s="968"/>
    </row>
    <row r="11" spans="1:11" s="11" customFormat="1" ht="36.75" customHeight="1">
      <c r="A11" s="968"/>
      <c r="B11" s="968"/>
      <c r="C11" s="968"/>
      <c r="D11" s="968"/>
      <c r="E11" s="968"/>
      <c r="F11" s="968"/>
      <c r="G11" s="968"/>
      <c r="H11" s="968"/>
      <c r="I11" s="968"/>
      <c r="J11" s="968"/>
      <c r="K11" s="968"/>
    </row>
    <row r="12" spans="1:11" s="12" customFormat="1" ht="12.75">
      <c r="A12" s="128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128">
        <v>11</v>
      </c>
    </row>
    <row r="13" spans="1:11" ht="3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29"/>
      <c r="K13" s="130"/>
    </row>
    <row r="14" spans="1:11" s="13" customFormat="1" ht="16.5">
      <c r="A14" s="115"/>
      <c r="B14" s="115"/>
      <c r="C14" s="115"/>
      <c r="D14" s="157" t="s">
        <v>123</v>
      </c>
      <c r="E14" s="115" t="s">
        <v>215</v>
      </c>
      <c r="F14" s="115" t="s">
        <v>215</v>
      </c>
      <c r="G14" s="115" t="s">
        <v>215</v>
      </c>
      <c r="H14" s="116">
        <f>H63+H98+H102+H106</f>
        <v>408642369</v>
      </c>
      <c r="I14" s="116">
        <f>I63+I98+I102+I106</f>
        <v>141659273</v>
      </c>
      <c r="J14" s="116">
        <f>J63+J98+J102+J106</f>
        <v>266983096</v>
      </c>
      <c r="K14" s="115" t="s">
        <v>215</v>
      </c>
    </row>
    <row r="15" spans="1:11" ht="3" customHeight="1">
      <c r="A15" s="129"/>
      <c r="B15" s="130"/>
      <c r="C15" s="130"/>
      <c r="D15" s="131"/>
      <c r="E15" s="132"/>
      <c r="F15" s="130"/>
      <c r="G15" s="130"/>
      <c r="H15" s="130"/>
      <c r="I15" s="130"/>
      <c r="J15" s="129"/>
      <c r="K15" s="130"/>
    </row>
    <row r="16" spans="1:11" s="14" customFormat="1" ht="20.25" customHeight="1">
      <c r="A16" s="115" t="s">
        <v>226</v>
      </c>
      <c r="B16" s="965" t="s">
        <v>227</v>
      </c>
      <c r="C16" s="965"/>
      <c r="D16" s="965"/>
      <c r="E16" s="965"/>
      <c r="F16" s="965"/>
      <c r="G16" s="965"/>
      <c r="H16" s="965"/>
      <c r="I16" s="965"/>
      <c r="J16" s="965"/>
      <c r="K16" s="965"/>
    </row>
    <row r="17" spans="1:11" ht="3.75" customHeight="1">
      <c r="A17" s="129"/>
      <c r="B17" s="16"/>
      <c r="C17" s="16"/>
      <c r="D17" s="130"/>
      <c r="E17" s="130"/>
      <c r="F17" s="130"/>
      <c r="G17" s="130"/>
      <c r="H17" s="130"/>
      <c r="I17" s="130"/>
      <c r="J17" s="129"/>
      <c r="K17" s="130"/>
    </row>
    <row r="18" spans="1:11" s="15" customFormat="1" ht="15.75" customHeight="1">
      <c r="A18" s="117"/>
      <c r="B18" s="159" t="s">
        <v>24</v>
      </c>
      <c r="C18" s="159"/>
      <c r="D18" s="161" t="s">
        <v>52</v>
      </c>
      <c r="E18" s="117" t="s">
        <v>215</v>
      </c>
      <c r="F18" s="120">
        <f>F19</f>
        <v>6000000</v>
      </c>
      <c r="G18" s="156" t="s">
        <v>215</v>
      </c>
      <c r="H18" s="120">
        <f>H19</f>
        <v>6000000</v>
      </c>
      <c r="I18" s="120">
        <f>I19</f>
        <v>6000000</v>
      </c>
      <c r="J18" s="120">
        <f>J19</f>
        <v>0</v>
      </c>
      <c r="K18" s="117" t="s">
        <v>215</v>
      </c>
    </row>
    <row r="19" spans="1:11" s="110" customFormat="1" ht="45.75" customHeight="1">
      <c r="A19" s="17">
        <v>1</v>
      </c>
      <c r="B19" s="124"/>
      <c r="C19" s="124" t="s">
        <v>83</v>
      </c>
      <c r="D19" s="125" t="s">
        <v>412</v>
      </c>
      <c r="E19" s="17">
        <v>2020</v>
      </c>
      <c r="F19" s="18">
        <v>6000000</v>
      </c>
      <c r="G19" s="126" t="s">
        <v>215</v>
      </c>
      <c r="H19" s="18">
        <f>I19+J19</f>
        <v>6000000</v>
      </c>
      <c r="I19" s="18">
        <v>6000000</v>
      </c>
      <c r="J19" s="18">
        <v>0</v>
      </c>
      <c r="K19" s="125" t="s">
        <v>228</v>
      </c>
    </row>
    <row r="20" spans="1:11" s="15" customFormat="1" ht="18" customHeight="1">
      <c r="A20" s="117"/>
      <c r="B20" s="159" t="s">
        <v>27</v>
      </c>
      <c r="C20" s="159"/>
      <c r="D20" s="161" t="s">
        <v>28</v>
      </c>
      <c r="E20" s="117" t="s">
        <v>215</v>
      </c>
      <c r="F20" s="120">
        <f>F21+F22+F23+F24+F26+F25</f>
        <v>22700000</v>
      </c>
      <c r="G20" s="156" t="s">
        <v>215</v>
      </c>
      <c r="H20" s="120">
        <f>H21+H22+H23+H24+H26+H25</f>
        <v>22700000</v>
      </c>
      <c r="I20" s="120">
        <f>I21+I22+I23+I24+I26+I25</f>
        <v>22700000</v>
      </c>
      <c r="J20" s="120">
        <f>J21+J22+J23+J24+J26+J25</f>
        <v>0</v>
      </c>
      <c r="K20" s="117" t="s">
        <v>215</v>
      </c>
    </row>
    <row r="21" spans="1:11" s="110" customFormat="1" ht="15.75" customHeight="1">
      <c r="A21" s="17">
        <v>2</v>
      </c>
      <c r="B21" s="124"/>
      <c r="C21" s="124" t="s">
        <v>139</v>
      </c>
      <c r="D21" s="125" t="s">
        <v>229</v>
      </c>
      <c r="E21" s="17">
        <v>2020</v>
      </c>
      <c r="F21" s="18">
        <v>11000000</v>
      </c>
      <c r="G21" s="126" t="s">
        <v>215</v>
      </c>
      <c r="H21" s="18">
        <f aca="true" t="shared" si="0" ref="H21:H26">I21+J21</f>
        <v>11000000</v>
      </c>
      <c r="I21" s="18">
        <v>11000000</v>
      </c>
      <c r="J21" s="18">
        <v>0</v>
      </c>
      <c r="K21" s="125" t="s">
        <v>230</v>
      </c>
    </row>
    <row r="22" spans="1:11" s="110" customFormat="1" ht="15.75" customHeight="1">
      <c r="A22" s="17">
        <v>3</v>
      </c>
      <c r="B22" s="124"/>
      <c r="C22" s="124" t="s">
        <v>139</v>
      </c>
      <c r="D22" s="125" t="s">
        <v>231</v>
      </c>
      <c r="E22" s="17">
        <v>2020</v>
      </c>
      <c r="F22" s="18">
        <v>3500000</v>
      </c>
      <c r="G22" s="126" t="s">
        <v>215</v>
      </c>
      <c r="H22" s="18">
        <f t="shared" si="0"/>
        <v>3500000</v>
      </c>
      <c r="I22" s="18">
        <v>3500000</v>
      </c>
      <c r="J22" s="18">
        <v>0</v>
      </c>
      <c r="K22" s="125" t="s">
        <v>230</v>
      </c>
    </row>
    <row r="23" spans="1:11" s="110" customFormat="1" ht="15.75" customHeight="1">
      <c r="A23" s="17">
        <v>4</v>
      </c>
      <c r="B23" s="124"/>
      <c r="C23" s="124" t="s">
        <v>139</v>
      </c>
      <c r="D23" s="125" t="s">
        <v>358</v>
      </c>
      <c r="E23" s="17">
        <v>2020</v>
      </c>
      <c r="F23" s="18">
        <v>1500000</v>
      </c>
      <c r="G23" s="126"/>
      <c r="H23" s="18">
        <f t="shared" si="0"/>
        <v>1500000</v>
      </c>
      <c r="I23" s="18">
        <v>1500000</v>
      </c>
      <c r="J23" s="18">
        <v>0</v>
      </c>
      <c r="K23" s="125" t="s">
        <v>230</v>
      </c>
    </row>
    <row r="24" spans="1:11" s="110" customFormat="1" ht="30" customHeight="1">
      <c r="A24" s="17">
        <v>5</v>
      </c>
      <c r="B24" s="124"/>
      <c r="C24" s="124" t="s">
        <v>139</v>
      </c>
      <c r="D24" s="125" t="s">
        <v>232</v>
      </c>
      <c r="E24" s="17">
        <v>2020</v>
      </c>
      <c r="F24" s="18">
        <v>2500000</v>
      </c>
      <c r="G24" s="126" t="s">
        <v>215</v>
      </c>
      <c r="H24" s="18">
        <f t="shared" si="0"/>
        <v>2500000</v>
      </c>
      <c r="I24" s="18">
        <v>2500000</v>
      </c>
      <c r="J24" s="18">
        <v>0</v>
      </c>
      <c r="K24" s="125" t="s">
        <v>230</v>
      </c>
    </row>
    <row r="25" spans="1:11" s="110" customFormat="1" ht="42.75" customHeight="1">
      <c r="A25" s="17">
        <v>6</v>
      </c>
      <c r="B25" s="124"/>
      <c r="C25" s="124" t="s">
        <v>139</v>
      </c>
      <c r="D25" s="125" t="s">
        <v>391</v>
      </c>
      <c r="E25" s="17">
        <v>2020</v>
      </c>
      <c r="F25" s="18">
        <v>3000000</v>
      </c>
      <c r="G25" s="126" t="s">
        <v>215</v>
      </c>
      <c r="H25" s="18">
        <f t="shared" si="0"/>
        <v>3000000</v>
      </c>
      <c r="I25" s="18">
        <v>3000000</v>
      </c>
      <c r="J25" s="18">
        <v>0</v>
      </c>
      <c r="K25" s="125" t="s">
        <v>230</v>
      </c>
    </row>
    <row r="26" spans="1:11" s="110" customFormat="1" ht="15.75" customHeight="1">
      <c r="A26" s="17">
        <v>7</v>
      </c>
      <c r="B26" s="124"/>
      <c r="C26" s="124" t="s">
        <v>139</v>
      </c>
      <c r="D26" s="125" t="s">
        <v>233</v>
      </c>
      <c r="E26" s="17">
        <v>2020</v>
      </c>
      <c r="F26" s="18">
        <v>1200000</v>
      </c>
      <c r="G26" s="126" t="s">
        <v>215</v>
      </c>
      <c r="H26" s="18">
        <f t="shared" si="0"/>
        <v>1200000</v>
      </c>
      <c r="I26" s="18">
        <v>1200000</v>
      </c>
      <c r="J26" s="18">
        <v>0</v>
      </c>
      <c r="K26" s="125" t="s">
        <v>230</v>
      </c>
    </row>
    <row r="27" spans="1:11" s="15" customFormat="1" ht="15.75" customHeight="1">
      <c r="A27" s="117"/>
      <c r="B27" s="159" t="s">
        <v>31</v>
      </c>
      <c r="C27" s="159"/>
      <c r="D27" s="161" t="s">
        <v>32</v>
      </c>
      <c r="E27" s="117" t="s">
        <v>215</v>
      </c>
      <c r="F27" s="120">
        <f>F28</f>
        <v>18000</v>
      </c>
      <c r="G27" s="156" t="s">
        <v>215</v>
      </c>
      <c r="H27" s="120">
        <f>H28</f>
        <v>18000</v>
      </c>
      <c r="I27" s="120">
        <f>I28</f>
        <v>18000</v>
      </c>
      <c r="J27" s="120">
        <f>J28</f>
        <v>0</v>
      </c>
      <c r="K27" s="117" t="s">
        <v>215</v>
      </c>
    </row>
    <row r="28" spans="1:11" s="110" customFormat="1" ht="15.75" customHeight="1">
      <c r="A28" s="17">
        <v>8</v>
      </c>
      <c r="B28" s="124"/>
      <c r="C28" s="124" t="s">
        <v>152</v>
      </c>
      <c r="D28" s="125" t="s">
        <v>359</v>
      </c>
      <c r="E28" s="17">
        <v>2020</v>
      </c>
      <c r="F28" s="18">
        <v>18000</v>
      </c>
      <c r="G28" s="126" t="s">
        <v>215</v>
      </c>
      <c r="H28" s="18">
        <f>I28+J28</f>
        <v>18000</v>
      </c>
      <c r="I28" s="18">
        <v>18000</v>
      </c>
      <c r="J28" s="18">
        <v>0</v>
      </c>
      <c r="K28" s="125" t="s">
        <v>228</v>
      </c>
    </row>
    <row r="29" spans="1:11" s="15" customFormat="1" ht="15.75" customHeight="1">
      <c r="A29" s="117"/>
      <c r="B29" s="159" t="s">
        <v>35</v>
      </c>
      <c r="C29" s="159"/>
      <c r="D29" s="161" t="s">
        <v>36</v>
      </c>
      <c r="E29" s="117" t="s">
        <v>215</v>
      </c>
      <c r="F29" s="120">
        <f>F30+F31</f>
        <v>370000</v>
      </c>
      <c r="G29" s="156" t="str">
        <f>G30</f>
        <v>x</v>
      </c>
      <c r="H29" s="120">
        <f>H30+H31</f>
        <v>370000</v>
      </c>
      <c r="I29" s="120">
        <f>I30+I31</f>
        <v>370000</v>
      </c>
      <c r="J29" s="120">
        <f>J30+J31</f>
        <v>0</v>
      </c>
      <c r="K29" s="117" t="s">
        <v>215</v>
      </c>
    </row>
    <row r="30" spans="1:11" s="110" customFormat="1" ht="15.75" customHeight="1">
      <c r="A30" s="17">
        <v>9</v>
      </c>
      <c r="B30" s="124"/>
      <c r="C30" s="124" t="s">
        <v>156</v>
      </c>
      <c r="D30" s="125" t="s">
        <v>233</v>
      </c>
      <c r="E30" s="17">
        <v>2020</v>
      </c>
      <c r="F30" s="18">
        <v>250000</v>
      </c>
      <c r="G30" s="126" t="s">
        <v>215</v>
      </c>
      <c r="H30" s="18">
        <f>I30+J30</f>
        <v>250000</v>
      </c>
      <c r="I30" s="18">
        <v>250000</v>
      </c>
      <c r="J30" s="18">
        <v>0</v>
      </c>
      <c r="K30" s="125" t="s">
        <v>228</v>
      </c>
    </row>
    <row r="31" spans="1:11" s="110" customFormat="1" ht="15.75" customHeight="1">
      <c r="A31" s="17">
        <v>10</v>
      </c>
      <c r="B31" s="124"/>
      <c r="C31" s="124" t="s">
        <v>156</v>
      </c>
      <c r="D31" s="125" t="s">
        <v>335</v>
      </c>
      <c r="E31" s="17">
        <v>2020</v>
      </c>
      <c r="F31" s="18">
        <v>120000</v>
      </c>
      <c r="G31" s="126" t="s">
        <v>215</v>
      </c>
      <c r="H31" s="18">
        <f>I31+J31</f>
        <v>120000</v>
      </c>
      <c r="I31" s="18">
        <v>120000</v>
      </c>
      <c r="J31" s="18">
        <v>0</v>
      </c>
      <c r="K31" s="125" t="s">
        <v>228</v>
      </c>
    </row>
    <row r="32" spans="1:11" s="15" customFormat="1" ht="33.75" customHeight="1">
      <c r="A32" s="117"/>
      <c r="B32" s="159" t="s">
        <v>164</v>
      </c>
      <c r="C32" s="159"/>
      <c r="D32" s="160" t="s">
        <v>165</v>
      </c>
      <c r="E32" s="117" t="s">
        <v>215</v>
      </c>
      <c r="F32" s="120">
        <f>F33</f>
        <v>1000000</v>
      </c>
      <c r="G32" s="156" t="s">
        <v>215</v>
      </c>
      <c r="H32" s="120">
        <f>H33</f>
        <v>1000000</v>
      </c>
      <c r="I32" s="120">
        <f>I33</f>
        <v>1000000</v>
      </c>
      <c r="J32" s="120">
        <f>J33</f>
        <v>0</v>
      </c>
      <c r="K32" s="117" t="s">
        <v>215</v>
      </c>
    </row>
    <row r="33" spans="1:11" s="110" customFormat="1" ht="15.75" customHeight="1">
      <c r="A33" s="17">
        <v>11</v>
      </c>
      <c r="B33" s="124"/>
      <c r="C33" s="124" t="s">
        <v>166</v>
      </c>
      <c r="D33" s="125" t="s">
        <v>360</v>
      </c>
      <c r="E33" s="17">
        <v>2020</v>
      </c>
      <c r="F33" s="18">
        <v>1000000</v>
      </c>
      <c r="G33" s="126" t="s">
        <v>215</v>
      </c>
      <c r="H33" s="18">
        <f>I33+J33</f>
        <v>1000000</v>
      </c>
      <c r="I33" s="18">
        <v>1000000</v>
      </c>
      <c r="J33" s="18">
        <v>0</v>
      </c>
      <c r="K33" s="125" t="s">
        <v>228</v>
      </c>
    </row>
    <row r="34" spans="1:11" s="15" customFormat="1" ht="15.75" customHeight="1">
      <c r="A34" s="117"/>
      <c r="B34" s="159" t="s">
        <v>41</v>
      </c>
      <c r="C34" s="159"/>
      <c r="D34" s="161" t="s">
        <v>42</v>
      </c>
      <c r="E34" s="117" t="s">
        <v>215</v>
      </c>
      <c r="F34" s="120">
        <f>F35</f>
        <v>26000</v>
      </c>
      <c r="G34" s="156" t="s">
        <v>215</v>
      </c>
      <c r="H34" s="120">
        <f>H35</f>
        <v>26000</v>
      </c>
      <c r="I34" s="120">
        <f>I35</f>
        <v>26000</v>
      </c>
      <c r="J34" s="120">
        <f>J35</f>
        <v>0</v>
      </c>
      <c r="K34" s="117" t="s">
        <v>215</v>
      </c>
    </row>
    <row r="35" spans="1:11" s="110" customFormat="1" ht="31.5" customHeight="1">
      <c r="A35" s="17">
        <v>12</v>
      </c>
      <c r="B35" s="124"/>
      <c r="C35" s="124" t="s">
        <v>183</v>
      </c>
      <c r="D35" s="177" t="s">
        <v>361</v>
      </c>
      <c r="E35" s="17">
        <v>2020</v>
      </c>
      <c r="F35" s="18">
        <v>26000</v>
      </c>
      <c r="G35" s="126" t="s">
        <v>215</v>
      </c>
      <c r="H35" s="18">
        <f>I35+J35</f>
        <v>26000</v>
      </c>
      <c r="I35" s="18">
        <v>26000</v>
      </c>
      <c r="J35" s="18">
        <v>0</v>
      </c>
      <c r="K35" s="125" t="s">
        <v>234</v>
      </c>
    </row>
    <row r="36" spans="1:11" s="15" customFormat="1" ht="21" customHeight="1">
      <c r="A36" s="117"/>
      <c r="B36" s="159" t="s">
        <v>43</v>
      </c>
      <c r="C36" s="159"/>
      <c r="D36" s="161" t="s">
        <v>44</v>
      </c>
      <c r="E36" s="117" t="s">
        <v>215</v>
      </c>
      <c r="F36" s="120">
        <f>F37+F38+F39</f>
        <v>3720000</v>
      </c>
      <c r="G36" s="156" t="s">
        <v>215</v>
      </c>
      <c r="H36" s="120">
        <f>H37+H38+H39</f>
        <v>3720000</v>
      </c>
      <c r="I36" s="120">
        <f>I37+I38+I39</f>
        <v>3720000</v>
      </c>
      <c r="J36" s="120">
        <f>J37+J38+J39</f>
        <v>0</v>
      </c>
      <c r="K36" s="117" t="s">
        <v>215</v>
      </c>
    </row>
    <row r="37" spans="1:11" s="110" customFormat="1" ht="56.25" customHeight="1">
      <c r="A37" s="17">
        <v>13</v>
      </c>
      <c r="B37" s="124"/>
      <c r="C37" s="124" t="s">
        <v>264</v>
      </c>
      <c r="D37" s="125" t="s">
        <v>336</v>
      </c>
      <c r="E37" s="17">
        <v>2020</v>
      </c>
      <c r="F37" s="18">
        <v>2000000</v>
      </c>
      <c r="G37" s="126" t="s">
        <v>215</v>
      </c>
      <c r="H37" s="18">
        <f>I37+J37</f>
        <v>2000000</v>
      </c>
      <c r="I37" s="18">
        <v>2000000</v>
      </c>
      <c r="J37" s="18">
        <v>0</v>
      </c>
      <c r="K37" s="125" t="s">
        <v>393</v>
      </c>
    </row>
    <row r="38" spans="1:11" s="110" customFormat="1" ht="45" customHeight="1">
      <c r="A38" s="17">
        <v>14</v>
      </c>
      <c r="B38" s="124"/>
      <c r="C38" s="124" t="s">
        <v>264</v>
      </c>
      <c r="D38" s="125" t="s">
        <v>337</v>
      </c>
      <c r="E38" s="17">
        <v>2020</v>
      </c>
      <c r="F38" s="18">
        <v>1000000</v>
      </c>
      <c r="G38" s="126" t="s">
        <v>215</v>
      </c>
      <c r="H38" s="18">
        <f>I38+J38</f>
        <v>1000000</v>
      </c>
      <c r="I38" s="18">
        <v>1000000</v>
      </c>
      <c r="J38" s="18">
        <v>0</v>
      </c>
      <c r="K38" s="125" t="s">
        <v>393</v>
      </c>
    </row>
    <row r="39" spans="1:11" s="110" customFormat="1" ht="27" customHeight="1">
      <c r="A39" s="17">
        <v>15</v>
      </c>
      <c r="B39" s="124"/>
      <c r="C39" s="124" t="s">
        <v>344</v>
      </c>
      <c r="D39" s="125" t="s">
        <v>345</v>
      </c>
      <c r="E39" s="17">
        <v>2020</v>
      </c>
      <c r="F39" s="18">
        <v>720000</v>
      </c>
      <c r="G39" s="126" t="s">
        <v>215</v>
      </c>
      <c r="H39" s="18">
        <f>I39+J39</f>
        <v>720000</v>
      </c>
      <c r="I39" s="18">
        <v>720000</v>
      </c>
      <c r="J39" s="18">
        <v>0</v>
      </c>
      <c r="K39" s="125" t="s">
        <v>346</v>
      </c>
    </row>
    <row r="40" spans="1:11" s="15" customFormat="1" ht="15.75" customHeight="1">
      <c r="A40" s="117"/>
      <c r="B40" s="159" t="s">
        <v>8</v>
      </c>
      <c r="C40" s="159"/>
      <c r="D40" s="161" t="s">
        <v>45</v>
      </c>
      <c r="E40" s="117" t="s">
        <v>215</v>
      </c>
      <c r="F40" s="120">
        <f>F41</f>
        <v>12500</v>
      </c>
      <c r="G40" s="156" t="str">
        <f>G41</f>
        <v>x</v>
      </c>
      <c r="H40" s="120">
        <f>H41</f>
        <v>12500</v>
      </c>
      <c r="I40" s="120">
        <f>I41</f>
        <v>12500</v>
      </c>
      <c r="J40" s="120">
        <f>J41</f>
        <v>0</v>
      </c>
      <c r="K40" s="117" t="s">
        <v>215</v>
      </c>
    </row>
    <row r="41" spans="1:11" s="110" customFormat="1" ht="31.5" customHeight="1">
      <c r="A41" s="17">
        <v>16</v>
      </c>
      <c r="B41" s="124"/>
      <c r="C41" s="124" t="s">
        <v>235</v>
      </c>
      <c r="D41" s="177" t="s">
        <v>392</v>
      </c>
      <c r="E41" s="17">
        <v>2020</v>
      </c>
      <c r="F41" s="18">
        <v>12500</v>
      </c>
      <c r="G41" s="126" t="s">
        <v>215</v>
      </c>
      <c r="H41" s="18">
        <f>I41+J41</f>
        <v>12500</v>
      </c>
      <c r="I41" s="18">
        <v>12500</v>
      </c>
      <c r="J41" s="18">
        <v>0</v>
      </c>
      <c r="K41" s="125" t="s">
        <v>236</v>
      </c>
    </row>
    <row r="42" spans="1:11" s="15" customFormat="1" ht="30" customHeight="1">
      <c r="A42" s="117"/>
      <c r="B42" s="159" t="s">
        <v>46</v>
      </c>
      <c r="C42" s="159"/>
      <c r="D42" s="160" t="s">
        <v>61</v>
      </c>
      <c r="E42" s="117" t="s">
        <v>215</v>
      </c>
      <c r="F42" s="120">
        <f>F43</f>
        <v>60000</v>
      </c>
      <c r="G42" s="156" t="s">
        <v>215</v>
      </c>
      <c r="H42" s="120">
        <f>H43</f>
        <v>60000</v>
      </c>
      <c r="I42" s="120">
        <f>I43</f>
        <v>60000</v>
      </c>
      <c r="J42" s="120">
        <f>J43</f>
        <v>0</v>
      </c>
      <c r="K42" s="117" t="s">
        <v>215</v>
      </c>
    </row>
    <row r="43" spans="1:11" s="110" customFormat="1" ht="31.5" customHeight="1">
      <c r="A43" s="17">
        <v>17</v>
      </c>
      <c r="B43" s="124"/>
      <c r="C43" s="124" t="s">
        <v>237</v>
      </c>
      <c r="D43" s="177" t="s">
        <v>362</v>
      </c>
      <c r="E43" s="17">
        <v>2020</v>
      </c>
      <c r="F43" s="18">
        <v>60000</v>
      </c>
      <c r="G43" s="126" t="s">
        <v>215</v>
      </c>
      <c r="H43" s="18">
        <f>I43+J43</f>
        <v>60000</v>
      </c>
      <c r="I43" s="18">
        <v>60000</v>
      </c>
      <c r="J43" s="18">
        <v>0</v>
      </c>
      <c r="K43" s="125" t="s">
        <v>238</v>
      </c>
    </row>
    <row r="44" spans="1:11" s="15" customFormat="1" ht="19.5" customHeight="1">
      <c r="A44" s="117"/>
      <c r="B44" s="159" t="s">
        <v>9</v>
      </c>
      <c r="C44" s="159"/>
      <c r="D44" s="161" t="s">
        <v>10</v>
      </c>
      <c r="E44" s="117" t="s">
        <v>215</v>
      </c>
      <c r="F44" s="120">
        <f>F45+F46</f>
        <v>125000</v>
      </c>
      <c r="G44" s="156" t="s">
        <v>215</v>
      </c>
      <c r="H44" s="120">
        <f>H45+H46</f>
        <v>125000</v>
      </c>
      <c r="I44" s="120">
        <f>I45+I46</f>
        <v>125000</v>
      </c>
      <c r="J44" s="120">
        <f>J45+J46</f>
        <v>0</v>
      </c>
      <c r="K44" s="117" t="s">
        <v>215</v>
      </c>
    </row>
    <row r="45" spans="1:11" s="110" customFormat="1" ht="57" customHeight="1">
      <c r="A45" s="17">
        <v>18</v>
      </c>
      <c r="B45" s="124"/>
      <c r="C45" s="124" t="s">
        <v>239</v>
      </c>
      <c r="D45" s="125" t="s">
        <v>233</v>
      </c>
      <c r="E45" s="17">
        <v>2020</v>
      </c>
      <c r="F45" s="18">
        <v>40000</v>
      </c>
      <c r="G45" s="126" t="s">
        <v>215</v>
      </c>
      <c r="H45" s="18">
        <f>I45+J45</f>
        <v>40000</v>
      </c>
      <c r="I45" s="18">
        <v>40000</v>
      </c>
      <c r="J45" s="18">
        <v>0</v>
      </c>
      <c r="K45" s="127" t="s">
        <v>363</v>
      </c>
    </row>
    <row r="46" spans="1:11" s="110" customFormat="1" ht="58.5" customHeight="1">
      <c r="A46" s="17">
        <v>19</v>
      </c>
      <c r="B46" s="124"/>
      <c r="C46" s="124" t="s">
        <v>239</v>
      </c>
      <c r="D46" s="125" t="s">
        <v>365</v>
      </c>
      <c r="E46" s="17">
        <v>2020</v>
      </c>
      <c r="F46" s="18">
        <v>85000</v>
      </c>
      <c r="G46" s="126" t="s">
        <v>215</v>
      </c>
      <c r="H46" s="18">
        <f>I46+J46</f>
        <v>85000</v>
      </c>
      <c r="I46" s="18">
        <v>85000</v>
      </c>
      <c r="J46" s="18">
        <v>0</v>
      </c>
      <c r="K46" s="127" t="s">
        <v>364</v>
      </c>
    </row>
    <row r="47" spans="1:11" s="15" customFormat="1" ht="33" customHeight="1">
      <c r="A47" s="117"/>
      <c r="B47" s="159" t="s">
        <v>49</v>
      </c>
      <c r="C47" s="159"/>
      <c r="D47" s="160" t="s">
        <v>50</v>
      </c>
      <c r="E47" s="117" t="s">
        <v>215</v>
      </c>
      <c r="F47" s="120">
        <f>F48+F49+F50+F51+F52+F53+F54+F55+F56+F57</f>
        <v>2856516</v>
      </c>
      <c r="G47" s="156" t="s">
        <v>215</v>
      </c>
      <c r="H47" s="120">
        <f>H48+H49+H50+H51+H52+H53+H54+H55+H56+H57</f>
        <v>2856516</v>
      </c>
      <c r="I47" s="120">
        <f>I48+I49+I50+I51+I52+I53+I54+I55+I56+I57</f>
        <v>2856516</v>
      </c>
      <c r="J47" s="120">
        <f>J48+J49+J50+J51+J52+J53+J54+J55+J56+J57</f>
        <v>0</v>
      </c>
      <c r="K47" s="117" t="s">
        <v>215</v>
      </c>
    </row>
    <row r="48" spans="1:11" s="110" customFormat="1" ht="29.25" customHeight="1">
      <c r="A48" s="17">
        <v>20</v>
      </c>
      <c r="B48" s="124"/>
      <c r="C48" s="124" t="s">
        <v>240</v>
      </c>
      <c r="D48" s="125" t="s">
        <v>374</v>
      </c>
      <c r="E48" s="17">
        <v>2020</v>
      </c>
      <c r="F48" s="18">
        <v>600000</v>
      </c>
      <c r="G48" s="126" t="s">
        <v>215</v>
      </c>
      <c r="H48" s="18">
        <f aca="true" t="shared" si="1" ref="H48:H57">I48+J48</f>
        <v>600000</v>
      </c>
      <c r="I48" s="18">
        <v>600000</v>
      </c>
      <c r="J48" s="18">
        <v>0</v>
      </c>
      <c r="K48" s="125" t="s">
        <v>241</v>
      </c>
    </row>
    <row r="49" spans="1:11" s="110" customFormat="1" ht="42" customHeight="1">
      <c r="A49" s="17">
        <v>21</v>
      </c>
      <c r="B49" s="124"/>
      <c r="C49" s="124" t="s">
        <v>240</v>
      </c>
      <c r="D49" s="125" t="s">
        <v>367</v>
      </c>
      <c r="E49" s="17">
        <v>2020</v>
      </c>
      <c r="F49" s="18">
        <v>890516</v>
      </c>
      <c r="G49" s="126" t="s">
        <v>215</v>
      </c>
      <c r="H49" s="18">
        <f t="shared" si="1"/>
        <v>890516</v>
      </c>
      <c r="I49" s="18">
        <v>890516</v>
      </c>
      <c r="J49" s="18">
        <v>0</v>
      </c>
      <c r="K49" s="125" t="s">
        <v>241</v>
      </c>
    </row>
    <row r="50" spans="1:11" s="110" customFormat="1" ht="42.75" customHeight="1">
      <c r="A50" s="17">
        <v>22</v>
      </c>
      <c r="B50" s="124"/>
      <c r="C50" s="124" t="s">
        <v>240</v>
      </c>
      <c r="D50" s="125" t="s">
        <v>366</v>
      </c>
      <c r="E50" s="17">
        <v>2020</v>
      </c>
      <c r="F50" s="18">
        <v>111000</v>
      </c>
      <c r="G50" s="126" t="s">
        <v>215</v>
      </c>
      <c r="H50" s="18">
        <f t="shared" si="1"/>
        <v>111000</v>
      </c>
      <c r="I50" s="18">
        <v>111000</v>
      </c>
      <c r="J50" s="18">
        <v>0</v>
      </c>
      <c r="K50" s="125" t="s">
        <v>270</v>
      </c>
    </row>
    <row r="51" spans="1:11" s="110" customFormat="1" ht="18" customHeight="1">
      <c r="A51" s="17">
        <v>23</v>
      </c>
      <c r="B51" s="124"/>
      <c r="C51" s="124" t="s">
        <v>242</v>
      </c>
      <c r="D51" s="125" t="s">
        <v>233</v>
      </c>
      <c r="E51" s="17">
        <v>2020</v>
      </c>
      <c r="F51" s="18">
        <v>100000</v>
      </c>
      <c r="G51" s="126" t="s">
        <v>215</v>
      </c>
      <c r="H51" s="18">
        <f t="shared" si="1"/>
        <v>100000</v>
      </c>
      <c r="I51" s="18">
        <v>100000</v>
      </c>
      <c r="J51" s="18">
        <v>0</v>
      </c>
      <c r="K51" s="125" t="s">
        <v>243</v>
      </c>
    </row>
    <row r="52" spans="1:11" s="110" customFormat="1" ht="42" customHeight="1">
      <c r="A52" s="17">
        <v>24</v>
      </c>
      <c r="B52" s="124"/>
      <c r="C52" s="124" t="s">
        <v>329</v>
      </c>
      <c r="D52" s="125" t="s">
        <v>368</v>
      </c>
      <c r="E52" s="17">
        <v>2020</v>
      </c>
      <c r="F52" s="18">
        <v>45000</v>
      </c>
      <c r="G52" s="126" t="s">
        <v>215</v>
      </c>
      <c r="H52" s="18">
        <f t="shared" si="1"/>
        <v>45000</v>
      </c>
      <c r="I52" s="18">
        <v>45000</v>
      </c>
      <c r="J52" s="18">
        <v>0</v>
      </c>
      <c r="K52" s="125" t="s">
        <v>369</v>
      </c>
    </row>
    <row r="53" spans="1:11" s="110" customFormat="1" ht="31.5" customHeight="1">
      <c r="A53" s="17">
        <v>25</v>
      </c>
      <c r="B53" s="124"/>
      <c r="C53" s="124" t="s">
        <v>283</v>
      </c>
      <c r="D53" s="125" t="s">
        <v>375</v>
      </c>
      <c r="E53" s="17">
        <v>2020</v>
      </c>
      <c r="F53" s="18">
        <v>80000</v>
      </c>
      <c r="G53" s="126" t="s">
        <v>215</v>
      </c>
      <c r="H53" s="18">
        <f t="shared" si="1"/>
        <v>80000</v>
      </c>
      <c r="I53" s="18">
        <v>80000</v>
      </c>
      <c r="J53" s="18">
        <v>0</v>
      </c>
      <c r="K53" s="125" t="s">
        <v>282</v>
      </c>
    </row>
    <row r="54" spans="1:11" s="110" customFormat="1" ht="33.75" customHeight="1">
      <c r="A54" s="17">
        <v>26</v>
      </c>
      <c r="B54" s="124"/>
      <c r="C54" s="124" t="s">
        <v>283</v>
      </c>
      <c r="D54" s="125" t="s">
        <v>370</v>
      </c>
      <c r="E54" s="17">
        <v>2020</v>
      </c>
      <c r="F54" s="18">
        <v>100000</v>
      </c>
      <c r="G54" s="126" t="s">
        <v>215</v>
      </c>
      <c r="H54" s="18">
        <f t="shared" si="1"/>
        <v>100000</v>
      </c>
      <c r="I54" s="18">
        <v>100000</v>
      </c>
      <c r="J54" s="18">
        <v>0</v>
      </c>
      <c r="K54" s="125" t="s">
        <v>347</v>
      </c>
    </row>
    <row r="55" spans="1:11" s="110" customFormat="1" ht="42.75" customHeight="1">
      <c r="A55" s="17">
        <v>27</v>
      </c>
      <c r="B55" s="124"/>
      <c r="C55" s="124" t="s">
        <v>283</v>
      </c>
      <c r="D55" s="125" t="s">
        <v>371</v>
      </c>
      <c r="E55" s="17">
        <v>2020</v>
      </c>
      <c r="F55" s="18">
        <v>80000</v>
      </c>
      <c r="G55" s="126" t="s">
        <v>215</v>
      </c>
      <c r="H55" s="18">
        <f t="shared" si="1"/>
        <v>80000</v>
      </c>
      <c r="I55" s="18">
        <v>80000</v>
      </c>
      <c r="J55" s="18">
        <v>0</v>
      </c>
      <c r="K55" s="125" t="s">
        <v>282</v>
      </c>
    </row>
    <row r="56" spans="1:11" s="110" customFormat="1" ht="33" customHeight="1">
      <c r="A56" s="17">
        <v>28</v>
      </c>
      <c r="B56" s="124"/>
      <c r="C56" s="124" t="s">
        <v>244</v>
      </c>
      <c r="D56" s="125" t="s">
        <v>372</v>
      </c>
      <c r="E56" s="17">
        <v>2020</v>
      </c>
      <c r="F56" s="18">
        <v>350000</v>
      </c>
      <c r="G56" s="126" t="s">
        <v>215</v>
      </c>
      <c r="H56" s="18">
        <f t="shared" si="1"/>
        <v>350000</v>
      </c>
      <c r="I56" s="18">
        <v>350000</v>
      </c>
      <c r="J56" s="18">
        <v>0</v>
      </c>
      <c r="K56" s="125" t="s">
        <v>284</v>
      </c>
    </row>
    <row r="57" spans="1:11" s="110" customFormat="1" ht="30" customHeight="1">
      <c r="A57" s="17">
        <v>29</v>
      </c>
      <c r="B57" s="124"/>
      <c r="C57" s="124" t="s">
        <v>244</v>
      </c>
      <c r="D57" s="125" t="s">
        <v>373</v>
      </c>
      <c r="E57" s="17">
        <v>2020</v>
      </c>
      <c r="F57" s="18">
        <v>500000</v>
      </c>
      <c r="G57" s="126" t="s">
        <v>215</v>
      </c>
      <c r="H57" s="18">
        <f t="shared" si="1"/>
        <v>500000</v>
      </c>
      <c r="I57" s="18">
        <v>500000</v>
      </c>
      <c r="J57" s="18">
        <v>0</v>
      </c>
      <c r="K57" s="125" t="s">
        <v>338</v>
      </c>
    </row>
    <row r="58" spans="1:11" s="15" customFormat="1" ht="42.75" customHeight="1">
      <c r="A58" s="117"/>
      <c r="B58" s="159" t="s">
        <v>376</v>
      </c>
      <c r="C58" s="159"/>
      <c r="D58" s="160" t="s">
        <v>51</v>
      </c>
      <c r="E58" s="117" t="s">
        <v>215</v>
      </c>
      <c r="F58" s="120">
        <f>F59</f>
        <v>48060</v>
      </c>
      <c r="G58" s="156" t="s">
        <v>215</v>
      </c>
      <c r="H58" s="120">
        <f>H59</f>
        <v>48060</v>
      </c>
      <c r="I58" s="120">
        <f>I59</f>
        <v>48060</v>
      </c>
      <c r="J58" s="120">
        <f>J59</f>
        <v>0</v>
      </c>
      <c r="K58" s="117" t="s">
        <v>215</v>
      </c>
    </row>
    <row r="59" spans="1:11" s="110" customFormat="1" ht="31.5" customHeight="1">
      <c r="A59" s="17">
        <v>30</v>
      </c>
      <c r="B59" s="124"/>
      <c r="C59" s="124" t="s">
        <v>377</v>
      </c>
      <c r="D59" s="125" t="s">
        <v>378</v>
      </c>
      <c r="E59" s="17">
        <v>2020</v>
      </c>
      <c r="F59" s="18">
        <v>48060</v>
      </c>
      <c r="G59" s="126" t="s">
        <v>215</v>
      </c>
      <c r="H59" s="18">
        <f>I59+J59</f>
        <v>48060</v>
      </c>
      <c r="I59" s="18">
        <v>48060</v>
      </c>
      <c r="J59" s="18">
        <v>0</v>
      </c>
      <c r="K59" s="125" t="s">
        <v>379</v>
      </c>
    </row>
    <row r="60" spans="1:11" s="15" customFormat="1" ht="17.25" customHeight="1">
      <c r="A60" s="117"/>
      <c r="B60" s="159" t="s">
        <v>211</v>
      </c>
      <c r="C60" s="159"/>
      <c r="D60" s="160" t="s">
        <v>212</v>
      </c>
      <c r="E60" s="117" t="s">
        <v>215</v>
      </c>
      <c r="F60" s="120">
        <f>F61</f>
        <v>2000000</v>
      </c>
      <c r="G60" s="156" t="str">
        <f>G61</f>
        <v>x</v>
      </c>
      <c r="H60" s="120">
        <f>H61</f>
        <v>2000000</v>
      </c>
      <c r="I60" s="120">
        <f>I61</f>
        <v>2000000</v>
      </c>
      <c r="J60" s="120">
        <f>J61</f>
        <v>0</v>
      </c>
      <c r="K60" s="117" t="s">
        <v>215</v>
      </c>
    </row>
    <row r="61" spans="1:11" s="110" customFormat="1" ht="31.5" customHeight="1">
      <c r="A61" s="17">
        <v>31</v>
      </c>
      <c r="B61" s="124"/>
      <c r="C61" s="124" t="s">
        <v>246</v>
      </c>
      <c r="D61" s="125" t="s">
        <v>247</v>
      </c>
      <c r="E61" s="17">
        <v>2020</v>
      </c>
      <c r="F61" s="18">
        <v>2000000</v>
      </c>
      <c r="G61" s="126" t="s">
        <v>215</v>
      </c>
      <c r="H61" s="18">
        <f>I61+J61</f>
        <v>2000000</v>
      </c>
      <c r="I61" s="18">
        <v>2000000</v>
      </c>
      <c r="J61" s="18">
        <v>0</v>
      </c>
      <c r="K61" s="125" t="s">
        <v>228</v>
      </c>
    </row>
    <row r="62" spans="1:11" s="110" customFormat="1" ht="7.5" customHeight="1">
      <c r="A62" s="17"/>
      <c r="B62" s="124"/>
      <c r="C62" s="124"/>
      <c r="D62" s="125"/>
      <c r="E62" s="17"/>
      <c r="F62" s="18"/>
      <c r="G62" s="126"/>
      <c r="H62" s="18"/>
      <c r="I62" s="18"/>
      <c r="J62" s="18"/>
      <c r="K62" s="127"/>
    </row>
    <row r="63" spans="1:11" s="15" customFormat="1" ht="15.75">
      <c r="A63" s="962" t="s">
        <v>248</v>
      </c>
      <c r="B63" s="962"/>
      <c r="C63" s="962"/>
      <c r="D63" s="962"/>
      <c r="E63" s="115" t="s">
        <v>215</v>
      </c>
      <c r="F63" s="119">
        <f>F18+F20+F27+F29+F32+F34+F36+F40+F42+F44+F47+F58+F60</f>
        <v>38936076</v>
      </c>
      <c r="G63" s="163" t="s">
        <v>215</v>
      </c>
      <c r="H63" s="119">
        <f>H18+H20+H27+H29+H32+H34+H36+H40+H42+H44+H47+H58+H60</f>
        <v>38936076</v>
      </c>
      <c r="I63" s="119">
        <f>I18+I20+I27+I29+I32+I34+I36+I40+I42+I44+I47+I58+I60</f>
        <v>38936076</v>
      </c>
      <c r="J63" s="119">
        <f>J18+J20+J27+J29+J32+J34+J36+J40+J42+J44+J47+J58+J60</f>
        <v>0</v>
      </c>
      <c r="K63" s="155" t="s">
        <v>215</v>
      </c>
    </row>
    <row r="64" spans="1:11" s="110" customFormat="1" ht="6" customHeight="1">
      <c r="A64" s="966"/>
      <c r="B64" s="966"/>
      <c r="C64" s="966"/>
      <c r="D64" s="966"/>
      <c r="E64" s="966"/>
      <c r="F64" s="966"/>
      <c r="G64" s="966"/>
      <c r="H64" s="966"/>
      <c r="I64" s="966"/>
      <c r="J64" s="966"/>
      <c r="K64" s="966"/>
    </row>
    <row r="65" spans="1:11" s="14" customFormat="1" ht="15.75">
      <c r="A65" s="115" t="s">
        <v>249</v>
      </c>
      <c r="B65" s="965" t="s">
        <v>250</v>
      </c>
      <c r="C65" s="965"/>
      <c r="D65" s="965"/>
      <c r="E65" s="965"/>
      <c r="F65" s="965"/>
      <c r="G65" s="965"/>
      <c r="H65" s="965"/>
      <c r="I65" s="965"/>
      <c r="J65" s="965"/>
      <c r="K65" s="965"/>
    </row>
    <row r="66" spans="1:11" s="110" customFormat="1" ht="12.75">
      <c r="A66" s="17"/>
      <c r="B66" s="124"/>
      <c r="C66" s="124"/>
      <c r="D66" s="125"/>
      <c r="E66" s="17"/>
      <c r="F66" s="18"/>
      <c r="G66" s="126"/>
      <c r="H66" s="18"/>
      <c r="I66" s="18"/>
      <c r="J66" s="18"/>
      <c r="K66" s="127"/>
    </row>
    <row r="67" spans="1:11" s="15" customFormat="1" ht="17.25" customHeight="1">
      <c r="A67" s="117"/>
      <c r="B67" s="159" t="s">
        <v>27</v>
      </c>
      <c r="C67" s="159"/>
      <c r="D67" s="161" t="s">
        <v>28</v>
      </c>
      <c r="E67" s="117" t="s">
        <v>215</v>
      </c>
      <c r="F67" s="120">
        <f>F68+F69+F70+F71+F72+F73+F74+F75+F76</f>
        <v>142068727</v>
      </c>
      <c r="G67" s="120">
        <f>G68+G69+G70+G71+G72+G73+G74+G75+G76</f>
        <v>99674284</v>
      </c>
      <c r="H67" s="120">
        <f>H68+H69+H70+H71+H72+H73+H74+H75+H76</f>
        <v>33694443</v>
      </c>
      <c r="I67" s="120">
        <f>I68+I69+I70+I71+I72+I73+I74+I75+I76</f>
        <v>33544443</v>
      </c>
      <c r="J67" s="120">
        <f>J68+J69+J70+J71+J72+J73+J74+J75+J76</f>
        <v>150000</v>
      </c>
      <c r="K67" s="117" t="s">
        <v>215</v>
      </c>
    </row>
    <row r="68" spans="1:11" s="110" customFormat="1" ht="57.75" customHeight="1">
      <c r="A68" s="17">
        <v>1</v>
      </c>
      <c r="B68" s="124"/>
      <c r="C68" s="124" t="s">
        <v>137</v>
      </c>
      <c r="D68" s="125" t="s">
        <v>251</v>
      </c>
      <c r="E68" s="17" t="s">
        <v>253</v>
      </c>
      <c r="F68" s="18">
        <v>448339</v>
      </c>
      <c r="G68" s="19">
        <f>30000+218339</f>
        <v>248339</v>
      </c>
      <c r="H68" s="18">
        <f aca="true" t="shared" si="2" ref="H68:H76">I68+J68</f>
        <v>200000</v>
      </c>
      <c r="I68" s="18">
        <v>200000</v>
      </c>
      <c r="J68" s="18">
        <v>0</v>
      </c>
      <c r="K68" s="125" t="s">
        <v>228</v>
      </c>
    </row>
    <row r="69" spans="1:11" s="110" customFormat="1" ht="43.5" customHeight="1">
      <c r="A69" s="17">
        <v>2</v>
      </c>
      <c r="B69" s="124"/>
      <c r="C69" s="124" t="s">
        <v>139</v>
      </c>
      <c r="D69" s="125" t="s">
        <v>252</v>
      </c>
      <c r="E69" s="17" t="s">
        <v>253</v>
      </c>
      <c r="F69" s="18">
        <v>67790003</v>
      </c>
      <c r="G69" s="19">
        <f>5326038+28884887+24527479</f>
        <v>58738404</v>
      </c>
      <c r="H69" s="18">
        <f t="shared" si="2"/>
        <v>9051599</v>
      </c>
      <c r="I69" s="18">
        <v>9051599</v>
      </c>
      <c r="J69" s="18">
        <v>0</v>
      </c>
      <c r="K69" s="125" t="s">
        <v>254</v>
      </c>
    </row>
    <row r="70" spans="1:11" s="110" customFormat="1" ht="36" customHeight="1">
      <c r="A70" s="17">
        <v>3</v>
      </c>
      <c r="B70" s="124"/>
      <c r="C70" s="124" t="s">
        <v>139</v>
      </c>
      <c r="D70" s="125" t="s">
        <v>255</v>
      </c>
      <c r="E70" s="17" t="s">
        <v>256</v>
      </c>
      <c r="F70" s="18">
        <v>48172732</v>
      </c>
      <c r="G70" s="19">
        <f>774385+33315503</f>
        <v>34089888</v>
      </c>
      <c r="H70" s="18">
        <f t="shared" si="2"/>
        <v>14082844</v>
      </c>
      <c r="I70" s="18">
        <v>14082844</v>
      </c>
      <c r="J70" s="18"/>
      <c r="K70" s="125" t="s">
        <v>254</v>
      </c>
    </row>
    <row r="71" spans="1:11" s="110" customFormat="1" ht="42" customHeight="1">
      <c r="A71" s="17">
        <v>4</v>
      </c>
      <c r="B71" s="124"/>
      <c r="C71" s="124" t="s">
        <v>139</v>
      </c>
      <c r="D71" s="125" t="s">
        <v>330</v>
      </c>
      <c r="E71" s="17" t="s">
        <v>331</v>
      </c>
      <c r="F71" s="18">
        <v>3400000</v>
      </c>
      <c r="G71" s="19">
        <v>90000</v>
      </c>
      <c r="H71" s="18">
        <f t="shared" si="2"/>
        <v>3310000</v>
      </c>
      <c r="I71" s="18">
        <v>3310000</v>
      </c>
      <c r="J71" s="18">
        <v>0</v>
      </c>
      <c r="K71" s="125" t="s">
        <v>254</v>
      </c>
    </row>
    <row r="72" spans="1:11" s="110" customFormat="1" ht="31.5" customHeight="1">
      <c r="A72" s="17">
        <v>5</v>
      </c>
      <c r="B72" s="124"/>
      <c r="C72" s="124" t="s">
        <v>139</v>
      </c>
      <c r="D72" s="125" t="s">
        <v>380</v>
      </c>
      <c r="E72" s="17" t="s">
        <v>340</v>
      </c>
      <c r="F72" s="18">
        <v>500000</v>
      </c>
      <c r="G72" s="19">
        <v>0</v>
      </c>
      <c r="H72" s="18">
        <f t="shared" si="2"/>
        <v>200000</v>
      </c>
      <c r="I72" s="18">
        <v>200000</v>
      </c>
      <c r="J72" s="18">
        <v>0</v>
      </c>
      <c r="K72" s="125" t="s">
        <v>254</v>
      </c>
    </row>
    <row r="73" spans="1:11" s="110" customFormat="1" ht="72" customHeight="1">
      <c r="A73" s="17">
        <v>6</v>
      </c>
      <c r="B73" s="124"/>
      <c r="C73" s="124" t="s">
        <v>139</v>
      </c>
      <c r="D73" s="125" t="s">
        <v>381</v>
      </c>
      <c r="E73" s="17" t="s">
        <v>331</v>
      </c>
      <c r="F73" s="18">
        <v>150000</v>
      </c>
      <c r="G73" s="19">
        <v>0</v>
      </c>
      <c r="H73" s="18">
        <f>I73+J73</f>
        <v>150000</v>
      </c>
      <c r="I73" s="18">
        <v>0</v>
      </c>
      <c r="J73" s="18">
        <v>150000</v>
      </c>
      <c r="K73" s="125" t="s">
        <v>254</v>
      </c>
    </row>
    <row r="74" spans="1:11" s="110" customFormat="1" ht="87" customHeight="1">
      <c r="A74" s="17">
        <v>7</v>
      </c>
      <c r="B74" s="124"/>
      <c r="C74" s="124" t="s">
        <v>140</v>
      </c>
      <c r="D74" s="125" t="s">
        <v>257</v>
      </c>
      <c r="E74" s="17" t="s">
        <v>258</v>
      </c>
      <c r="F74" s="18">
        <v>19707653</v>
      </c>
      <c r="G74" s="19">
        <f>907653+5600000</f>
        <v>6507653</v>
      </c>
      <c r="H74" s="18">
        <f t="shared" si="2"/>
        <v>4800000</v>
      </c>
      <c r="I74" s="18">
        <v>4800000</v>
      </c>
      <c r="J74" s="18">
        <v>0</v>
      </c>
      <c r="K74" s="125" t="s">
        <v>228</v>
      </c>
    </row>
    <row r="75" spans="1:11" s="110" customFormat="1" ht="59.25" customHeight="1">
      <c r="A75" s="17">
        <v>8</v>
      </c>
      <c r="B75" s="124"/>
      <c r="C75" s="124" t="s">
        <v>140</v>
      </c>
      <c r="D75" s="125" t="s">
        <v>413</v>
      </c>
      <c r="E75" s="17" t="s">
        <v>331</v>
      </c>
      <c r="F75" s="18">
        <v>1750000</v>
      </c>
      <c r="G75" s="19">
        <v>0</v>
      </c>
      <c r="H75" s="18">
        <f>I75+J75</f>
        <v>1750000</v>
      </c>
      <c r="I75" s="18">
        <v>1750000</v>
      </c>
      <c r="J75" s="18">
        <v>0</v>
      </c>
      <c r="K75" s="125" t="s">
        <v>228</v>
      </c>
    </row>
    <row r="76" spans="1:11" s="110" customFormat="1" ht="72.75" customHeight="1">
      <c r="A76" s="17">
        <v>9</v>
      </c>
      <c r="B76" s="124"/>
      <c r="C76" s="124" t="s">
        <v>142</v>
      </c>
      <c r="D76" s="125" t="s">
        <v>332</v>
      </c>
      <c r="E76" s="17" t="s">
        <v>256</v>
      </c>
      <c r="F76" s="18">
        <v>150000</v>
      </c>
      <c r="G76" s="19">
        <v>0</v>
      </c>
      <c r="H76" s="18">
        <f t="shared" si="2"/>
        <v>150000</v>
      </c>
      <c r="I76" s="18">
        <v>150000</v>
      </c>
      <c r="J76" s="18">
        <v>0</v>
      </c>
      <c r="K76" s="125" t="s">
        <v>228</v>
      </c>
    </row>
    <row r="77" spans="1:11" s="15" customFormat="1" ht="18.75" customHeight="1">
      <c r="A77" s="117"/>
      <c r="B77" s="159" t="s">
        <v>29</v>
      </c>
      <c r="C77" s="159"/>
      <c r="D77" s="161" t="s">
        <v>30</v>
      </c>
      <c r="E77" s="117" t="s">
        <v>215</v>
      </c>
      <c r="F77" s="120">
        <f>F78+F79</f>
        <v>4169600</v>
      </c>
      <c r="G77" s="120">
        <f>G78+G79</f>
        <v>2951700</v>
      </c>
      <c r="H77" s="120">
        <f>H78+H79</f>
        <v>972640</v>
      </c>
      <c r="I77" s="120">
        <f>I78+I79</f>
        <v>972640</v>
      </c>
      <c r="J77" s="120">
        <f>J78+J79</f>
        <v>0</v>
      </c>
      <c r="K77" s="117" t="s">
        <v>215</v>
      </c>
    </row>
    <row r="78" spans="1:11" s="110" customFormat="1" ht="45" customHeight="1">
      <c r="A78" s="17">
        <v>10</v>
      </c>
      <c r="B78" s="124"/>
      <c r="C78" s="124" t="s">
        <v>147</v>
      </c>
      <c r="D78" s="125" t="s">
        <v>259</v>
      </c>
      <c r="E78" s="17" t="s">
        <v>260</v>
      </c>
      <c r="F78" s="18">
        <v>339600</v>
      </c>
      <c r="G78" s="19">
        <f>3780+22640+22640+22640</f>
        <v>71700</v>
      </c>
      <c r="H78" s="18">
        <f>I78+J78</f>
        <v>22640</v>
      </c>
      <c r="I78" s="18">
        <v>22640</v>
      </c>
      <c r="J78" s="18">
        <v>0</v>
      </c>
      <c r="K78" s="125" t="s">
        <v>228</v>
      </c>
    </row>
    <row r="79" spans="1:11" s="110" customFormat="1" ht="30.75" customHeight="1">
      <c r="A79" s="17">
        <v>11</v>
      </c>
      <c r="B79" s="124"/>
      <c r="C79" s="124" t="s">
        <v>147</v>
      </c>
      <c r="D79" s="125" t="s">
        <v>261</v>
      </c>
      <c r="E79" s="17" t="s">
        <v>256</v>
      </c>
      <c r="F79" s="18">
        <v>3830000</v>
      </c>
      <c r="G79" s="19">
        <v>2880000</v>
      </c>
      <c r="H79" s="18">
        <f>I79+J79</f>
        <v>950000</v>
      </c>
      <c r="I79" s="18">
        <v>950000</v>
      </c>
      <c r="J79" s="18">
        <v>0</v>
      </c>
      <c r="K79" s="125" t="s">
        <v>228</v>
      </c>
    </row>
    <row r="80" spans="1:11" s="15" customFormat="1" ht="15.75" customHeight="1">
      <c r="A80" s="117"/>
      <c r="B80" s="159" t="s">
        <v>33</v>
      </c>
      <c r="C80" s="159"/>
      <c r="D80" s="161" t="s">
        <v>34</v>
      </c>
      <c r="E80" s="117" t="s">
        <v>215</v>
      </c>
      <c r="F80" s="118">
        <f>F81</f>
        <v>914225</v>
      </c>
      <c r="G80" s="118">
        <f>G81</f>
        <v>132653</v>
      </c>
      <c r="H80" s="118">
        <f>H81</f>
        <v>781572</v>
      </c>
      <c r="I80" s="118">
        <f>I81</f>
        <v>781572</v>
      </c>
      <c r="J80" s="118">
        <f>J81</f>
        <v>0</v>
      </c>
      <c r="K80" s="162" t="s">
        <v>215</v>
      </c>
    </row>
    <row r="81" spans="1:11" s="110" customFormat="1" ht="33" customHeight="1">
      <c r="A81" s="17">
        <v>12</v>
      </c>
      <c r="B81" s="124"/>
      <c r="C81" s="124" t="s">
        <v>153</v>
      </c>
      <c r="D81" s="125" t="s">
        <v>262</v>
      </c>
      <c r="E81" s="17" t="s">
        <v>256</v>
      </c>
      <c r="F81" s="18">
        <v>914225</v>
      </c>
      <c r="G81" s="19">
        <f>17553+115100</f>
        <v>132653</v>
      </c>
      <c r="H81" s="18">
        <f>I81+J81</f>
        <v>781572</v>
      </c>
      <c r="I81" s="18">
        <v>781572</v>
      </c>
      <c r="J81" s="18">
        <v>0</v>
      </c>
      <c r="K81" s="125" t="s">
        <v>228</v>
      </c>
    </row>
    <row r="82" spans="1:11" s="15" customFormat="1" ht="17.25" customHeight="1">
      <c r="A82" s="117"/>
      <c r="B82" s="159" t="s">
        <v>326</v>
      </c>
      <c r="C82" s="159"/>
      <c r="D82" s="161" t="s">
        <v>327</v>
      </c>
      <c r="E82" s="117" t="s">
        <v>215</v>
      </c>
      <c r="F82" s="120">
        <f>F83</f>
        <v>9106050</v>
      </c>
      <c r="G82" s="120">
        <f>G83</f>
        <v>245770</v>
      </c>
      <c r="H82" s="120">
        <f>H83</f>
        <v>3541050</v>
      </c>
      <c r="I82" s="120">
        <f>I83</f>
        <v>3541050</v>
      </c>
      <c r="J82" s="120">
        <f>J83</f>
        <v>0</v>
      </c>
      <c r="K82" s="117" t="s">
        <v>215</v>
      </c>
    </row>
    <row r="83" spans="1:11" s="110" customFormat="1" ht="32.25" customHeight="1">
      <c r="A83" s="17">
        <v>13</v>
      </c>
      <c r="B83" s="124"/>
      <c r="C83" s="124" t="s">
        <v>328</v>
      </c>
      <c r="D83" s="125" t="s">
        <v>355</v>
      </c>
      <c r="E83" s="17" t="s">
        <v>348</v>
      </c>
      <c r="F83" s="18">
        <v>9106050</v>
      </c>
      <c r="G83" s="19">
        <f>15000+230770</f>
        <v>245770</v>
      </c>
      <c r="H83" s="18">
        <f>I83+J83</f>
        <v>3541050</v>
      </c>
      <c r="I83" s="18">
        <v>3541050</v>
      </c>
      <c r="J83" s="18">
        <v>0</v>
      </c>
      <c r="K83" s="125" t="s">
        <v>228</v>
      </c>
    </row>
    <row r="84" spans="1:11" s="15" customFormat="1" ht="18.75" customHeight="1">
      <c r="A84" s="117"/>
      <c r="B84" s="159" t="s">
        <v>35</v>
      </c>
      <c r="C84" s="159"/>
      <c r="D84" s="161" t="s">
        <v>36</v>
      </c>
      <c r="E84" s="117" t="s">
        <v>215</v>
      </c>
      <c r="F84" s="120">
        <f>F85</f>
        <v>3049045</v>
      </c>
      <c r="G84" s="120">
        <f>G85</f>
        <v>2849045</v>
      </c>
      <c r="H84" s="120">
        <f>H85</f>
        <v>200000</v>
      </c>
      <c r="I84" s="120">
        <f>I85</f>
        <v>200000</v>
      </c>
      <c r="J84" s="120">
        <f>J85</f>
        <v>0</v>
      </c>
      <c r="K84" s="117" t="s">
        <v>215</v>
      </c>
    </row>
    <row r="85" spans="1:11" s="110" customFormat="1" ht="18" customHeight="1">
      <c r="A85" s="17">
        <v>14</v>
      </c>
      <c r="B85" s="124"/>
      <c r="C85" s="124" t="s">
        <v>156</v>
      </c>
      <c r="D85" s="125" t="s">
        <v>263</v>
      </c>
      <c r="E85" s="17" t="s">
        <v>382</v>
      </c>
      <c r="F85" s="18">
        <v>3049045</v>
      </c>
      <c r="G85" s="19">
        <f>849330+476748+406397+4428+29624+1082518</f>
        <v>2849045</v>
      </c>
      <c r="H85" s="18">
        <f>I85+J85</f>
        <v>200000</v>
      </c>
      <c r="I85" s="18">
        <v>200000</v>
      </c>
      <c r="J85" s="18">
        <v>0</v>
      </c>
      <c r="K85" s="125" t="s">
        <v>228</v>
      </c>
    </row>
    <row r="86" spans="1:11" s="15" customFormat="1" ht="18" customHeight="1">
      <c r="A86" s="117"/>
      <c r="B86" s="159" t="s">
        <v>41</v>
      </c>
      <c r="C86" s="159"/>
      <c r="D86" s="161" t="s">
        <v>42</v>
      </c>
      <c r="E86" s="117" t="s">
        <v>215</v>
      </c>
      <c r="F86" s="120">
        <f>F87</f>
        <v>7500000</v>
      </c>
      <c r="G86" s="120">
        <f>G87</f>
        <v>0</v>
      </c>
      <c r="H86" s="120">
        <f>H87</f>
        <v>750000</v>
      </c>
      <c r="I86" s="120">
        <f>I87</f>
        <v>750000</v>
      </c>
      <c r="J86" s="120">
        <f>J87</f>
        <v>0</v>
      </c>
      <c r="K86" s="117" t="s">
        <v>215</v>
      </c>
    </row>
    <row r="87" spans="1:11" s="110" customFormat="1" ht="17.25" customHeight="1">
      <c r="A87" s="17">
        <v>15</v>
      </c>
      <c r="B87" s="124"/>
      <c r="C87" s="124" t="s">
        <v>183</v>
      </c>
      <c r="D87" s="125" t="s">
        <v>394</v>
      </c>
      <c r="E87" s="17" t="s">
        <v>383</v>
      </c>
      <c r="F87" s="18">
        <v>7500000</v>
      </c>
      <c r="G87" s="19">
        <v>0</v>
      </c>
      <c r="H87" s="18">
        <f>I87+J87</f>
        <v>750000</v>
      </c>
      <c r="I87" s="18">
        <v>750000</v>
      </c>
      <c r="J87" s="18">
        <v>0</v>
      </c>
      <c r="K87" s="125" t="s">
        <v>228</v>
      </c>
    </row>
    <row r="88" spans="1:11" s="15" customFormat="1" ht="18" customHeight="1">
      <c r="A88" s="117"/>
      <c r="B88" s="159" t="s">
        <v>43</v>
      </c>
      <c r="C88" s="159"/>
      <c r="D88" s="160" t="s">
        <v>44</v>
      </c>
      <c r="E88" s="117" t="s">
        <v>215</v>
      </c>
      <c r="F88" s="120">
        <f>F89</f>
        <v>1144880</v>
      </c>
      <c r="G88" s="120">
        <f>G89</f>
        <v>1120668</v>
      </c>
      <c r="H88" s="120">
        <f>H89</f>
        <v>24212</v>
      </c>
      <c r="I88" s="120">
        <f>I89</f>
        <v>24212</v>
      </c>
      <c r="J88" s="120">
        <f>J89</f>
        <v>0</v>
      </c>
      <c r="K88" s="117" t="s">
        <v>215</v>
      </c>
    </row>
    <row r="89" spans="1:11" s="110" customFormat="1" ht="34.5" customHeight="1">
      <c r="A89" s="17">
        <v>16</v>
      </c>
      <c r="B89" s="124"/>
      <c r="C89" s="124" t="s">
        <v>265</v>
      </c>
      <c r="D89" s="125" t="s">
        <v>266</v>
      </c>
      <c r="E89" s="17" t="s">
        <v>267</v>
      </c>
      <c r="F89" s="18">
        <v>1144880</v>
      </c>
      <c r="G89" s="19">
        <f>262284+286128+286128+286128</f>
        <v>1120668</v>
      </c>
      <c r="H89" s="18">
        <f>I89+J89</f>
        <v>24212</v>
      </c>
      <c r="I89" s="18">
        <v>24212</v>
      </c>
      <c r="J89" s="18">
        <v>0</v>
      </c>
      <c r="K89" s="125" t="s">
        <v>268</v>
      </c>
    </row>
    <row r="90" spans="1:11" s="15" customFormat="1" ht="30" customHeight="1">
      <c r="A90" s="117"/>
      <c r="B90" s="159" t="s">
        <v>49</v>
      </c>
      <c r="C90" s="159"/>
      <c r="D90" s="160" t="s">
        <v>50</v>
      </c>
      <c r="E90" s="117" t="s">
        <v>215</v>
      </c>
      <c r="F90" s="120">
        <f>F91+F92+F93+F94+F95+F96</f>
        <v>25787599</v>
      </c>
      <c r="G90" s="120">
        <f>G91+G92+G93+G94+G95+G96</f>
        <v>7621559</v>
      </c>
      <c r="H90" s="120">
        <f>H91+H92+H93+H94+H95+H96</f>
        <v>9363338</v>
      </c>
      <c r="I90" s="120">
        <f>I91+I92+I93+I94+I95+I96</f>
        <v>9363338</v>
      </c>
      <c r="J90" s="120">
        <f>J91+J92+J93+J94+J95+J96</f>
        <v>0</v>
      </c>
      <c r="K90" s="117" t="s">
        <v>215</v>
      </c>
    </row>
    <row r="91" spans="1:11" s="110" customFormat="1" ht="67.5" customHeight="1">
      <c r="A91" s="17">
        <v>17</v>
      </c>
      <c r="B91" s="124"/>
      <c r="C91" s="124" t="s">
        <v>240</v>
      </c>
      <c r="D91" s="125" t="s">
        <v>271</v>
      </c>
      <c r="E91" s="17" t="s">
        <v>272</v>
      </c>
      <c r="F91" s="18">
        <v>9575438</v>
      </c>
      <c r="G91" s="19">
        <f>116783</f>
        <v>116783</v>
      </c>
      <c r="H91" s="18">
        <f aca="true" t="shared" si="3" ref="H91:H96">I91+J91</f>
        <v>1183093</v>
      </c>
      <c r="I91" s="18">
        <v>1183093</v>
      </c>
      <c r="J91" s="18">
        <v>0</v>
      </c>
      <c r="K91" s="125" t="s">
        <v>273</v>
      </c>
    </row>
    <row r="92" spans="1:11" s="110" customFormat="1" ht="30" customHeight="1">
      <c r="A92" s="17">
        <v>18</v>
      </c>
      <c r="B92" s="124"/>
      <c r="C92" s="124" t="s">
        <v>240</v>
      </c>
      <c r="D92" s="125" t="s">
        <v>274</v>
      </c>
      <c r="E92" s="17" t="s">
        <v>275</v>
      </c>
      <c r="F92" s="18">
        <v>6867735</v>
      </c>
      <c r="G92" s="19">
        <f>12300+110700+1005427+3024677+2629086</f>
        <v>6782190</v>
      </c>
      <c r="H92" s="18">
        <f t="shared" si="3"/>
        <v>28515</v>
      </c>
      <c r="I92" s="18">
        <v>28515</v>
      </c>
      <c r="J92" s="18">
        <v>0</v>
      </c>
      <c r="K92" s="125" t="s">
        <v>273</v>
      </c>
    </row>
    <row r="93" spans="1:11" s="110" customFormat="1" ht="69.75" customHeight="1">
      <c r="A93" s="17">
        <v>19</v>
      </c>
      <c r="B93" s="124"/>
      <c r="C93" s="124" t="s">
        <v>240</v>
      </c>
      <c r="D93" s="125" t="s">
        <v>339</v>
      </c>
      <c r="E93" s="17" t="s">
        <v>340</v>
      </c>
      <c r="F93" s="18">
        <v>7832943</v>
      </c>
      <c r="G93" s="19">
        <v>548706</v>
      </c>
      <c r="H93" s="18">
        <f t="shared" si="3"/>
        <v>6814127</v>
      </c>
      <c r="I93" s="18">
        <v>6814127</v>
      </c>
      <c r="J93" s="18">
        <v>0</v>
      </c>
      <c r="K93" s="125" t="s">
        <v>273</v>
      </c>
    </row>
    <row r="94" spans="1:11" s="110" customFormat="1" ht="32.25" customHeight="1">
      <c r="A94" s="17">
        <v>20</v>
      </c>
      <c r="B94" s="124"/>
      <c r="C94" s="124" t="s">
        <v>240</v>
      </c>
      <c r="D94" s="125" t="s">
        <v>349</v>
      </c>
      <c r="E94" s="17" t="s">
        <v>331</v>
      </c>
      <c r="F94" s="18">
        <v>928774</v>
      </c>
      <c r="G94" s="19">
        <v>67200</v>
      </c>
      <c r="H94" s="18">
        <f t="shared" si="3"/>
        <v>861574</v>
      </c>
      <c r="I94" s="18">
        <v>861574</v>
      </c>
      <c r="J94" s="18">
        <v>0</v>
      </c>
      <c r="K94" s="125" t="s">
        <v>241</v>
      </c>
    </row>
    <row r="95" spans="1:11" s="110" customFormat="1" ht="31.5" customHeight="1">
      <c r="A95" s="17">
        <v>21</v>
      </c>
      <c r="B95" s="124"/>
      <c r="C95" s="124" t="s">
        <v>242</v>
      </c>
      <c r="D95" s="158" t="s">
        <v>350</v>
      </c>
      <c r="E95" s="17" t="s">
        <v>331</v>
      </c>
      <c r="F95" s="18">
        <v>150460</v>
      </c>
      <c r="G95" s="19">
        <v>60780</v>
      </c>
      <c r="H95" s="18">
        <f t="shared" si="3"/>
        <v>89680</v>
      </c>
      <c r="I95" s="18">
        <v>89680</v>
      </c>
      <c r="J95" s="18">
        <v>0</v>
      </c>
      <c r="K95" s="125" t="s">
        <v>243</v>
      </c>
    </row>
    <row r="96" spans="1:11" s="110" customFormat="1" ht="29.25" customHeight="1">
      <c r="A96" s="17">
        <v>22</v>
      </c>
      <c r="B96" s="124"/>
      <c r="C96" s="124" t="s">
        <v>244</v>
      </c>
      <c r="D96" s="158" t="s">
        <v>341</v>
      </c>
      <c r="E96" s="17" t="s">
        <v>256</v>
      </c>
      <c r="F96" s="18">
        <v>432249</v>
      </c>
      <c r="G96" s="19">
        <f>35900+10000</f>
        <v>45900</v>
      </c>
      <c r="H96" s="18">
        <f t="shared" si="3"/>
        <v>386349</v>
      </c>
      <c r="I96" s="18">
        <v>386349</v>
      </c>
      <c r="J96" s="18">
        <v>0</v>
      </c>
      <c r="K96" s="125" t="s">
        <v>245</v>
      </c>
    </row>
    <row r="97" spans="1:11" s="110" customFormat="1" ht="7.5" customHeight="1">
      <c r="A97" s="17"/>
      <c r="B97" s="124"/>
      <c r="C97" s="124"/>
      <c r="D97" s="125"/>
      <c r="E97" s="17"/>
      <c r="F97" s="18"/>
      <c r="G97" s="19"/>
      <c r="H97" s="18"/>
      <c r="I97" s="18"/>
      <c r="J97" s="18"/>
      <c r="K97" s="127"/>
    </row>
    <row r="98" spans="1:11" s="15" customFormat="1" ht="15.75" customHeight="1">
      <c r="A98" s="962" t="s">
        <v>248</v>
      </c>
      <c r="B98" s="962"/>
      <c r="C98" s="962"/>
      <c r="D98" s="962"/>
      <c r="E98" s="115" t="s">
        <v>215</v>
      </c>
      <c r="F98" s="119">
        <f>F67+F77+F80+F82+F84+F86+F88+F90</f>
        <v>193740126</v>
      </c>
      <c r="G98" s="119">
        <f>G67+G77+G80+G82+G84+G86+G88+G90</f>
        <v>114595679</v>
      </c>
      <c r="H98" s="119">
        <f>H67+H77+H80+H82+H84+H86+H88+H90</f>
        <v>49327255</v>
      </c>
      <c r="I98" s="119">
        <f>I67+I77+I80+I82+I84+I86+I88+I90</f>
        <v>49177255</v>
      </c>
      <c r="J98" s="119">
        <f>J67+J77+J80+J82+J84+J86+J88+J90</f>
        <v>150000</v>
      </c>
      <c r="K98" s="155" t="s">
        <v>215</v>
      </c>
    </row>
    <row r="99" spans="1:11" s="110" customFormat="1" ht="12.75">
      <c r="A99" s="967"/>
      <c r="B99" s="967"/>
      <c r="C99" s="967"/>
      <c r="D99" s="967"/>
      <c r="E99" s="967"/>
      <c r="F99" s="967"/>
      <c r="G99" s="967"/>
      <c r="H99" s="967"/>
      <c r="I99" s="967"/>
      <c r="J99" s="967"/>
      <c r="K99" s="967"/>
    </row>
    <row r="100" spans="1:11" s="20" customFormat="1" ht="20.25" customHeight="1">
      <c r="A100" s="115" t="s">
        <v>276</v>
      </c>
      <c r="B100" s="965" t="s">
        <v>277</v>
      </c>
      <c r="C100" s="965"/>
      <c r="D100" s="965"/>
      <c r="E100" s="965"/>
      <c r="F100" s="965"/>
      <c r="G100" s="965"/>
      <c r="H100" s="965"/>
      <c r="I100" s="965"/>
      <c r="J100" s="965"/>
      <c r="K100" s="965"/>
    </row>
    <row r="101" spans="1:11" s="15" customFormat="1" ht="6" customHeight="1">
      <c r="A101" s="963"/>
      <c r="B101" s="963"/>
      <c r="C101" s="963"/>
      <c r="D101" s="963"/>
      <c r="E101" s="963"/>
      <c r="F101" s="963"/>
      <c r="G101" s="963"/>
      <c r="H101" s="963"/>
      <c r="I101" s="963"/>
      <c r="J101" s="963"/>
      <c r="K101" s="963"/>
    </row>
    <row r="102" spans="1:11" s="15" customFormat="1" ht="12.75">
      <c r="A102" s="117" t="s">
        <v>215</v>
      </c>
      <c r="B102" s="117" t="s">
        <v>215</v>
      </c>
      <c r="C102" s="117" t="s">
        <v>215</v>
      </c>
      <c r="D102" s="117" t="s">
        <v>215</v>
      </c>
      <c r="E102" s="117" t="s">
        <v>215</v>
      </c>
      <c r="F102" s="117" t="s">
        <v>215</v>
      </c>
      <c r="G102" s="117" t="s">
        <v>215</v>
      </c>
      <c r="H102" s="118">
        <f>I102+J102</f>
        <v>298092601</v>
      </c>
      <c r="I102" s="118">
        <v>42126847</v>
      </c>
      <c r="J102" s="118">
        <v>255965754</v>
      </c>
      <c r="K102" s="117" t="s">
        <v>215</v>
      </c>
    </row>
    <row r="103" spans="1:11" s="15" customFormat="1" ht="6" customHeight="1">
      <c r="A103" s="964" t="s">
        <v>278</v>
      </c>
      <c r="B103" s="964"/>
      <c r="C103" s="964"/>
      <c r="D103" s="964"/>
      <c r="E103" s="964"/>
      <c r="F103" s="964"/>
      <c r="G103" s="964"/>
      <c r="H103" s="964"/>
      <c r="I103" s="964"/>
      <c r="J103" s="964"/>
      <c r="K103" s="964"/>
    </row>
    <row r="104" spans="1:11" s="20" customFormat="1" ht="18.75" customHeight="1">
      <c r="A104" s="115" t="s">
        <v>279</v>
      </c>
      <c r="B104" s="965" t="s">
        <v>280</v>
      </c>
      <c r="C104" s="965"/>
      <c r="D104" s="965"/>
      <c r="E104" s="965"/>
      <c r="F104" s="965"/>
      <c r="G104" s="965"/>
      <c r="H104" s="965"/>
      <c r="I104" s="965"/>
      <c r="J104" s="965"/>
      <c r="K104" s="965"/>
    </row>
    <row r="105" spans="1:11" s="15" customFormat="1" ht="6" customHeight="1">
      <c r="A105" s="963"/>
      <c r="B105" s="963"/>
      <c r="C105" s="963"/>
      <c r="D105" s="963"/>
      <c r="E105" s="963"/>
      <c r="F105" s="963"/>
      <c r="G105" s="963"/>
      <c r="H105" s="963"/>
      <c r="I105" s="963"/>
      <c r="J105" s="963"/>
      <c r="K105" s="963"/>
    </row>
    <row r="106" spans="1:11" s="15" customFormat="1" ht="12.75">
      <c r="A106" s="117" t="s">
        <v>215</v>
      </c>
      <c r="B106" s="117" t="s">
        <v>215</v>
      </c>
      <c r="C106" s="117" t="s">
        <v>215</v>
      </c>
      <c r="D106" s="117" t="s">
        <v>215</v>
      </c>
      <c r="E106" s="117" t="s">
        <v>215</v>
      </c>
      <c r="F106" s="117" t="s">
        <v>215</v>
      </c>
      <c r="G106" s="117" t="s">
        <v>215</v>
      </c>
      <c r="H106" s="118">
        <f>I106+J106</f>
        <v>22286437</v>
      </c>
      <c r="I106" s="118">
        <v>11419095</v>
      </c>
      <c r="J106" s="118">
        <v>10867342</v>
      </c>
      <c r="K106" s="117" t="s">
        <v>215</v>
      </c>
    </row>
    <row r="107" spans="1:11" s="15" customFormat="1" ht="6" customHeight="1">
      <c r="A107" s="964" t="s">
        <v>278</v>
      </c>
      <c r="B107" s="964"/>
      <c r="C107" s="964"/>
      <c r="D107" s="964"/>
      <c r="E107" s="964"/>
      <c r="F107" s="964"/>
      <c r="G107" s="964"/>
      <c r="H107" s="964"/>
      <c r="I107" s="964"/>
      <c r="J107" s="964"/>
      <c r="K107" s="964"/>
    </row>
    <row r="108" spans="1:11" s="13" customFormat="1" ht="16.5">
      <c r="A108" s="962" t="s">
        <v>123</v>
      </c>
      <c r="B108" s="962"/>
      <c r="C108" s="962"/>
      <c r="D108" s="962"/>
      <c r="E108" s="115" t="s">
        <v>215</v>
      </c>
      <c r="F108" s="115" t="s">
        <v>215</v>
      </c>
      <c r="G108" s="115" t="s">
        <v>215</v>
      </c>
      <c r="H108" s="116">
        <f>H14</f>
        <v>408642369</v>
      </c>
      <c r="I108" s="116">
        <f>I14</f>
        <v>141659273</v>
      </c>
      <c r="J108" s="116">
        <f>J14</f>
        <v>266983096</v>
      </c>
      <c r="K108" s="155" t="s">
        <v>215</v>
      </c>
    </row>
    <row r="109" ht="6" customHeight="1"/>
  </sheetData>
  <sheetProtection password="C25B" sheet="1"/>
  <mergeCells count="28">
    <mergeCell ref="A4:K4"/>
    <mergeCell ref="A5:K5"/>
    <mergeCell ref="A8:A11"/>
    <mergeCell ref="B8:B11"/>
    <mergeCell ref="C8:C11"/>
    <mergeCell ref="D8:D11"/>
    <mergeCell ref="E8:E11"/>
    <mergeCell ref="F8:F11"/>
    <mergeCell ref="G8:G11"/>
    <mergeCell ref="H8:J8"/>
    <mergeCell ref="K8:K11"/>
    <mergeCell ref="H9:H11"/>
    <mergeCell ref="I9:J9"/>
    <mergeCell ref="I10:I11"/>
    <mergeCell ref="J10:J11"/>
    <mergeCell ref="B16:K16"/>
    <mergeCell ref="A63:D63"/>
    <mergeCell ref="A64:K64"/>
    <mergeCell ref="B65:K65"/>
    <mergeCell ref="A98:D98"/>
    <mergeCell ref="A99:K99"/>
    <mergeCell ref="B100:K100"/>
    <mergeCell ref="A108:D108"/>
    <mergeCell ref="A101:K101"/>
    <mergeCell ref="A103:K103"/>
    <mergeCell ref="B104:K104"/>
    <mergeCell ref="A105:K105"/>
    <mergeCell ref="A107:K10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7"/>
  <sheetViews>
    <sheetView view="pageBreakPreview" zoomScaleNormal="75" zoomScaleSheetLayoutView="100" zoomScalePageLayoutView="0" workbookViewId="0" topLeftCell="A94">
      <selection activeCell="G94" sqref="G94"/>
    </sheetView>
  </sheetViews>
  <sheetFormatPr defaultColWidth="8" defaultRowHeight="14.25"/>
  <cols>
    <col min="1" max="1" width="2.19921875" style="460" customWidth="1"/>
    <col min="2" max="2" width="3.3984375" style="460" customWidth="1"/>
    <col min="3" max="3" width="3.5" style="460" customWidth="1"/>
    <col min="4" max="4" width="5.3984375" style="460" customWidth="1"/>
    <col min="5" max="5" width="9.59765625" style="461" customWidth="1"/>
    <col min="6" max="6" width="49.3984375" style="453" customWidth="1"/>
    <col min="7" max="7" width="12.3984375" style="454" customWidth="1"/>
    <col min="8" max="8" width="12.59765625" style="455" customWidth="1"/>
    <col min="9" max="13" width="12.19921875" style="455" customWidth="1"/>
    <col min="14" max="16384" width="8" style="456" customWidth="1"/>
  </cols>
  <sheetData>
    <row r="1" spans="4:13" s="377" customFormat="1" ht="15" customHeight="1">
      <c r="D1" s="378"/>
      <c r="E1" s="379"/>
      <c r="F1" s="380"/>
      <c r="G1" s="381"/>
      <c r="H1" s="1047"/>
      <c r="I1" s="1047"/>
      <c r="J1" s="1047"/>
      <c r="K1" s="1047" t="s">
        <v>962</v>
      </c>
      <c r="L1" s="1047"/>
      <c r="M1" s="1047"/>
    </row>
    <row r="2" spans="3:13" s="377" customFormat="1" ht="12.75" customHeight="1">
      <c r="C2" s="382" t="s">
        <v>963</v>
      </c>
      <c r="D2" s="382"/>
      <c r="E2" s="379"/>
      <c r="F2" s="380"/>
      <c r="G2" s="381"/>
      <c r="H2" s="380"/>
      <c r="I2" s="383"/>
      <c r="J2" s="383"/>
      <c r="K2" s="380" t="s">
        <v>964</v>
      </c>
      <c r="L2" s="383"/>
      <c r="M2" s="383"/>
    </row>
    <row r="3" spans="4:13" s="377" customFormat="1" ht="15" customHeight="1">
      <c r="D3" s="382"/>
      <c r="E3" s="379"/>
      <c r="F3" s="380"/>
      <c r="G3" s="381"/>
      <c r="H3" s="380"/>
      <c r="I3" s="383"/>
      <c r="J3" s="383"/>
      <c r="K3" s="380" t="s">
        <v>965</v>
      </c>
      <c r="L3" s="383"/>
      <c r="M3" s="383"/>
    </row>
    <row r="4" spans="1:13" s="377" customFormat="1" ht="15.75" customHeight="1">
      <c r="A4" s="1048" t="s">
        <v>966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</row>
    <row r="5" spans="1:13" s="377" customFormat="1" ht="15" customHeight="1">
      <c r="A5" s="1048" t="s">
        <v>351</v>
      </c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</row>
    <row r="6" spans="1:13" s="377" customFormat="1" ht="10.5" customHeight="1">
      <c r="A6" s="384"/>
      <c r="B6" s="384"/>
      <c r="C6" s="384"/>
      <c r="D6" s="384"/>
      <c r="E6" s="385"/>
      <c r="F6" s="383"/>
      <c r="G6" s="386"/>
      <c r="H6" s="378"/>
      <c r="I6" s="378"/>
      <c r="J6" s="378"/>
      <c r="K6" s="378"/>
      <c r="L6" s="378"/>
      <c r="M6" s="378" t="s">
        <v>17</v>
      </c>
    </row>
    <row r="7" spans="1:13" s="389" customFormat="1" ht="30.75" customHeight="1">
      <c r="A7" s="1049" t="s">
        <v>967</v>
      </c>
      <c r="B7" s="1050"/>
      <c r="C7" s="1049" t="s">
        <v>218</v>
      </c>
      <c r="D7" s="1050"/>
      <c r="E7" s="1049" t="s">
        <v>968</v>
      </c>
      <c r="F7" s="1055"/>
      <c r="G7" s="1058" t="s">
        <v>20</v>
      </c>
      <c r="H7" s="1061" t="s">
        <v>969</v>
      </c>
      <c r="I7" s="1062"/>
      <c r="J7" s="1063"/>
      <c r="K7" s="1061" t="s">
        <v>970</v>
      </c>
      <c r="L7" s="1062"/>
      <c r="M7" s="1063"/>
    </row>
    <row r="8" spans="1:13" s="389" customFormat="1" ht="15.75" customHeight="1">
      <c r="A8" s="1051"/>
      <c r="B8" s="1052"/>
      <c r="C8" s="1051"/>
      <c r="D8" s="1052"/>
      <c r="E8" s="1056"/>
      <c r="F8" s="1057"/>
      <c r="G8" s="1059"/>
      <c r="H8" s="1040" t="s">
        <v>971</v>
      </c>
      <c r="I8" s="387" t="s">
        <v>113</v>
      </c>
      <c r="J8" s="388"/>
      <c r="K8" s="1040" t="s">
        <v>971</v>
      </c>
      <c r="L8" s="387" t="s">
        <v>113</v>
      </c>
      <c r="M8" s="388"/>
    </row>
    <row r="9" spans="1:13" s="389" customFormat="1" ht="17.25" customHeight="1">
      <c r="A9" s="1053"/>
      <c r="B9" s="1054"/>
      <c r="C9" s="1053"/>
      <c r="D9" s="1054"/>
      <c r="E9" s="390" t="s">
        <v>653</v>
      </c>
      <c r="F9" s="391"/>
      <c r="G9" s="1060"/>
      <c r="H9" s="1041"/>
      <c r="I9" s="388" t="s">
        <v>972</v>
      </c>
      <c r="J9" s="392" t="s">
        <v>973</v>
      </c>
      <c r="K9" s="1041"/>
      <c r="L9" s="388" t="s">
        <v>972</v>
      </c>
      <c r="M9" s="392" t="s">
        <v>973</v>
      </c>
    </row>
    <row r="10" spans="1:13" s="395" customFormat="1" ht="11.25">
      <c r="A10" s="1042">
        <v>1</v>
      </c>
      <c r="B10" s="1043"/>
      <c r="C10" s="1042">
        <v>2</v>
      </c>
      <c r="D10" s="1043"/>
      <c r="E10" s="393">
        <v>3</v>
      </c>
      <c r="F10" s="393">
        <v>4</v>
      </c>
      <c r="G10" s="393">
        <v>5</v>
      </c>
      <c r="H10" s="394">
        <v>6</v>
      </c>
      <c r="I10" s="394">
        <v>7</v>
      </c>
      <c r="J10" s="394">
        <v>8</v>
      </c>
      <c r="K10" s="394">
        <v>9</v>
      </c>
      <c r="L10" s="394">
        <v>10</v>
      </c>
      <c r="M10" s="394">
        <v>11</v>
      </c>
    </row>
    <row r="11" spans="1:13" s="396" customFormat="1" ht="5.25" customHeight="1">
      <c r="A11" s="585"/>
      <c r="B11" s="586"/>
      <c r="C11" s="586"/>
      <c r="D11" s="586"/>
      <c r="E11" s="587"/>
      <c r="F11" s="587"/>
      <c r="G11" s="588"/>
      <c r="H11" s="589"/>
      <c r="I11" s="589"/>
      <c r="J11" s="589"/>
      <c r="K11" s="589"/>
      <c r="L11" s="589"/>
      <c r="M11" s="590"/>
    </row>
    <row r="12" spans="1:13" s="397" customFormat="1" ht="20.25" customHeight="1">
      <c r="A12" s="1044" t="s">
        <v>123</v>
      </c>
      <c r="B12" s="1045"/>
      <c r="C12" s="1045"/>
      <c r="D12" s="1045"/>
      <c r="E12" s="1045"/>
      <c r="F12" s="1046"/>
      <c r="G12" s="584">
        <f>H12+K12</f>
        <v>433112523</v>
      </c>
      <c r="H12" s="591">
        <f>I12+J12</f>
        <v>248224556</v>
      </c>
      <c r="I12" s="591">
        <f>I14+I18+I65</f>
        <v>133934998</v>
      </c>
      <c r="J12" s="591">
        <f>J14+J18+J65</f>
        <v>114289558</v>
      </c>
      <c r="K12" s="591">
        <f>L12+M12</f>
        <v>184887967</v>
      </c>
      <c r="L12" s="591">
        <f>L14+L18+L65</f>
        <v>3150572</v>
      </c>
      <c r="M12" s="591">
        <f>M14+M18+M65</f>
        <v>181737395</v>
      </c>
    </row>
    <row r="13" spans="1:13" s="398" customFormat="1" ht="5.25" customHeight="1">
      <c r="A13" s="592"/>
      <c r="B13" s="593"/>
      <c r="C13" s="593"/>
      <c r="D13" s="593"/>
      <c r="E13" s="594"/>
      <c r="F13" s="595"/>
      <c r="G13" s="596"/>
      <c r="H13" s="597"/>
      <c r="I13" s="597"/>
      <c r="J13" s="597"/>
      <c r="K13" s="597"/>
      <c r="L13" s="597"/>
      <c r="M13" s="598"/>
    </row>
    <row r="14" spans="1:13" s="399" customFormat="1" ht="18" customHeight="1">
      <c r="A14" s="1022" t="s">
        <v>974</v>
      </c>
      <c r="B14" s="1023"/>
      <c r="C14" s="1023"/>
      <c r="D14" s="1023"/>
      <c r="E14" s="1023"/>
      <c r="F14" s="1023"/>
      <c r="G14" s="605">
        <f>H14+K14</f>
        <v>99220000</v>
      </c>
      <c r="H14" s="606">
        <f>I14+J14</f>
        <v>0</v>
      </c>
      <c r="I14" s="605">
        <f>I16</f>
        <v>0</v>
      </c>
      <c r="J14" s="605">
        <f>J16</f>
        <v>0</v>
      </c>
      <c r="K14" s="605">
        <f>L14+M14</f>
        <v>99220000</v>
      </c>
      <c r="L14" s="605">
        <f>L16</f>
        <v>0</v>
      </c>
      <c r="M14" s="605">
        <f>M16</f>
        <v>99220000</v>
      </c>
    </row>
    <row r="15" spans="1:13" s="398" customFormat="1" ht="5.25" customHeight="1">
      <c r="A15" s="599"/>
      <c r="B15" s="600"/>
      <c r="C15" s="600"/>
      <c r="D15" s="600"/>
      <c r="E15" s="601"/>
      <c r="F15" s="601"/>
      <c r="G15" s="602"/>
      <c r="H15" s="603"/>
      <c r="I15" s="603"/>
      <c r="J15" s="603"/>
      <c r="K15" s="603"/>
      <c r="L15" s="603"/>
      <c r="M15" s="604"/>
    </row>
    <row r="16" spans="1:13" s="402" customFormat="1" ht="30" customHeight="1">
      <c r="A16" s="999" t="s">
        <v>27</v>
      </c>
      <c r="B16" s="1000"/>
      <c r="C16" s="1003" t="s">
        <v>136</v>
      </c>
      <c r="D16" s="1004"/>
      <c r="E16" s="976" t="s">
        <v>975</v>
      </c>
      <c r="F16" s="977"/>
      <c r="G16" s="400">
        <f>H16+K16</f>
        <v>99220000</v>
      </c>
      <c r="H16" s="401">
        <f>I16+J16</f>
        <v>0</v>
      </c>
      <c r="I16" s="401">
        <v>0</v>
      </c>
      <c r="J16" s="401">
        <v>0</v>
      </c>
      <c r="K16" s="401">
        <f>L16+M16</f>
        <v>99220000</v>
      </c>
      <c r="L16" s="401">
        <v>0</v>
      </c>
      <c r="M16" s="401">
        <v>99220000</v>
      </c>
    </row>
    <row r="17" spans="1:13" s="398" customFormat="1" ht="5.25" customHeight="1">
      <c r="A17" s="607"/>
      <c r="B17" s="608"/>
      <c r="C17" s="608"/>
      <c r="D17" s="608"/>
      <c r="E17" s="609"/>
      <c r="F17" s="610"/>
      <c r="G17" s="611"/>
      <c r="H17" s="612"/>
      <c r="I17" s="612"/>
      <c r="J17" s="612"/>
      <c r="K17" s="612"/>
      <c r="L17" s="612"/>
      <c r="M17" s="613"/>
    </row>
    <row r="18" spans="1:13" s="399" customFormat="1" ht="18" customHeight="1">
      <c r="A18" s="1022" t="s">
        <v>976</v>
      </c>
      <c r="B18" s="1023"/>
      <c r="C18" s="1023"/>
      <c r="D18" s="1023"/>
      <c r="E18" s="1023"/>
      <c r="F18" s="1023"/>
      <c r="G18" s="614">
        <f>H18+K18</f>
        <v>86443344</v>
      </c>
      <c r="H18" s="615">
        <f>I18+J18</f>
        <v>86443344</v>
      </c>
      <c r="I18" s="615">
        <f>I20</f>
        <v>0</v>
      </c>
      <c r="J18" s="615">
        <f>J20</f>
        <v>86443344</v>
      </c>
      <c r="K18" s="615">
        <f>L18+M18</f>
        <v>0</v>
      </c>
      <c r="L18" s="615">
        <f>L20</f>
        <v>0</v>
      </c>
      <c r="M18" s="615">
        <f>M20</f>
        <v>0</v>
      </c>
    </row>
    <row r="19" spans="1:13" s="398" customFormat="1" ht="5.25" customHeight="1">
      <c r="A19" s="599"/>
      <c r="B19" s="600"/>
      <c r="C19" s="600"/>
      <c r="D19" s="600"/>
      <c r="E19" s="601"/>
      <c r="F19" s="601"/>
      <c r="G19" s="602"/>
      <c r="H19" s="603"/>
      <c r="I19" s="603"/>
      <c r="J19" s="603"/>
      <c r="K19" s="603"/>
      <c r="L19" s="603"/>
      <c r="M19" s="604"/>
    </row>
    <row r="20" spans="1:13" s="405" customFormat="1" ht="17.25" customHeight="1">
      <c r="A20" s="1016" t="s">
        <v>977</v>
      </c>
      <c r="B20" s="1017"/>
      <c r="C20" s="1017"/>
      <c r="D20" s="1017"/>
      <c r="E20" s="1017"/>
      <c r="F20" s="1018"/>
      <c r="G20" s="403">
        <f>H20+K20</f>
        <v>86443344</v>
      </c>
      <c r="H20" s="404">
        <f>I20+J20</f>
        <v>86443344</v>
      </c>
      <c r="I20" s="404">
        <f>I22+I26+I28+I30+I32+I34+I36+I40+I42+I44+I46+I48+I52+I56+I59+I62</f>
        <v>0</v>
      </c>
      <c r="J20" s="404">
        <f>J22+J26+J28+J30+J32+J34+J36+J40+J42+J44+J46+J48+J52+J56+J59+J62</f>
        <v>86443344</v>
      </c>
      <c r="K20" s="404">
        <f>L20+M20</f>
        <v>0</v>
      </c>
      <c r="L20" s="404">
        <f>L22+L26+L28+L30+L32+L34+L36+L40+L42+L44+L46+L48+L52+L56+L59+L62</f>
        <v>0</v>
      </c>
      <c r="M20" s="404">
        <f>M22+M26+M28+M30+M32+M34+M36+M40+M42+M44+M46+M48+M52+M56+M59+M62</f>
        <v>0</v>
      </c>
    </row>
    <row r="21" spans="1:13" s="411" customFormat="1" ht="5.25" customHeight="1">
      <c r="A21" s="406"/>
      <c r="B21" s="407"/>
      <c r="C21" s="407"/>
      <c r="D21" s="407"/>
      <c r="E21" s="407"/>
      <c r="F21" s="407"/>
      <c r="G21" s="408"/>
      <c r="H21" s="409"/>
      <c r="I21" s="409"/>
      <c r="J21" s="409"/>
      <c r="K21" s="409"/>
      <c r="L21" s="409"/>
      <c r="M21" s="410"/>
    </row>
    <row r="22" spans="1:13" s="389" customFormat="1" ht="18" customHeight="1">
      <c r="A22" s="1028"/>
      <c r="B22" s="1029"/>
      <c r="C22" s="1024"/>
      <c r="D22" s="1025"/>
      <c r="E22" s="1026" t="s">
        <v>241</v>
      </c>
      <c r="F22" s="1027"/>
      <c r="G22" s="412">
        <f aca="true" t="shared" si="0" ref="G22:G63">H22+K22</f>
        <v>8310000</v>
      </c>
      <c r="H22" s="413">
        <f aca="true" t="shared" si="1" ref="H22:H63">I22+J22</f>
        <v>8310000</v>
      </c>
      <c r="I22" s="413">
        <f>I23+I24+I25</f>
        <v>0</v>
      </c>
      <c r="J22" s="413">
        <f>J23+J24+J25</f>
        <v>8310000</v>
      </c>
      <c r="K22" s="413">
        <f aca="true" t="shared" si="2" ref="K22:K37">L22+M22</f>
        <v>0</v>
      </c>
      <c r="L22" s="413">
        <f>L23+L24+L25</f>
        <v>0</v>
      </c>
      <c r="M22" s="413">
        <f>M23+M24+M25</f>
        <v>0</v>
      </c>
    </row>
    <row r="23" spans="1:13" s="377" customFormat="1" ht="18" customHeight="1">
      <c r="A23" s="981" t="s">
        <v>49</v>
      </c>
      <c r="B23" s="982"/>
      <c r="C23" s="983" t="s">
        <v>240</v>
      </c>
      <c r="D23" s="984"/>
      <c r="E23" s="985" t="s">
        <v>978</v>
      </c>
      <c r="F23" s="986"/>
      <c r="G23" s="415">
        <f t="shared" si="0"/>
        <v>7410000</v>
      </c>
      <c r="H23" s="416">
        <f t="shared" si="1"/>
        <v>7410000</v>
      </c>
      <c r="I23" s="416">
        <v>0</v>
      </c>
      <c r="J23" s="416">
        <v>7410000</v>
      </c>
      <c r="K23" s="416">
        <f t="shared" si="2"/>
        <v>0</v>
      </c>
      <c r="L23" s="416">
        <v>0</v>
      </c>
      <c r="M23" s="416">
        <v>0</v>
      </c>
    </row>
    <row r="24" spans="1:13" s="417" customFormat="1" ht="30" customHeight="1">
      <c r="A24" s="972"/>
      <c r="B24" s="973"/>
      <c r="C24" s="991"/>
      <c r="D24" s="992"/>
      <c r="E24" s="976" t="s">
        <v>979</v>
      </c>
      <c r="F24" s="977"/>
      <c r="G24" s="400">
        <f>H24+K24</f>
        <v>550000</v>
      </c>
      <c r="H24" s="401">
        <f>I24+J24</f>
        <v>550000</v>
      </c>
      <c r="I24" s="401">
        <v>0</v>
      </c>
      <c r="J24" s="401">
        <v>550000</v>
      </c>
      <c r="K24" s="401">
        <f>L24+M24</f>
        <v>0</v>
      </c>
      <c r="L24" s="401">
        <v>0</v>
      </c>
      <c r="M24" s="401">
        <v>0</v>
      </c>
    </row>
    <row r="25" spans="1:13" s="417" customFormat="1" ht="30" customHeight="1">
      <c r="A25" s="972"/>
      <c r="B25" s="973"/>
      <c r="C25" s="991"/>
      <c r="D25" s="992"/>
      <c r="E25" s="976" t="s">
        <v>980</v>
      </c>
      <c r="F25" s="977"/>
      <c r="G25" s="400">
        <f>H25+K25</f>
        <v>350000</v>
      </c>
      <c r="H25" s="401">
        <f>I25+J25</f>
        <v>350000</v>
      </c>
      <c r="I25" s="401">
        <v>0</v>
      </c>
      <c r="J25" s="401">
        <v>350000</v>
      </c>
      <c r="K25" s="401">
        <f>L25+M25</f>
        <v>0</v>
      </c>
      <c r="L25" s="401">
        <v>0</v>
      </c>
      <c r="M25" s="401">
        <v>0</v>
      </c>
    </row>
    <row r="26" spans="1:13" s="389" customFormat="1" ht="18" customHeight="1">
      <c r="A26" s="1028"/>
      <c r="B26" s="1029"/>
      <c r="C26" s="1024"/>
      <c r="D26" s="1025"/>
      <c r="E26" s="1026" t="s">
        <v>270</v>
      </c>
      <c r="F26" s="1027"/>
      <c r="G26" s="412">
        <f t="shared" si="0"/>
        <v>19740000</v>
      </c>
      <c r="H26" s="413">
        <f t="shared" si="1"/>
        <v>19740000</v>
      </c>
      <c r="I26" s="413">
        <f>I27</f>
        <v>0</v>
      </c>
      <c r="J26" s="413">
        <f>J27</f>
        <v>19740000</v>
      </c>
      <c r="K26" s="413">
        <f t="shared" si="2"/>
        <v>0</v>
      </c>
      <c r="L26" s="413">
        <f>L27</f>
        <v>0</v>
      </c>
      <c r="M26" s="413">
        <f>M27</f>
        <v>0</v>
      </c>
    </row>
    <row r="27" spans="1:13" s="377" customFormat="1" ht="18" customHeight="1">
      <c r="A27" s="981" t="s">
        <v>49</v>
      </c>
      <c r="B27" s="982"/>
      <c r="C27" s="983" t="s">
        <v>240</v>
      </c>
      <c r="D27" s="984"/>
      <c r="E27" s="985" t="s">
        <v>978</v>
      </c>
      <c r="F27" s="986"/>
      <c r="G27" s="415">
        <f t="shared" si="0"/>
        <v>19740000</v>
      </c>
      <c r="H27" s="416">
        <f t="shared" si="1"/>
        <v>19740000</v>
      </c>
      <c r="I27" s="416">
        <v>0</v>
      </c>
      <c r="J27" s="416">
        <v>19740000</v>
      </c>
      <c r="K27" s="416">
        <f t="shared" si="2"/>
        <v>0</v>
      </c>
      <c r="L27" s="416">
        <v>0</v>
      </c>
      <c r="M27" s="416">
        <v>0</v>
      </c>
    </row>
    <row r="28" spans="1:13" s="389" customFormat="1" ht="18" customHeight="1">
      <c r="A28" s="1028"/>
      <c r="B28" s="1029"/>
      <c r="C28" s="1024"/>
      <c r="D28" s="1025"/>
      <c r="E28" s="1026" t="s">
        <v>981</v>
      </c>
      <c r="F28" s="1027"/>
      <c r="G28" s="412">
        <f t="shared" si="0"/>
        <v>2000000</v>
      </c>
      <c r="H28" s="413">
        <f t="shared" si="1"/>
        <v>2000000</v>
      </c>
      <c r="I28" s="413">
        <f>I29</f>
        <v>0</v>
      </c>
      <c r="J28" s="413">
        <f>J29</f>
        <v>2000000</v>
      </c>
      <c r="K28" s="413">
        <f t="shared" si="2"/>
        <v>0</v>
      </c>
      <c r="L28" s="413">
        <f>L29</f>
        <v>0</v>
      </c>
      <c r="M28" s="413">
        <f>M29</f>
        <v>0</v>
      </c>
    </row>
    <row r="29" spans="1:13" s="377" customFormat="1" ht="18" customHeight="1">
      <c r="A29" s="1013" t="s">
        <v>49</v>
      </c>
      <c r="B29" s="1014"/>
      <c r="C29" s="995" t="s">
        <v>240</v>
      </c>
      <c r="D29" s="996"/>
      <c r="E29" s="985" t="s">
        <v>978</v>
      </c>
      <c r="F29" s="986"/>
      <c r="G29" s="415">
        <f t="shared" si="0"/>
        <v>2000000</v>
      </c>
      <c r="H29" s="416">
        <f t="shared" si="1"/>
        <v>2000000</v>
      </c>
      <c r="I29" s="416">
        <v>0</v>
      </c>
      <c r="J29" s="416">
        <v>2000000</v>
      </c>
      <c r="K29" s="416">
        <f t="shared" si="2"/>
        <v>0</v>
      </c>
      <c r="L29" s="416">
        <v>0</v>
      </c>
      <c r="M29" s="416">
        <v>0</v>
      </c>
    </row>
    <row r="30" spans="1:13" s="389" customFormat="1" ht="18" customHeight="1">
      <c r="A30" s="1028"/>
      <c r="B30" s="1029"/>
      <c r="C30" s="1024"/>
      <c r="D30" s="1025"/>
      <c r="E30" s="1026" t="s">
        <v>982</v>
      </c>
      <c r="F30" s="1027"/>
      <c r="G30" s="412">
        <f t="shared" si="0"/>
        <v>9934500</v>
      </c>
      <c r="H30" s="413">
        <f t="shared" si="1"/>
        <v>9934500</v>
      </c>
      <c r="I30" s="413">
        <f>I31</f>
        <v>0</v>
      </c>
      <c r="J30" s="413">
        <f>J31</f>
        <v>9934500</v>
      </c>
      <c r="K30" s="413">
        <f t="shared" si="2"/>
        <v>0</v>
      </c>
      <c r="L30" s="413">
        <f>L31</f>
        <v>0</v>
      </c>
      <c r="M30" s="413">
        <f>M31</f>
        <v>0</v>
      </c>
    </row>
    <row r="31" spans="1:13" s="377" customFormat="1" ht="18" customHeight="1">
      <c r="A31" s="1013" t="s">
        <v>49</v>
      </c>
      <c r="B31" s="1014"/>
      <c r="C31" s="995" t="s">
        <v>983</v>
      </c>
      <c r="D31" s="996"/>
      <c r="E31" s="985" t="s">
        <v>978</v>
      </c>
      <c r="F31" s="986"/>
      <c r="G31" s="415">
        <f t="shared" si="0"/>
        <v>9934500</v>
      </c>
      <c r="H31" s="416">
        <f t="shared" si="1"/>
        <v>9934500</v>
      </c>
      <c r="I31" s="416">
        <v>0</v>
      </c>
      <c r="J31" s="416">
        <v>9934500</v>
      </c>
      <c r="K31" s="416">
        <f t="shared" si="2"/>
        <v>0</v>
      </c>
      <c r="L31" s="416">
        <v>0</v>
      </c>
      <c r="M31" s="416">
        <v>0</v>
      </c>
    </row>
    <row r="32" spans="1:13" s="389" customFormat="1" ht="18" customHeight="1">
      <c r="A32" s="1028"/>
      <c r="B32" s="1029"/>
      <c r="C32" s="1024"/>
      <c r="D32" s="1025"/>
      <c r="E32" s="1026" t="s">
        <v>410</v>
      </c>
      <c r="F32" s="1027"/>
      <c r="G32" s="412">
        <f t="shared" si="0"/>
        <v>2100000</v>
      </c>
      <c r="H32" s="413">
        <f t="shared" si="1"/>
        <v>2100000</v>
      </c>
      <c r="I32" s="413">
        <f>I33</f>
        <v>0</v>
      </c>
      <c r="J32" s="413">
        <f>J33</f>
        <v>2100000</v>
      </c>
      <c r="K32" s="413">
        <f t="shared" si="2"/>
        <v>0</v>
      </c>
      <c r="L32" s="413">
        <f>L33</f>
        <v>0</v>
      </c>
      <c r="M32" s="413">
        <f>M33</f>
        <v>0</v>
      </c>
    </row>
    <row r="33" spans="1:13" s="377" customFormat="1" ht="18" customHeight="1">
      <c r="A33" s="981" t="s">
        <v>49</v>
      </c>
      <c r="B33" s="982"/>
      <c r="C33" s="983" t="s">
        <v>242</v>
      </c>
      <c r="D33" s="984"/>
      <c r="E33" s="985" t="s">
        <v>978</v>
      </c>
      <c r="F33" s="986"/>
      <c r="G33" s="415">
        <f t="shared" si="0"/>
        <v>2100000</v>
      </c>
      <c r="H33" s="416">
        <f t="shared" si="1"/>
        <v>2100000</v>
      </c>
      <c r="I33" s="416">
        <v>0</v>
      </c>
      <c r="J33" s="416">
        <v>2100000</v>
      </c>
      <c r="K33" s="416">
        <f t="shared" si="2"/>
        <v>0</v>
      </c>
      <c r="L33" s="416">
        <v>0</v>
      </c>
      <c r="M33" s="416">
        <v>0</v>
      </c>
    </row>
    <row r="34" spans="1:13" s="389" customFormat="1" ht="18" customHeight="1">
      <c r="A34" s="1028"/>
      <c r="B34" s="1029"/>
      <c r="C34" s="1024"/>
      <c r="D34" s="1025"/>
      <c r="E34" s="1026" t="s">
        <v>408</v>
      </c>
      <c r="F34" s="1027"/>
      <c r="G34" s="412">
        <f t="shared" si="0"/>
        <v>2801180</v>
      </c>
      <c r="H34" s="413">
        <f t="shared" si="1"/>
        <v>2801180</v>
      </c>
      <c r="I34" s="413">
        <f>I35</f>
        <v>0</v>
      </c>
      <c r="J34" s="413">
        <f>J35</f>
        <v>2801180</v>
      </c>
      <c r="K34" s="413">
        <f t="shared" si="2"/>
        <v>0</v>
      </c>
      <c r="L34" s="413">
        <f>L35</f>
        <v>0</v>
      </c>
      <c r="M34" s="413">
        <f>M35</f>
        <v>0</v>
      </c>
    </row>
    <row r="35" spans="1:13" s="377" customFormat="1" ht="18" customHeight="1">
      <c r="A35" s="1013" t="s">
        <v>49</v>
      </c>
      <c r="B35" s="1014"/>
      <c r="C35" s="995" t="s">
        <v>242</v>
      </c>
      <c r="D35" s="996"/>
      <c r="E35" s="985" t="s">
        <v>978</v>
      </c>
      <c r="F35" s="986"/>
      <c r="G35" s="415">
        <f t="shared" si="0"/>
        <v>2801180</v>
      </c>
      <c r="H35" s="416">
        <f t="shared" si="1"/>
        <v>2801180</v>
      </c>
      <c r="I35" s="416">
        <v>0</v>
      </c>
      <c r="J35" s="416">
        <v>2801180</v>
      </c>
      <c r="K35" s="416">
        <f t="shared" si="2"/>
        <v>0</v>
      </c>
      <c r="L35" s="416">
        <v>0</v>
      </c>
      <c r="M35" s="416">
        <v>0</v>
      </c>
    </row>
    <row r="36" spans="1:13" s="389" customFormat="1" ht="18" customHeight="1">
      <c r="A36" s="1028"/>
      <c r="B36" s="1029"/>
      <c r="C36" s="1024"/>
      <c r="D36" s="1025"/>
      <c r="E36" s="1026" t="s">
        <v>409</v>
      </c>
      <c r="F36" s="1027"/>
      <c r="G36" s="412">
        <f t="shared" si="0"/>
        <v>920714</v>
      </c>
      <c r="H36" s="413">
        <f t="shared" si="1"/>
        <v>920714</v>
      </c>
      <c r="I36" s="413">
        <f>I37</f>
        <v>0</v>
      </c>
      <c r="J36" s="413">
        <f>J37</f>
        <v>920714</v>
      </c>
      <c r="K36" s="413">
        <f t="shared" si="2"/>
        <v>0</v>
      </c>
      <c r="L36" s="413">
        <f>L37</f>
        <v>0</v>
      </c>
      <c r="M36" s="413">
        <f>M37</f>
        <v>0</v>
      </c>
    </row>
    <row r="37" spans="1:13" s="377" customFormat="1" ht="18" customHeight="1">
      <c r="A37" s="981" t="s">
        <v>49</v>
      </c>
      <c r="B37" s="982"/>
      <c r="C37" s="983" t="s">
        <v>242</v>
      </c>
      <c r="D37" s="984"/>
      <c r="E37" s="985" t="s">
        <v>984</v>
      </c>
      <c r="F37" s="986"/>
      <c r="G37" s="415">
        <f t="shared" si="0"/>
        <v>920714</v>
      </c>
      <c r="H37" s="416">
        <f t="shared" si="1"/>
        <v>920714</v>
      </c>
      <c r="I37" s="416">
        <f>I38+I39</f>
        <v>0</v>
      </c>
      <c r="J37" s="416">
        <f>J38+J39</f>
        <v>920714</v>
      </c>
      <c r="K37" s="416">
        <f t="shared" si="2"/>
        <v>0</v>
      </c>
      <c r="L37" s="416">
        <f>L38+L39</f>
        <v>0</v>
      </c>
      <c r="M37" s="416">
        <f>M38+M39</f>
        <v>0</v>
      </c>
    </row>
    <row r="38" spans="1:13" s="420" customFormat="1" ht="18" customHeight="1">
      <c r="A38" s="1030"/>
      <c r="B38" s="1031"/>
      <c r="C38" s="1032"/>
      <c r="D38" s="1033"/>
      <c r="E38" s="1034" t="s">
        <v>985</v>
      </c>
      <c r="F38" s="1035"/>
      <c r="G38" s="418">
        <f t="shared" si="0"/>
        <v>850850</v>
      </c>
      <c r="H38" s="419">
        <f t="shared" si="1"/>
        <v>850850</v>
      </c>
      <c r="I38" s="419"/>
      <c r="J38" s="419">
        <v>850850</v>
      </c>
      <c r="K38" s="419"/>
      <c r="L38" s="419"/>
      <c r="M38" s="419"/>
    </row>
    <row r="39" spans="1:13" s="420" customFormat="1" ht="18" customHeight="1">
      <c r="A39" s="1036"/>
      <c r="B39" s="1037"/>
      <c r="C39" s="1038"/>
      <c r="D39" s="1039"/>
      <c r="E39" s="1034" t="s">
        <v>986</v>
      </c>
      <c r="F39" s="1035"/>
      <c r="G39" s="421">
        <f t="shared" si="0"/>
        <v>69864</v>
      </c>
      <c r="H39" s="422">
        <f t="shared" si="1"/>
        <v>69864</v>
      </c>
      <c r="I39" s="422"/>
      <c r="J39" s="422">
        <v>69864</v>
      </c>
      <c r="K39" s="422"/>
      <c r="L39" s="422"/>
      <c r="M39" s="422"/>
    </row>
    <row r="40" spans="1:13" s="389" customFormat="1" ht="18" customHeight="1">
      <c r="A40" s="1024"/>
      <c r="B40" s="1025"/>
      <c r="C40" s="1024"/>
      <c r="D40" s="1025"/>
      <c r="E40" s="1026" t="s">
        <v>243</v>
      </c>
      <c r="F40" s="1027"/>
      <c r="G40" s="412">
        <f t="shared" si="0"/>
        <v>1183900</v>
      </c>
      <c r="H40" s="413">
        <f t="shared" si="1"/>
        <v>1183900</v>
      </c>
      <c r="I40" s="413">
        <f>I41</f>
        <v>0</v>
      </c>
      <c r="J40" s="413">
        <f>J41</f>
        <v>1183900</v>
      </c>
      <c r="K40" s="413">
        <f aca="true" t="shared" si="3" ref="K40:K49">L40+M40</f>
        <v>0</v>
      </c>
      <c r="L40" s="413">
        <f>L41</f>
        <v>0</v>
      </c>
      <c r="M40" s="413">
        <f>M41</f>
        <v>0</v>
      </c>
    </row>
    <row r="41" spans="1:13" s="377" customFormat="1" ht="18" customHeight="1">
      <c r="A41" s="1013" t="s">
        <v>49</v>
      </c>
      <c r="B41" s="1014"/>
      <c r="C41" s="995" t="s">
        <v>242</v>
      </c>
      <c r="D41" s="996"/>
      <c r="E41" s="985" t="s">
        <v>978</v>
      </c>
      <c r="F41" s="986"/>
      <c r="G41" s="423">
        <f t="shared" si="0"/>
        <v>1183900</v>
      </c>
      <c r="H41" s="424">
        <f t="shared" si="1"/>
        <v>1183900</v>
      </c>
      <c r="I41" s="424">
        <v>0</v>
      </c>
      <c r="J41" s="424">
        <v>1183900</v>
      </c>
      <c r="K41" s="424">
        <f t="shared" si="3"/>
        <v>0</v>
      </c>
      <c r="L41" s="424">
        <v>0</v>
      </c>
      <c r="M41" s="424">
        <v>0</v>
      </c>
    </row>
    <row r="42" spans="1:13" s="389" customFormat="1" ht="18" customHeight="1">
      <c r="A42" s="1024"/>
      <c r="B42" s="1025"/>
      <c r="C42" s="1024"/>
      <c r="D42" s="1025"/>
      <c r="E42" s="1026" t="s">
        <v>987</v>
      </c>
      <c r="F42" s="1027"/>
      <c r="G42" s="412">
        <f t="shared" si="0"/>
        <v>1087300</v>
      </c>
      <c r="H42" s="413">
        <f t="shared" si="1"/>
        <v>1087300</v>
      </c>
      <c r="I42" s="413">
        <f>I43</f>
        <v>0</v>
      </c>
      <c r="J42" s="413">
        <f>J43</f>
        <v>1087300</v>
      </c>
      <c r="K42" s="413">
        <f t="shared" si="3"/>
        <v>0</v>
      </c>
      <c r="L42" s="413">
        <f>L43</f>
        <v>0</v>
      </c>
      <c r="M42" s="413">
        <f>M43</f>
        <v>0</v>
      </c>
    </row>
    <row r="43" spans="1:13" s="377" customFormat="1" ht="18" customHeight="1">
      <c r="A43" s="1013" t="s">
        <v>49</v>
      </c>
      <c r="B43" s="1014"/>
      <c r="C43" s="995" t="s">
        <v>329</v>
      </c>
      <c r="D43" s="996"/>
      <c r="E43" s="985" t="s">
        <v>978</v>
      </c>
      <c r="F43" s="986"/>
      <c r="G43" s="423">
        <f t="shared" si="0"/>
        <v>1087300</v>
      </c>
      <c r="H43" s="424">
        <f t="shared" si="1"/>
        <v>1087300</v>
      </c>
      <c r="I43" s="424">
        <v>0</v>
      </c>
      <c r="J43" s="424">
        <v>1087300</v>
      </c>
      <c r="K43" s="424">
        <f t="shared" si="3"/>
        <v>0</v>
      </c>
      <c r="L43" s="424">
        <v>0</v>
      </c>
      <c r="M43" s="424">
        <v>0</v>
      </c>
    </row>
    <row r="44" spans="1:13" s="389" customFormat="1" ht="18" customHeight="1">
      <c r="A44" s="1024"/>
      <c r="B44" s="1025"/>
      <c r="C44" s="1024"/>
      <c r="D44" s="1025"/>
      <c r="E44" s="1026" t="s">
        <v>988</v>
      </c>
      <c r="F44" s="1027"/>
      <c r="G44" s="412">
        <f t="shared" si="0"/>
        <v>1367000</v>
      </c>
      <c r="H44" s="413">
        <f t="shared" si="1"/>
        <v>1367000</v>
      </c>
      <c r="I44" s="413">
        <f>I45</f>
        <v>0</v>
      </c>
      <c r="J44" s="413">
        <f>J45</f>
        <v>1367000</v>
      </c>
      <c r="K44" s="413">
        <f t="shared" si="3"/>
        <v>0</v>
      </c>
      <c r="L44" s="413">
        <f>L45</f>
        <v>0</v>
      </c>
      <c r="M44" s="413">
        <f>M45</f>
        <v>0</v>
      </c>
    </row>
    <row r="45" spans="1:13" s="377" customFormat="1" ht="18" customHeight="1">
      <c r="A45" s="1013" t="s">
        <v>49</v>
      </c>
      <c r="B45" s="1014"/>
      <c r="C45" s="995" t="s">
        <v>329</v>
      </c>
      <c r="D45" s="996"/>
      <c r="E45" s="985" t="s">
        <v>978</v>
      </c>
      <c r="F45" s="986"/>
      <c r="G45" s="423">
        <f t="shared" si="0"/>
        <v>1367000</v>
      </c>
      <c r="H45" s="424">
        <f t="shared" si="1"/>
        <v>1367000</v>
      </c>
      <c r="I45" s="424">
        <v>0</v>
      </c>
      <c r="J45" s="424">
        <v>1367000</v>
      </c>
      <c r="K45" s="424">
        <f t="shared" si="3"/>
        <v>0</v>
      </c>
      <c r="L45" s="424">
        <v>0</v>
      </c>
      <c r="M45" s="424">
        <v>0</v>
      </c>
    </row>
    <row r="46" spans="1:13" s="389" customFormat="1" ht="18" customHeight="1">
      <c r="A46" s="1028"/>
      <c r="B46" s="1029"/>
      <c r="C46" s="1024"/>
      <c r="D46" s="1025"/>
      <c r="E46" s="1026" t="s">
        <v>989</v>
      </c>
      <c r="F46" s="1027"/>
      <c r="G46" s="412">
        <f t="shared" si="0"/>
        <v>1299500</v>
      </c>
      <c r="H46" s="413">
        <f t="shared" si="1"/>
        <v>1299500</v>
      </c>
      <c r="I46" s="413">
        <f>I47</f>
        <v>0</v>
      </c>
      <c r="J46" s="413">
        <f>J47</f>
        <v>1299500</v>
      </c>
      <c r="K46" s="413">
        <f t="shared" si="3"/>
        <v>0</v>
      </c>
      <c r="L46" s="413">
        <f>L47</f>
        <v>0</v>
      </c>
      <c r="M46" s="413">
        <f>M47</f>
        <v>0</v>
      </c>
    </row>
    <row r="47" spans="1:13" s="377" customFormat="1" ht="18" customHeight="1">
      <c r="A47" s="1013" t="s">
        <v>49</v>
      </c>
      <c r="B47" s="1014"/>
      <c r="C47" s="995" t="s">
        <v>990</v>
      </c>
      <c r="D47" s="996"/>
      <c r="E47" s="985" t="s">
        <v>978</v>
      </c>
      <c r="F47" s="986"/>
      <c r="G47" s="415">
        <f t="shared" si="0"/>
        <v>1299500</v>
      </c>
      <c r="H47" s="416">
        <f t="shared" si="1"/>
        <v>1299500</v>
      </c>
      <c r="I47" s="416">
        <v>0</v>
      </c>
      <c r="J47" s="416">
        <v>1299500</v>
      </c>
      <c r="K47" s="416">
        <f t="shared" si="3"/>
        <v>0</v>
      </c>
      <c r="L47" s="416">
        <v>0</v>
      </c>
      <c r="M47" s="416">
        <v>0</v>
      </c>
    </row>
    <row r="48" spans="1:13" s="389" customFormat="1" ht="18" customHeight="1">
      <c r="A48" s="1028"/>
      <c r="B48" s="1029"/>
      <c r="C48" s="1024"/>
      <c r="D48" s="1025"/>
      <c r="E48" s="1026" t="s">
        <v>282</v>
      </c>
      <c r="F48" s="1027"/>
      <c r="G48" s="412">
        <f t="shared" si="0"/>
        <v>11510000</v>
      </c>
      <c r="H48" s="413">
        <f t="shared" si="1"/>
        <v>11510000</v>
      </c>
      <c r="I48" s="413">
        <f>I49</f>
        <v>0</v>
      </c>
      <c r="J48" s="413">
        <f>J49</f>
        <v>11510000</v>
      </c>
      <c r="K48" s="413">
        <f t="shared" si="3"/>
        <v>0</v>
      </c>
      <c r="L48" s="413">
        <f>L49</f>
        <v>0</v>
      </c>
      <c r="M48" s="413">
        <f>M49</f>
        <v>0</v>
      </c>
    </row>
    <row r="49" spans="1:13" s="377" customFormat="1" ht="18" customHeight="1">
      <c r="A49" s="981" t="s">
        <v>49</v>
      </c>
      <c r="B49" s="982"/>
      <c r="C49" s="983" t="s">
        <v>283</v>
      </c>
      <c r="D49" s="984"/>
      <c r="E49" s="985" t="s">
        <v>984</v>
      </c>
      <c r="F49" s="986"/>
      <c r="G49" s="415">
        <f t="shared" si="0"/>
        <v>11510000</v>
      </c>
      <c r="H49" s="416">
        <f t="shared" si="1"/>
        <v>11510000</v>
      </c>
      <c r="I49" s="416">
        <f>I50+I51</f>
        <v>0</v>
      </c>
      <c r="J49" s="416">
        <f>J50+J51</f>
        <v>11510000</v>
      </c>
      <c r="K49" s="416">
        <f t="shared" si="3"/>
        <v>0</v>
      </c>
      <c r="L49" s="416">
        <f>L50+L51</f>
        <v>0</v>
      </c>
      <c r="M49" s="416">
        <f>M50+M51</f>
        <v>0</v>
      </c>
    </row>
    <row r="50" spans="1:13" s="420" customFormat="1" ht="18" customHeight="1">
      <c r="A50" s="1030"/>
      <c r="B50" s="1031"/>
      <c r="C50" s="1032"/>
      <c r="D50" s="1033"/>
      <c r="E50" s="1034" t="s">
        <v>985</v>
      </c>
      <c r="F50" s="1035"/>
      <c r="G50" s="418">
        <f t="shared" si="0"/>
        <v>9310000</v>
      </c>
      <c r="H50" s="419">
        <f t="shared" si="1"/>
        <v>9310000</v>
      </c>
      <c r="I50" s="419"/>
      <c r="J50" s="419">
        <v>9310000</v>
      </c>
      <c r="K50" s="419"/>
      <c r="L50" s="419"/>
      <c r="M50" s="419"/>
    </row>
    <row r="51" spans="1:13" s="420" customFormat="1" ht="18" customHeight="1">
      <c r="A51" s="1030"/>
      <c r="B51" s="1031"/>
      <c r="C51" s="1032"/>
      <c r="D51" s="1033"/>
      <c r="E51" s="1034" t="s">
        <v>991</v>
      </c>
      <c r="F51" s="1035"/>
      <c r="G51" s="418">
        <f t="shared" si="0"/>
        <v>2200000</v>
      </c>
      <c r="H51" s="419">
        <f t="shared" si="1"/>
        <v>2200000</v>
      </c>
      <c r="I51" s="419"/>
      <c r="J51" s="419">
        <v>2200000</v>
      </c>
      <c r="K51" s="419"/>
      <c r="L51" s="419"/>
      <c r="M51" s="419"/>
    </row>
    <row r="52" spans="1:13" s="389" customFormat="1" ht="18" customHeight="1">
      <c r="A52" s="1028"/>
      <c r="B52" s="1029"/>
      <c r="C52" s="1024"/>
      <c r="D52" s="1025"/>
      <c r="E52" s="1026" t="s">
        <v>347</v>
      </c>
      <c r="F52" s="1027"/>
      <c r="G52" s="412">
        <f t="shared" si="0"/>
        <v>9717300</v>
      </c>
      <c r="H52" s="413">
        <f t="shared" si="1"/>
        <v>9717300</v>
      </c>
      <c r="I52" s="413">
        <f>I53</f>
        <v>0</v>
      </c>
      <c r="J52" s="413">
        <f>J53</f>
        <v>9717300</v>
      </c>
      <c r="K52" s="413">
        <f>L52+M52</f>
        <v>0</v>
      </c>
      <c r="L52" s="413">
        <f>L53</f>
        <v>0</v>
      </c>
      <c r="M52" s="413">
        <f>M53</f>
        <v>0</v>
      </c>
    </row>
    <row r="53" spans="1:13" s="377" customFormat="1" ht="18" customHeight="1">
      <c r="A53" s="981" t="s">
        <v>49</v>
      </c>
      <c r="B53" s="982"/>
      <c r="C53" s="983" t="s">
        <v>283</v>
      </c>
      <c r="D53" s="984"/>
      <c r="E53" s="985" t="s">
        <v>984</v>
      </c>
      <c r="F53" s="986"/>
      <c r="G53" s="415">
        <f t="shared" si="0"/>
        <v>9717300</v>
      </c>
      <c r="H53" s="416">
        <f t="shared" si="1"/>
        <v>9717300</v>
      </c>
      <c r="I53" s="416">
        <f>I54+I55</f>
        <v>0</v>
      </c>
      <c r="J53" s="416">
        <f>J54+J55</f>
        <v>9717300</v>
      </c>
      <c r="K53" s="416">
        <f>L53+M53</f>
        <v>0</v>
      </c>
      <c r="L53" s="416">
        <f>L54+L55</f>
        <v>0</v>
      </c>
      <c r="M53" s="416">
        <f>M54+M55</f>
        <v>0</v>
      </c>
    </row>
    <row r="54" spans="1:13" s="420" customFormat="1" ht="18" customHeight="1">
      <c r="A54" s="1030"/>
      <c r="B54" s="1031"/>
      <c r="C54" s="1032"/>
      <c r="D54" s="1033"/>
      <c r="E54" s="1034" t="s">
        <v>985</v>
      </c>
      <c r="F54" s="1035"/>
      <c r="G54" s="418">
        <f t="shared" si="0"/>
        <v>8517300</v>
      </c>
      <c r="H54" s="419">
        <f t="shared" si="1"/>
        <v>8517300</v>
      </c>
      <c r="I54" s="419"/>
      <c r="J54" s="419">
        <v>8517300</v>
      </c>
      <c r="K54" s="419"/>
      <c r="L54" s="419"/>
      <c r="M54" s="419"/>
    </row>
    <row r="55" spans="1:13" s="420" customFormat="1" ht="18" customHeight="1">
      <c r="A55" s="1030"/>
      <c r="B55" s="1031"/>
      <c r="C55" s="1032"/>
      <c r="D55" s="1033"/>
      <c r="E55" s="1034" t="s">
        <v>992</v>
      </c>
      <c r="F55" s="1035"/>
      <c r="G55" s="418">
        <f t="shared" si="0"/>
        <v>1200000</v>
      </c>
      <c r="H55" s="419">
        <f t="shared" si="1"/>
        <v>1200000</v>
      </c>
      <c r="I55" s="419"/>
      <c r="J55" s="419">
        <v>1200000</v>
      </c>
      <c r="K55" s="419"/>
      <c r="L55" s="419"/>
      <c r="M55" s="419"/>
    </row>
    <row r="56" spans="1:13" s="389" customFormat="1" ht="18" customHeight="1">
      <c r="A56" s="1028"/>
      <c r="B56" s="1029"/>
      <c r="C56" s="1024"/>
      <c r="D56" s="1025"/>
      <c r="E56" s="1026" t="s">
        <v>284</v>
      </c>
      <c r="F56" s="1027"/>
      <c r="G56" s="412">
        <f t="shared" si="0"/>
        <v>6491950</v>
      </c>
      <c r="H56" s="413">
        <f t="shared" si="1"/>
        <v>6491950</v>
      </c>
      <c r="I56" s="413">
        <f>I57+I58</f>
        <v>0</v>
      </c>
      <c r="J56" s="413">
        <f>J57+J58</f>
        <v>6491950</v>
      </c>
      <c r="K56" s="413">
        <f aca="true" t="shared" si="4" ref="K56:K63">L56+M56</f>
        <v>0</v>
      </c>
      <c r="L56" s="413">
        <f>L57+L58</f>
        <v>0</v>
      </c>
      <c r="M56" s="413">
        <f>M57+M58</f>
        <v>0</v>
      </c>
    </row>
    <row r="57" spans="1:13" s="377" customFormat="1" ht="18" customHeight="1">
      <c r="A57" s="981" t="s">
        <v>49</v>
      </c>
      <c r="B57" s="982"/>
      <c r="C57" s="983" t="s">
        <v>244</v>
      </c>
      <c r="D57" s="984"/>
      <c r="E57" s="985" t="s">
        <v>978</v>
      </c>
      <c r="F57" s="986"/>
      <c r="G57" s="415">
        <f t="shared" si="0"/>
        <v>6371950</v>
      </c>
      <c r="H57" s="416">
        <f t="shared" si="1"/>
        <v>6371950</v>
      </c>
      <c r="I57" s="416">
        <v>0</v>
      </c>
      <c r="J57" s="416">
        <v>6371950</v>
      </c>
      <c r="K57" s="416">
        <f t="shared" si="4"/>
        <v>0</v>
      </c>
      <c r="L57" s="416">
        <v>0</v>
      </c>
      <c r="M57" s="416">
        <v>0</v>
      </c>
    </row>
    <row r="58" spans="1:13" s="377" customFormat="1" ht="18" customHeight="1">
      <c r="A58" s="987"/>
      <c r="B58" s="988"/>
      <c r="C58" s="989"/>
      <c r="D58" s="990"/>
      <c r="E58" s="985" t="s">
        <v>993</v>
      </c>
      <c r="F58" s="986"/>
      <c r="G58" s="423">
        <f>H58+K58</f>
        <v>120000</v>
      </c>
      <c r="H58" s="424">
        <f>I58+J58</f>
        <v>120000</v>
      </c>
      <c r="I58" s="424">
        <v>0</v>
      </c>
      <c r="J58" s="424">
        <v>120000</v>
      </c>
      <c r="K58" s="424">
        <f>L58+M58</f>
        <v>0</v>
      </c>
      <c r="L58" s="424">
        <v>0</v>
      </c>
      <c r="M58" s="424">
        <v>0</v>
      </c>
    </row>
    <row r="59" spans="1:13" s="389" customFormat="1" ht="18" customHeight="1">
      <c r="A59" s="1028"/>
      <c r="B59" s="1029"/>
      <c r="C59" s="1024"/>
      <c r="D59" s="1025"/>
      <c r="E59" s="1026" t="s">
        <v>245</v>
      </c>
      <c r="F59" s="1027"/>
      <c r="G59" s="412">
        <f t="shared" si="0"/>
        <v>5380000</v>
      </c>
      <c r="H59" s="413">
        <f t="shared" si="1"/>
        <v>5380000</v>
      </c>
      <c r="I59" s="413">
        <f>I60+I61</f>
        <v>0</v>
      </c>
      <c r="J59" s="413">
        <f>J60+J61</f>
        <v>5380000</v>
      </c>
      <c r="K59" s="413">
        <f t="shared" si="4"/>
        <v>0</v>
      </c>
      <c r="L59" s="413">
        <f>L60+L61</f>
        <v>0</v>
      </c>
      <c r="M59" s="413">
        <f>M60+M61</f>
        <v>0</v>
      </c>
    </row>
    <row r="60" spans="1:13" s="377" customFormat="1" ht="18" customHeight="1">
      <c r="A60" s="981" t="s">
        <v>49</v>
      </c>
      <c r="B60" s="982"/>
      <c r="C60" s="983" t="s">
        <v>244</v>
      </c>
      <c r="D60" s="984"/>
      <c r="E60" s="985" t="s">
        <v>978</v>
      </c>
      <c r="F60" s="986"/>
      <c r="G60" s="415">
        <f t="shared" si="0"/>
        <v>4980000</v>
      </c>
      <c r="H60" s="416">
        <f t="shared" si="1"/>
        <v>4980000</v>
      </c>
      <c r="I60" s="416">
        <v>0</v>
      </c>
      <c r="J60" s="416">
        <v>4980000</v>
      </c>
      <c r="K60" s="416">
        <f t="shared" si="4"/>
        <v>0</v>
      </c>
      <c r="L60" s="416">
        <v>0</v>
      </c>
      <c r="M60" s="416">
        <v>0</v>
      </c>
    </row>
    <row r="61" spans="1:13" s="417" customFormat="1" ht="30" customHeight="1">
      <c r="A61" s="993"/>
      <c r="B61" s="994"/>
      <c r="C61" s="974"/>
      <c r="D61" s="975"/>
      <c r="E61" s="976" t="s">
        <v>994</v>
      </c>
      <c r="F61" s="977"/>
      <c r="G61" s="400">
        <f>H61+K61</f>
        <v>400000</v>
      </c>
      <c r="H61" s="401">
        <f>I61+J61</f>
        <v>400000</v>
      </c>
      <c r="I61" s="401">
        <v>0</v>
      </c>
      <c r="J61" s="401">
        <v>400000</v>
      </c>
      <c r="K61" s="401">
        <f>L61+M61</f>
        <v>0</v>
      </c>
      <c r="L61" s="401">
        <v>0</v>
      </c>
      <c r="M61" s="401">
        <v>0</v>
      </c>
    </row>
    <row r="62" spans="1:13" s="389" customFormat="1" ht="18" customHeight="1">
      <c r="A62" s="1024"/>
      <c r="B62" s="1025"/>
      <c r="C62" s="1024"/>
      <c r="D62" s="1025"/>
      <c r="E62" s="1026" t="s">
        <v>338</v>
      </c>
      <c r="F62" s="1027"/>
      <c r="G62" s="412">
        <f t="shared" si="0"/>
        <v>2600000</v>
      </c>
      <c r="H62" s="413">
        <f t="shared" si="1"/>
        <v>2600000</v>
      </c>
      <c r="I62" s="413">
        <f>I63</f>
        <v>0</v>
      </c>
      <c r="J62" s="413">
        <f>J63</f>
        <v>2600000</v>
      </c>
      <c r="K62" s="413">
        <f t="shared" si="4"/>
        <v>0</v>
      </c>
      <c r="L62" s="413">
        <f>L63</f>
        <v>0</v>
      </c>
      <c r="M62" s="413">
        <f>M63</f>
        <v>0</v>
      </c>
    </row>
    <row r="63" spans="1:13" s="377" customFormat="1" ht="18" customHeight="1">
      <c r="A63" s="1013" t="s">
        <v>49</v>
      </c>
      <c r="B63" s="1014"/>
      <c r="C63" s="995" t="s">
        <v>244</v>
      </c>
      <c r="D63" s="996"/>
      <c r="E63" s="985" t="s">
        <v>978</v>
      </c>
      <c r="F63" s="986"/>
      <c r="G63" s="415">
        <f t="shared" si="0"/>
        <v>2600000</v>
      </c>
      <c r="H63" s="416">
        <f t="shared" si="1"/>
        <v>2600000</v>
      </c>
      <c r="I63" s="416">
        <v>0</v>
      </c>
      <c r="J63" s="416">
        <v>2600000</v>
      </c>
      <c r="K63" s="416">
        <f t="shared" si="4"/>
        <v>0</v>
      </c>
      <c r="L63" s="416">
        <v>0</v>
      </c>
      <c r="M63" s="416">
        <v>0</v>
      </c>
    </row>
    <row r="64" spans="1:13" s="398" customFormat="1" ht="5.25" customHeight="1">
      <c r="A64" s="607"/>
      <c r="B64" s="608"/>
      <c r="C64" s="608"/>
      <c r="D64" s="608"/>
      <c r="E64" s="609"/>
      <c r="F64" s="610"/>
      <c r="G64" s="611"/>
      <c r="H64" s="612"/>
      <c r="I64" s="612"/>
      <c r="J64" s="612"/>
      <c r="K64" s="612"/>
      <c r="L64" s="612"/>
      <c r="M64" s="613"/>
    </row>
    <row r="65" spans="1:13" s="399" customFormat="1" ht="18" customHeight="1">
      <c r="A65" s="1022" t="s">
        <v>995</v>
      </c>
      <c r="B65" s="1023"/>
      <c r="C65" s="1023"/>
      <c r="D65" s="1023"/>
      <c r="E65" s="1023"/>
      <c r="F65" s="1023"/>
      <c r="G65" s="615">
        <f>H65+K65</f>
        <v>247449179</v>
      </c>
      <c r="H65" s="615">
        <f>I65+J65</f>
        <v>161781212</v>
      </c>
      <c r="I65" s="615">
        <f>I67+I110+I115+I119</f>
        <v>133934998</v>
      </c>
      <c r="J65" s="615">
        <f>J67+J110+J115+J119</f>
        <v>27846214</v>
      </c>
      <c r="K65" s="615">
        <f>L65+M65</f>
        <v>85667967</v>
      </c>
      <c r="L65" s="615">
        <f>L67+L110+L115+L119</f>
        <v>3150572</v>
      </c>
      <c r="M65" s="615">
        <f>M67+M110+M115+M119</f>
        <v>82517395</v>
      </c>
    </row>
    <row r="66" spans="1:13" s="398" customFormat="1" ht="5.25" customHeight="1">
      <c r="A66" s="599"/>
      <c r="B66" s="600"/>
      <c r="C66" s="600"/>
      <c r="D66" s="600"/>
      <c r="E66" s="601"/>
      <c r="F66" s="601"/>
      <c r="G66" s="602"/>
      <c r="H66" s="603"/>
      <c r="I66" s="603"/>
      <c r="J66" s="603"/>
      <c r="K66" s="603"/>
      <c r="L66" s="603"/>
      <c r="M66" s="604"/>
    </row>
    <row r="67" spans="1:13" s="427" customFormat="1" ht="18" customHeight="1">
      <c r="A67" s="1019" t="s">
        <v>996</v>
      </c>
      <c r="B67" s="1020"/>
      <c r="C67" s="1020"/>
      <c r="D67" s="1020"/>
      <c r="E67" s="1020"/>
      <c r="F67" s="1021"/>
      <c r="G67" s="425">
        <f>H67+K67</f>
        <v>147234854</v>
      </c>
      <c r="H67" s="426">
        <f>I67+J67</f>
        <v>114054609</v>
      </c>
      <c r="I67" s="426">
        <f>I69+I70+I71+I72+I73+I74+I75+I76+I77+I78+I79+I80+I81+I82+I83+I84+I85+I87+I86+I88+I89+I90+I91+I92+I93+I94+I95+I96+I97+I98+I99+I100+I101+I102+I103+I104+I105+I106+I107+I108</f>
        <v>97998310</v>
      </c>
      <c r="J67" s="426">
        <f>J69+J70+J71+J72+J73+J74+J75+J76+J77+J78+J79+J80+J81+J82+J83+J84+J85+J87+J86+J88+J89+J90+J91+J92+J93+J94+J95+J96+J97+J98+J99+J100+J101+J102+J103+J104+J105+J106+J107+J108</f>
        <v>16056299</v>
      </c>
      <c r="K67" s="426">
        <f>L67+M67</f>
        <v>33180245</v>
      </c>
      <c r="L67" s="426">
        <f>L69+L70+L71+L72+L73+L74+L75+L76+L77+L78+L79+L80+L81+L82+L83+L84+L85+L87+L86+L88+L89+L90+L91+L92+L93+L94+L95+L96+L97+L98+L99+L100+L101+L102+L103+L104+L105+L106+L107+L108</f>
        <v>3100572</v>
      </c>
      <c r="M67" s="426">
        <f>M69+M70+M71+M72+M73+M74+M75+M76+M77+M78+M79+M80+M81+M82+M83+M84+M85+M87+M86+M88+M89+M90+M91+M92+M93+M94+M95+M96+M97+M98+M99+M100+M101+M102+M103+M104+M105+M106+M107+M108</f>
        <v>30079673</v>
      </c>
    </row>
    <row r="68" spans="1:13" s="411" customFormat="1" ht="5.25" customHeight="1">
      <c r="A68" s="428"/>
      <c r="B68" s="429"/>
      <c r="C68" s="407"/>
      <c r="D68" s="407"/>
      <c r="E68" s="407"/>
      <c r="F68" s="407"/>
      <c r="G68" s="408"/>
      <c r="H68" s="409"/>
      <c r="I68" s="409"/>
      <c r="J68" s="409"/>
      <c r="K68" s="409"/>
      <c r="L68" s="409"/>
      <c r="M68" s="410"/>
    </row>
    <row r="69" spans="1:13" s="377" customFormat="1" ht="18" customHeight="1">
      <c r="A69" s="981" t="s">
        <v>91</v>
      </c>
      <c r="B69" s="982"/>
      <c r="C69" s="989" t="s">
        <v>129</v>
      </c>
      <c r="D69" s="990"/>
      <c r="E69" s="430" t="s">
        <v>858</v>
      </c>
      <c r="F69" s="431" t="s">
        <v>860</v>
      </c>
      <c r="G69" s="423">
        <f aca="true" t="shared" si="5" ref="G69:G108">H69+K69</f>
        <v>2350000</v>
      </c>
      <c r="H69" s="424">
        <f aca="true" t="shared" si="6" ref="H69:H108">I69+J69</f>
        <v>0</v>
      </c>
      <c r="I69" s="424">
        <v>0</v>
      </c>
      <c r="J69" s="424">
        <v>0</v>
      </c>
      <c r="K69" s="424">
        <f aca="true" t="shared" si="7" ref="K69:K108">L69+M69</f>
        <v>2350000</v>
      </c>
      <c r="L69" s="424">
        <v>0</v>
      </c>
      <c r="M69" s="424">
        <v>2350000</v>
      </c>
    </row>
    <row r="70" spans="1:13" s="377" customFormat="1" ht="18" customHeight="1">
      <c r="A70" s="987"/>
      <c r="B70" s="988"/>
      <c r="C70" s="989"/>
      <c r="D70" s="990"/>
      <c r="E70" s="432" t="s">
        <v>821</v>
      </c>
      <c r="F70" s="431" t="s">
        <v>888</v>
      </c>
      <c r="G70" s="415">
        <f t="shared" si="5"/>
        <v>345000</v>
      </c>
      <c r="H70" s="416">
        <f t="shared" si="6"/>
        <v>0</v>
      </c>
      <c r="I70" s="416">
        <v>0</v>
      </c>
      <c r="J70" s="416">
        <v>0</v>
      </c>
      <c r="K70" s="416">
        <f t="shared" si="7"/>
        <v>345000</v>
      </c>
      <c r="L70" s="416">
        <v>0</v>
      </c>
      <c r="M70" s="416">
        <v>345000</v>
      </c>
    </row>
    <row r="71" spans="1:13" s="417" customFormat="1" ht="30" customHeight="1">
      <c r="A71" s="993"/>
      <c r="B71" s="994"/>
      <c r="C71" s="974"/>
      <c r="D71" s="975"/>
      <c r="E71" s="433"/>
      <c r="F71" s="434" t="s">
        <v>997</v>
      </c>
      <c r="G71" s="400">
        <f t="shared" si="5"/>
        <v>8342031</v>
      </c>
      <c r="H71" s="401">
        <f t="shared" si="6"/>
        <v>0</v>
      </c>
      <c r="I71" s="401">
        <v>0</v>
      </c>
      <c r="J71" s="401">
        <v>0</v>
      </c>
      <c r="K71" s="401">
        <f t="shared" si="7"/>
        <v>8342031</v>
      </c>
      <c r="L71" s="401">
        <v>0</v>
      </c>
      <c r="M71" s="401">
        <v>8342031</v>
      </c>
    </row>
    <row r="72" spans="1:13" s="377" customFormat="1" ht="18" customHeight="1">
      <c r="A72" s="1013"/>
      <c r="B72" s="1014"/>
      <c r="C72" s="995"/>
      <c r="D72" s="996"/>
      <c r="E72" s="430" t="s">
        <v>890</v>
      </c>
      <c r="F72" s="431" t="s">
        <v>891</v>
      </c>
      <c r="G72" s="423">
        <f t="shared" si="5"/>
        <v>613000</v>
      </c>
      <c r="H72" s="424">
        <f t="shared" si="6"/>
        <v>425000</v>
      </c>
      <c r="I72" s="424">
        <v>0</v>
      </c>
      <c r="J72" s="424">
        <f>250000+175000</f>
        <v>425000</v>
      </c>
      <c r="K72" s="424">
        <f t="shared" si="7"/>
        <v>188000</v>
      </c>
      <c r="L72" s="424">
        <v>0</v>
      </c>
      <c r="M72" s="424">
        <v>188000</v>
      </c>
    </row>
    <row r="73" spans="1:13" s="417" customFormat="1" ht="40.5" customHeight="1">
      <c r="A73" s="1001" t="s">
        <v>27</v>
      </c>
      <c r="B73" s="1002"/>
      <c r="C73" s="999" t="s">
        <v>139</v>
      </c>
      <c r="D73" s="1000"/>
      <c r="E73" s="435" t="s">
        <v>714</v>
      </c>
      <c r="F73" s="434" t="s">
        <v>715</v>
      </c>
      <c r="G73" s="400">
        <f t="shared" si="5"/>
        <v>873543</v>
      </c>
      <c r="H73" s="401">
        <f t="shared" si="6"/>
        <v>873543</v>
      </c>
      <c r="I73" s="401">
        <v>873543</v>
      </c>
      <c r="J73" s="401">
        <v>0</v>
      </c>
      <c r="K73" s="401">
        <f t="shared" si="7"/>
        <v>0</v>
      </c>
      <c r="L73" s="401">
        <v>0</v>
      </c>
      <c r="M73" s="401">
        <v>0</v>
      </c>
    </row>
    <row r="74" spans="1:13" s="417" customFormat="1" ht="53.25" customHeight="1">
      <c r="A74" s="972"/>
      <c r="B74" s="973"/>
      <c r="C74" s="991"/>
      <c r="D74" s="992"/>
      <c r="E74" s="436"/>
      <c r="F74" s="434" t="s">
        <v>998</v>
      </c>
      <c r="G74" s="400">
        <f t="shared" si="5"/>
        <v>1126265</v>
      </c>
      <c r="H74" s="401">
        <f t="shared" si="6"/>
        <v>1126265</v>
      </c>
      <c r="I74" s="401">
        <v>1126265</v>
      </c>
      <c r="J74" s="401">
        <v>0</v>
      </c>
      <c r="K74" s="401">
        <f t="shared" si="7"/>
        <v>0</v>
      </c>
      <c r="L74" s="401">
        <v>0</v>
      </c>
      <c r="M74" s="401">
        <v>0</v>
      </c>
    </row>
    <row r="75" spans="1:13" s="377" customFormat="1" ht="18" customHeight="1">
      <c r="A75" s="981" t="s">
        <v>33</v>
      </c>
      <c r="B75" s="982"/>
      <c r="C75" s="983" t="s">
        <v>153</v>
      </c>
      <c r="D75" s="984"/>
      <c r="E75" s="432" t="s">
        <v>607</v>
      </c>
      <c r="F75" s="431" t="s">
        <v>694</v>
      </c>
      <c r="G75" s="423">
        <f t="shared" si="5"/>
        <v>42670636</v>
      </c>
      <c r="H75" s="424">
        <f t="shared" si="6"/>
        <v>42670636</v>
      </c>
      <c r="I75" s="424">
        <f>86628+42584008</f>
        <v>42670636</v>
      </c>
      <c r="J75" s="424"/>
      <c r="K75" s="424">
        <f t="shared" si="7"/>
        <v>0</v>
      </c>
      <c r="L75" s="424">
        <v>0</v>
      </c>
      <c r="M75" s="424">
        <v>0</v>
      </c>
    </row>
    <row r="76" spans="1:13" s="417" customFormat="1" ht="30" customHeight="1">
      <c r="A76" s="972"/>
      <c r="B76" s="973"/>
      <c r="C76" s="991"/>
      <c r="D76" s="992"/>
      <c r="E76" s="436"/>
      <c r="F76" s="434" t="s">
        <v>696</v>
      </c>
      <c r="G76" s="400">
        <f t="shared" si="5"/>
        <v>10000000</v>
      </c>
      <c r="H76" s="401">
        <f t="shared" si="6"/>
        <v>10000000</v>
      </c>
      <c r="I76" s="401">
        <v>10000000</v>
      </c>
      <c r="J76" s="401">
        <v>0</v>
      </c>
      <c r="K76" s="401">
        <f t="shared" si="7"/>
        <v>0</v>
      </c>
      <c r="L76" s="401">
        <v>0</v>
      </c>
      <c r="M76" s="401">
        <v>0</v>
      </c>
    </row>
    <row r="77" spans="1:13" s="417" customFormat="1" ht="30" customHeight="1">
      <c r="A77" s="972"/>
      <c r="B77" s="973"/>
      <c r="C77" s="991"/>
      <c r="D77" s="992"/>
      <c r="E77" s="433"/>
      <c r="F77" s="434" t="s">
        <v>697</v>
      </c>
      <c r="G77" s="400">
        <f t="shared" si="5"/>
        <v>8500000</v>
      </c>
      <c r="H77" s="401">
        <f t="shared" si="6"/>
        <v>8500000</v>
      </c>
      <c r="I77" s="401">
        <v>8500000</v>
      </c>
      <c r="J77" s="401">
        <v>0</v>
      </c>
      <c r="K77" s="401">
        <f t="shared" si="7"/>
        <v>0</v>
      </c>
      <c r="L77" s="401">
        <v>0</v>
      </c>
      <c r="M77" s="401">
        <v>0</v>
      </c>
    </row>
    <row r="78" spans="1:13" s="377" customFormat="1" ht="18" customHeight="1">
      <c r="A78" s="1009"/>
      <c r="B78" s="1010"/>
      <c r="C78" s="1011"/>
      <c r="D78" s="1012"/>
      <c r="E78" s="430" t="s">
        <v>613</v>
      </c>
      <c r="F78" s="431" t="s">
        <v>700</v>
      </c>
      <c r="G78" s="423">
        <f t="shared" si="5"/>
        <v>10427914</v>
      </c>
      <c r="H78" s="424">
        <f t="shared" si="6"/>
        <v>10269205</v>
      </c>
      <c r="I78" s="424">
        <f>10201205+68000</f>
        <v>10269205</v>
      </c>
      <c r="J78" s="424">
        <v>0</v>
      </c>
      <c r="K78" s="424">
        <f t="shared" si="7"/>
        <v>158709</v>
      </c>
      <c r="L78" s="424">
        <v>158709</v>
      </c>
      <c r="M78" s="424">
        <v>0</v>
      </c>
    </row>
    <row r="79" spans="1:13" s="417" customFormat="1" ht="40.5" customHeight="1">
      <c r="A79" s="1001" t="s">
        <v>35</v>
      </c>
      <c r="B79" s="1002"/>
      <c r="C79" s="999" t="s">
        <v>159</v>
      </c>
      <c r="D79" s="1000"/>
      <c r="E79" s="435" t="s">
        <v>683</v>
      </c>
      <c r="F79" s="434" t="s">
        <v>685</v>
      </c>
      <c r="G79" s="400">
        <f t="shared" si="5"/>
        <v>82500</v>
      </c>
      <c r="H79" s="401">
        <f t="shared" si="6"/>
        <v>82500</v>
      </c>
      <c r="I79" s="401">
        <v>0</v>
      </c>
      <c r="J79" s="401">
        <v>82500</v>
      </c>
      <c r="K79" s="401">
        <f t="shared" si="7"/>
        <v>0</v>
      </c>
      <c r="L79" s="401">
        <v>0</v>
      </c>
      <c r="M79" s="401">
        <v>0</v>
      </c>
    </row>
    <row r="80" spans="1:13" s="377" customFormat="1" ht="18" customHeight="1">
      <c r="A80" s="987"/>
      <c r="B80" s="988"/>
      <c r="C80" s="989"/>
      <c r="D80" s="990"/>
      <c r="E80" s="437"/>
      <c r="F80" s="431" t="s">
        <v>689</v>
      </c>
      <c r="G80" s="423">
        <f t="shared" si="5"/>
        <v>4000</v>
      </c>
      <c r="H80" s="424">
        <f t="shared" si="6"/>
        <v>4000</v>
      </c>
      <c r="I80" s="424">
        <v>0</v>
      </c>
      <c r="J80" s="424">
        <v>4000</v>
      </c>
      <c r="K80" s="424">
        <f t="shared" si="7"/>
        <v>0</v>
      </c>
      <c r="L80" s="424">
        <v>0</v>
      </c>
      <c r="M80" s="424">
        <v>0</v>
      </c>
    </row>
    <row r="81" spans="1:13" s="417" customFormat="1" ht="30" customHeight="1">
      <c r="A81" s="972"/>
      <c r="B81" s="973"/>
      <c r="C81" s="974"/>
      <c r="D81" s="975"/>
      <c r="E81" s="433"/>
      <c r="F81" s="434" t="s">
        <v>692</v>
      </c>
      <c r="G81" s="400">
        <f t="shared" si="5"/>
        <v>4728306</v>
      </c>
      <c r="H81" s="401">
        <f t="shared" si="6"/>
        <v>0</v>
      </c>
      <c r="I81" s="401">
        <v>0</v>
      </c>
      <c r="J81" s="401">
        <v>0</v>
      </c>
      <c r="K81" s="401">
        <f t="shared" si="7"/>
        <v>4728306</v>
      </c>
      <c r="L81" s="401">
        <v>0</v>
      </c>
      <c r="M81" s="401">
        <v>4728306</v>
      </c>
    </row>
    <row r="82" spans="1:13" s="417" customFormat="1" ht="30" customHeight="1">
      <c r="A82" s="1001" t="s">
        <v>41</v>
      </c>
      <c r="B82" s="1002"/>
      <c r="C82" s="999" t="s">
        <v>188</v>
      </c>
      <c r="D82" s="1000"/>
      <c r="E82" s="435" t="s">
        <v>835</v>
      </c>
      <c r="F82" s="434" t="s">
        <v>837</v>
      </c>
      <c r="G82" s="438">
        <f t="shared" si="5"/>
        <v>923612</v>
      </c>
      <c r="H82" s="439">
        <f t="shared" si="6"/>
        <v>923612</v>
      </c>
      <c r="I82" s="439">
        <v>923612</v>
      </c>
      <c r="J82" s="439">
        <v>0</v>
      </c>
      <c r="K82" s="439">
        <f t="shared" si="7"/>
        <v>0</v>
      </c>
      <c r="L82" s="439">
        <v>0</v>
      </c>
      <c r="M82" s="439">
        <v>0</v>
      </c>
    </row>
    <row r="83" spans="1:13" s="377" customFormat="1" ht="18" customHeight="1">
      <c r="A83" s="987"/>
      <c r="B83" s="988"/>
      <c r="C83" s="989"/>
      <c r="D83" s="990"/>
      <c r="E83" s="432" t="s">
        <v>880</v>
      </c>
      <c r="F83" s="431" t="s">
        <v>881</v>
      </c>
      <c r="G83" s="415">
        <f t="shared" si="5"/>
        <v>555500</v>
      </c>
      <c r="H83" s="416">
        <f t="shared" si="6"/>
        <v>544500</v>
      </c>
      <c r="I83" s="416">
        <f>15000+15000</f>
        <v>30000</v>
      </c>
      <c r="J83" s="416">
        <f>285000+229500</f>
        <v>514500</v>
      </c>
      <c r="K83" s="416">
        <f t="shared" si="7"/>
        <v>11000</v>
      </c>
      <c r="L83" s="416">
        <v>0</v>
      </c>
      <c r="M83" s="416">
        <v>11000</v>
      </c>
    </row>
    <row r="84" spans="1:13" s="377" customFormat="1" ht="18" customHeight="1">
      <c r="A84" s="987"/>
      <c r="B84" s="988"/>
      <c r="C84" s="989"/>
      <c r="D84" s="990"/>
      <c r="E84" s="432" t="s">
        <v>883</v>
      </c>
      <c r="F84" s="431" t="s">
        <v>884</v>
      </c>
      <c r="G84" s="415">
        <f t="shared" si="5"/>
        <v>220000</v>
      </c>
      <c r="H84" s="416">
        <f t="shared" si="6"/>
        <v>220000</v>
      </c>
      <c r="I84" s="416">
        <f>5000+15000</f>
        <v>20000</v>
      </c>
      <c r="J84" s="416">
        <f>70000+130000</f>
        <v>200000</v>
      </c>
      <c r="K84" s="416">
        <f t="shared" si="7"/>
        <v>0</v>
      </c>
      <c r="L84" s="416">
        <v>0</v>
      </c>
      <c r="M84" s="416">
        <v>0</v>
      </c>
    </row>
    <row r="85" spans="1:13" s="377" customFormat="1" ht="18" customHeight="1">
      <c r="A85" s="987"/>
      <c r="B85" s="988"/>
      <c r="C85" s="989"/>
      <c r="D85" s="990"/>
      <c r="E85" s="432" t="s">
        <v>810</v>
      </c>
      <c r="F85" s="431" t="s">
        <v>811</v>
      </c>
      <c r="G85" s="415">
        <f t="shared" si="5"/>
        <v>378735</v>
      </c>
      <c r="H85" s="416">
        <f t="shared" si="6"/>
        <v>378735</v>
      </c>
      <c r="I85" s="416">
        <v>0</v>
      </c>
      <c r="J85" s="416">
        <v>378735</v>
      </c>
      <c r="K85" s="416">
        <f t="shared" si="7"/>
        <v>0</v>
      </c>
      <c r="L85" s="416">
        <v>0</v>
      </c>
      <c r="M85" s="416">
        <v>0</v>
      </c>
    </row>
    <row r="86" spans="1:13" s="377" customFormat="1" ht="18" customHeight="1">
      <c r="A86" s="987"/>
      <c r="B86" s="988"/>
      <c r="C86" s="989"/>
      <c r="D86" s="990"/>
      <c r="E86" s="437"/>
      <c r="F86" s="431" t="s">
        <v>813</v>
      </c>
      <c r="G86" s="415">
        <f t="shared" si="5"/>
        <v>313600</v>
      </c>
      <c r="H86" s="416">
        <f t="shared" si="6"/>
        <v>313600</v>
      </c>
      <c r="I86" s="416">
        <v>0</v>
      </c>
      <c r="J86" s="416">
        <v>313600</v>
      </c>
      <c r="K86" s="416">
        <f t="shared" si="7"/>
        <v>0</v>
      </c>
      <c r="L86" s="416">
        <v>0</v>
      </c>
      <c r="M86" s="416">
        <v>0</v>
      </c>
    </row>
    <row r="87" spans="1:13" s="377" customFormat="1" ht="18" customHeight="1">
      <c r="A87" s="987"/>
      <c r="B87" s="988"/>
      <c r="C87" s="989"/>
      <c r="D87" s="990"/>
      <c r="E87" s="440"/>
      <c r="F87" s="431" t="s">
        <v>885</v>
      </c>
      <c r="G87" s="415">
        <f>H87+K87</f>
        <v>914750</v>
      </c>
      <c r="H87" s="416">
        <f>I87+J87</f>
        <v>853750</v>
      </c>
      <c r="I87" s="416">
        <f>1500+20250</f>
        <v>21750</v>
      </c>
      <c r="J87" s="416">
        <f>147000+685000</f>
        <v>832000</v>
      </c>
      <c r="K87" s="416">
        <f>L87+M87</f>
        <v>61000</v>
      </c>
      <c r="L87" s="416">
        <v>1500</v>
      </c>
      <c r="M87" s="416">
        <v>59500</v>
      </c>
    </row>
    <row r="88" spans="1:13" s="377" customFormat="1" ht="18" customHeight="1">
      <c r="A88" s="987"/>
      <c r="B88" s="988"/>
      <c r="C88" s="989"/>
      <c r="D88" s="990"/>
      <c r="E88" s="432" t="s">
        <v>886</v>
      </c>
      <c r="F88" s="431" t="s">
        <v>887</v>
      </c>
      <c r="G88" s="415">
        <f t="shared" si="5"/>
        <v>3056750</v>
      </c>
      <c r="H88" s="416">
        <f t="shared" si="6"/>
        <v>2682000</v>
      </c>
      <c r="I88" s="416">
        <f>15000+72000</f>
        <v>87000</v>
      </c>
      <c r="J88" s="416">
        <f>235000+2360000</f>
        <v>2595000</v>
      </c>
      <c r="K88" s="416">
        <f t="shared" si="7"/>
        <v>374750</v>
      </c>
      <c r="L88" s="416">
        <v>13750</v>
      </c>
      <c r="M88" s="416">
        <v>361000</v>
      </c>
    </row>
    <row r="89" spans="1:13" s="377" customFormat="1" ht="18" customHeight="1">
      <c r="A89" s="981" t="s">
        <v>43</v>
      </c>
      <c r="B89" s="982"/>
      <c r="C89" s="995" t="s">
        <v>264</v>
      </c>
      <c r="D89" s="996"/>
      <c r="E89" s="430" t="s">
        <v>839</v>
      </c>
      <c r="F89" s="431" t="s">
        <v>841</v>
      </c>
      <c r="G89" s="415">
        <f t="shared" si="5"/>
        <v>10517057</v>
      </c>
      <c r="H89" s="416">
        <f t="shared" si="6"/>
        <v>7700444</v>
      </c>
      <c r="I89" s="416">
        <v>7700444</v>
      </c>
      <c r="J89" s="416">
        <v>0</v>
      </c>
      <c r="K89" s="416">
        <f t="shared" si="7"/>
        <v>2816613</v>
      </c>
      <c r="L89" s="416">
        <v>2816613</v>
      </c>
      <c r="M89" s="416">
        <v>0</v>
      </c>
    </row>
    <row r="90" spans="1:13" s="377" customFormat="1" ht="18" customHeight="1">
      <c r="A90" s="987"/>
      <c r="B90" s="988"/>
      <c r="C90" s="995" t="s">
        <v>999</v>
      </c>
      <c r="D90" s="996"/>
      <c r="E90" s="440" t="s">
        <v>866</v>
      </c>
      <c r="F90" s="431" t="s">
        <v>1000</v>
      </c>
      <c r="G90" s="415">
        <f t="shared" si="5"/>
        <v>1535000</v>
      </c>
      <c r="H90" s="416">
        <f t="shared" si="6"/>
        <v>740000</v>
      </c>
      <c r="I90" s="416">
        <v>15000</v>
      </c>
      <c r="J90" s="416">
        <v>725000</v>
      </c>
      <c r="K90" s="416">
        <f t="shared" si="7"/>
        <v>795000</v>
      </c>
      <c r="L90" s="416">
        <v>10000</v>
      </c>
      <c r="M90" s="416">
        <v>785000</v>
      </c>
    </row>
    <row r="91" spans="1:13" s="377" customFormat="1" ht="18" customHeight="1">
      <c r="A91" s="987"/>
      <c r="B91" s="988"/>
      <c r="C91" s="983" t="s">
        <v>285</v>
      </c>
      <c r="D91" s="984"/>
      <c r="E91" s="440" t="s">
        <v>784</v>
      </c>
      <c r="F91" s="431" t="s">
        <v>1001</v>
      </c>
      <c r="G91" s="415">
        <f t="shared" si="5"/>
        <v>117500</v>
      </c>
      <c r="H91" s="416">
        <f t="shared" si="6"/>
        <v>82500</v>
      </c>
      <c r="I91" s="416">
        <v>0</v>
      </c>
      <c r="J91" s="416">
        <f>42000+40500</f>
        <v>82500</v>
      </c>
      <c r="K91" s="416">
        <f t="shared" si="7"/>
        <v>35000</v>
      </c>
      <c r="L91" s="416">
        <v>0</v>
      </c>
      <c r="M91" s="416">
        <v>35000</v>
      </c>
    </row>
    <row r="92" spans="1:13" s="377" customFormat="1" ht="18" customHeight="1">
      <c r="A92" s="987"/>
      <c r="B92" s="988"/>
      <c r="C92" s="1011"/>
      <c r="D92" s="1012"/>
      <c r="E92" s="440" t="s">
        <v>874</v>
      </c>
      <c r="F92" s="431" t="s">
        <v>875</v>
      </c>
      <c r="G92" s="415">
        <f t="shared" si="5"/>
        <v>1000000</v>
      </c>
      <c r="H92" s="416">
        <f t="shared" si="6"/>
        <v>90000</v>
      </c>
      <c r="I92" s="416">
        <v>15000</v>
      </c>
      <c r="J92" s="416">
        <v>75000</v>
      </c>
      <c r="K92" s="416">
        <f t="shared" si="7"/>
        <v>910000</v>
      </c>
      <c r="L92" s="416">
        <v>50000</v>
      </c>
      <c r="M92" s="416">
        <v>860000</v>
      </c>
    </row>
    <row r="93" spans="1:13" s="377" customFormat="1" ht="18" customHeight="1">
      <c r="A93" s="981" t="s">
        <v>8</v>
      </c>
      <c r="B93" s="982"/>
      <c r="C93" s="983" t="s">
        <v>1002</v>
      </c>
      <c r="D93" s="984"/>
      <c r="E93" s="432" t="s">
        <v>877</v>
      </c>
      <c r="F93" s="431" t="s">
        <v>878</v>
      </c>
      <c r="G93" s="415">
        <f t="shared" si="5"/>
        <v>1500000</v>
      </c>
      <c r="H93" s="416">
        <f t="shared" si="6"/>
        <v>0</v>
      </c>
      <c r="I93" s="416">
        <v>0</v>
      </c>
      <c r="J93" s="416">
        <v>0</v>
      </c>
      <c r="K93" s="416">
        <f t="shared" si="7"/>
        <v>1500000</v>
      </c>
      <c r="L93" s="416">
        <v>0</v>
      </c>
      <c r="M93" s="416">
        <v>1500000</v>
      </c>
    </row>
    <row r="94" spans="1:13" s="377" customFormat="1" ht="18" customHeight="1">
      <c r="A94" s="987"/>
      <c r="B94" s="988"/>
      <c r="C94" s="983" t="s">
        <v>1003</v>
      </c>
      <c r="D94" s="984"/>
      <c r="E94" s="432" t="s">
        <v>869</v>
      </c>
      <c r="F94" s="431" t="s">
        <v>870</v>
      </c>
      <c r="G94" s="415">
        <f t="shared" si="5"/>
        <v>115000</v>
      </c>
      <c r="H94" s="416">
        <f t="shared" si="6"/>
        <v>115000</v>
      </c>
      <c r="I94" s="416">
        <v>0</v>
      </c>
      <c r="J94" s="416">
        <v>115000</v>
      </c>
      <c r="K94" s="416">
        <f t="shared" si="7"/>
        <v>0</v>
      </c>
      <c r="L94" s="416">
        <v>0</v>
      </c>
      <c r="M94" s="416">
        <v>0</v>
      </c>
    </row>
    <row r="95" spans="1:13" s="377" customFormat="1" ht="18" customHeight="1">
      <c r="A95" s="1009"/>
      <c r="B95" s="1010"/>
      <c r="C95" s="995" t="s">
        <v>1004</v>
      </c>
      <c r="D95" s="996"/>
      <c r="E95" s="430" t="s">
        <v>843</v>
      </c>
      <c r="F95" s="431" t="s">
        <v>845</v>
      </c>
      <c r="G95" s="423">
        <f t="shared" si="5"/>
        <v>1480532</v>
      </c>
      <c r="H95" s="424">
        <f t="shared" si="6"/>
        <v>1480532</v>
      </c>
      <c r="I95" s="424">
        <v>1480532</v>
      </c>
      <c r="J95" s="424">
        <v>0</v>
      </c>
      <c r="K95" s="424">
        <f t="shared" si="7"/>
        <v>0</v>
      </c>
      <c r="L95" s="424">
        <v>0</v>
      </c>
      <c r="M95" s="424">
        <v>0</v>
      </c>
    </row>
    <row r="96" spans="1:13" s="377" customFormat="1" ht="18" customHeight="1">
      <c r="A96" s="981"/>
      <c r="B96" s="982"/>
      <c r="C96" s="983"/>
      <c r="D96" s="984"/>
      <c r="E96" s="430" t="s">
        <v>779</v>
      </c>
      <c r="F96" s="431" t="s">
        <v>781</v>
      </c>
      <c r="G96" s="423">
        <f t="shared" si="5"/>
        <v>4586821</v>
      </c>
      <c r="H96" s="424">
        <f t="shared" si="6"/>
        <v>4586821</v>
      </c>
      <c r="I96" s="424">
        <v>0</v>
      </c>
      <c r="J96" s="424">
        <v>4586821</v>
      </c>
      <c r="K96" s="424">
        <f t="shared" si="7"/>
        <v>0</v>
      </c>
      <c r="L96" s="424">
        <v>0</v>
      </c>
      <c r="M96" s="424">
        <v>0</v>
      </c>
    </row>
    <row r="97" spans="1:13" s="377" customFormat="1" ht="18" customHeight="1">
      <c r="A97" s="987"/>
      <c r="B97" s="988"/>
      <c r="C97" s="989"/>
      <c r="D97" s="990"/>
      <c r="E97" s="432" t="s">
        <v>792</v>
      </c>
      <c r="F97" s="431" t="s">
        <v>796</v>
      </c>
      <c r="G97" s="415">
        <f t="shared" si="5"/>
        <v>1669826</v>
      </c>
      <c r="H97" s="416">
        <f t="shared" si="6"/>
        <v>0</v>
      </c>
      <c r="I97" s="416">
        <v>0</v>
      </c>
      <c r="J97" s="416">
        <v>0</v>
      </c>
      <c r="K97" s="416">
        <f t="shared" si="7"/>
        <v>1669826</v>
      </c>
      <c r="L97" s="416">
        <v>0</v>
      </c>
      <c r="M97" s="416">
        <v>1669826</v>
      </c>
    </row>
    <row r="98" spans="1:13" s="377" customFormat="1" ht="18" customHeight="1">
      <c r="A98" s="987"/>
      <c r="B98" s="988"/>
      <c r="C98" s="989"/>
      <c r="D98" s="990"/>
      <c r="E98" s="440"/>
      <c r="F98" s="431" t="s">
        <v>794</v>
      </c>
      <c r="G98" s="415">
        <f t="shared" si="5"/>
        <v>1034755</v>
      </c>
      <c r="H98" s="416">
        <f t="shared" si="6"/>
        <v>1034755</v>
      </c>
      <c r="I98" s="416">
        <v>0</v>
      </c>
      <c r="J98" s="416">
        <v>1034755</v>
      </c>
      <c r="K98" s="416">
        <f t="shared" si="7"/>
        <v>0</v>
      </c>
      <c r="L98" s="416">
        <v>0</v>
      </c>
      <c r="M98" s="416">
        <v>0</v>
      </c>
    </row>
    <row r="99" spans="1:13" s="417" customFormat="1" ht="30" customHeight="1">
      <c r="A99" s="972"/>
      <c r="B99" s="973"/>
      <c r="C99" s="991"/>
      <c r="D99" s="992"/>
      <c r="E99" s="433" t="s">
        <v>792</v>
      </c>
      <c r="F99" s="434" t="s">
        <v>872</v>
      </c>
      <c r="G99" s="438">
        <f t="shared" si="5"/>
        <v>200000</v>
      </c>
      <c r="H99" s="439">
        <f t="shared" si="6"/>
        <v>100000</v>
      </c>
      <c r="I99" s="439">
        <v>0</v>
      </c>
      <c r="J99" s="439">
        <v>100000</v>
      </c>
      <c r="K99" s="439">
        <f t="shared" si="7"/>
        <v>100000</v>
      </c>
      <c r="L99" s="439">
        <v>0</v>
      </c>
      <c r="M99" s="439">
        <v>100000</v>
      </c>
    </row>
    <row r="100" spans="1:13" s="377" customFormat="1" ht="18" customHeight="1">
      <c r="A100" s="987"/>
      <c r="B100" s="988"/>
      <c r="C100" s="989"/>
      <c r="D100" s="990"/>
      <c r="E100" s="432" t="s">
        <v>797</v>
      </c>
      <c r="F100" s="431" t="s">
        <v>876</v>
      </c>
      <c r="G100" s="415">
        <f t="shared" si="5"/>
        <v>4255305</v>
      </c>
      <c r="H100" s="416">
        <f t="shared" si="6"/>
        <v>1388759</v>
      </c>
      <c r="I100" s="416">
        <f>15000+37895</f>
        <v>52895</v>
      </c>
      <c r="J100" s="416">
        <f>375000+960864</f>
        <v>1335864</v>
      </c>
      <c r="K100" s="416">
        <f t="shared" si="7"/>
        <v>2866546</v>
      </c>
      <c r="L100" s="416">
        <v>50000</v>
      </c>
      <c r="M100" s="416">
        <v>2816546</v>
      </c>
    </row>
    <row r="101" spans="1:13" s="417" customFormat="1" ht="30" customHeight="1">
      <c r="A101" s="1001" t="s">
        <v>46</v>
      </c>
      <c r="B101" s="1002"/>
      <c r="C101" s="999" t="s">
        <v>1005</v>
      </c>
      <c r="D101" s="1000"/>
      <c r="E101" s="435" t="s">
        <v>852</v>
      </c>
      <c r="F101" s="434" t="s">
        <v>853</v>
      </c>
      <c r="G101" s="438">
        <f t="shared" si="5"/>
        <v>520000</v>
      </c>
      <c r="H101" s="439">
        <f t="shared" si="6"/>
        <v>54736</v>
      </c>
      <c r="I101" s="439">
        <v>0</v>
      </c>
      <c r="J101" s="439">
        <v>54736</v>
      </c>
      <c r="K101" s="439">
        <f t="shared" si="7"/>
        <v>465264</v>
      </c>
      <c r="L101" s="439">
        <v>0</v>
      </c>
      <c r="M101" s="439">
        <v>465264</v>
      </c>
    </row>
    <row r="102" spans="1:13" s="417" customFormat="1" ht="30" customHeight="1">
      <c r="A102" s="972"/>
      <c r="B102" s="973"/>
      <c r="C102" s="991"/>
      <c r="D102" s="992"/>
      <c r="E102" s="435" t="s">
        <v>855</v>
      </c>
      <c r="F102" s="434" t="s">
        <v>857</v>
      </c>
      <c r="G102" s="438">
        <f t="shared" si="5"/>
        <v>1387000</v>
      </c>
      <c r="H102" s="439">
        <f t="shared" si="6"/>
        <v>0</v>
      </c>
      <c r="I102" s="439">
        <v>0</v>
      </c>
      <c r="J102" s="439">
        <v>0</v>
      </c>
      <c r="K102" s="439">
        <f t="shared" si="7"/>
        <v>1387000</v>
      </c>
      <c r="L102" s="439">
        <v>0</v>
      </c>
      <c r="M102" s="439">
        <v>1387000</v>
      </c>
    </row>
    <row r="103" spans="1:13" s="377" customFormat="1" ht="18" customHeight="1">
      <c r="A103" s="1009"/>
      <c r="B103" s="1010"/>
      <c r="C103" s="1011"/>
      <c r="D103" s="1012"/>
      <c r="E103" s="430" t="s">
        <v>861</v>
      </c>
      <c r="F103" s="441" t="s">
        <v>863</v>
      </c>
      <c r="G103" s="415">
        <f t="shared" si="5"/>
        <v>1100000</v>
      </c>
      <c r="H103" s="416">
        <f t="shared" si="6"/>
        <v>23800</v>
      </c>
      <c r="I103" s="416">
        <v>0</v>
      </c>
      <c r="J103" s="416">
        <v>23800</v>
      </c>
      <c r="K103" s="416">
        <f t="shared" si="7"/>
        <v>1076200</v>
      </c>
      <c r="L103" s="416">
        <v>0</v>
      </c>
      <c r="M103" s="416">
        <v>1076200</v>
      </c>
    </row>
    <row r="104" spans="1:13" s="377" customFormat="1" ht="18" customHeight="1">
      <c r="A104" s="1009" t="s">
        <v>89</v>
      </c>
      <c r="B104" s="1010"/>
      <c r="C104" s="1011" t="s">
        <v>1006</v>
      </c>
      <c r="D104" s="1012"/>
      <c r="E104" s="440" t="s">
        <v>797</v>
      </c>
      <c r="F104" s="442" t="s">
        <v>799</v>
      </c>
      <c r="G104" s="423">
        <f t="shared" si="5"/>
        <v>2577488</v>
      </c>
      <c r="H104" s="424">
        <f t="shared" si="6"/>
        <v>2577488</v>
      </c>
      <c r="I104" s="424">
        <v>0</v>
      </c>
      <c r="J104" s="424">
        <v>2577488</v>
      </c>
      <c r="K104" s="424">
        <f t="shared" si="7"/>
        <v>0</v>
      </c>
      <c r="L104" s="424">
        <v>0</v>
      </c>
      <c r="M104" s="424">
        <v>0</v>
      </c>
    </row>
    <row r="105" spans="1:13" s="417" customFormat="1" ht="30" customHeight="1">
      <c r="A105" s="1001" t="s">
        <v>47</v>
      </c>
      <c r="B105" s="1002"/>
      <c r="C105" s="1003" t="s">
        <v>1007</v>
      </c>
      <c r="D105" s="1004"/>
      <c r="E105" s="443" t="s">
        <v>623</v>
      </c>
      <c r="F105" s="434" t="s">
        <v>723</v>
      </c>
      <c r="G105" s="400">
        <f t="shared" si="5"/>
        <v>9857893</v>
      </c>
      <c r="H105" s="401">
        <f t="shared" si="6"/>
        <v>9857893</v>
      </c>
      <c r="I105" s="401">
        <v>9857893</v>
      </c>
      <c r="J105" s="401">
        <v>0</v>
      </c>
      <c r="K105" s="401">
        <f t="shared" si="7"/>
        <v>0</v>
      </c>
      <c r="L105" s="401">
        <v>0</v>
      </c>
      <c r="M105" s="401">
        <v>0</v>
      </c>
    </row>
    <row r="106" spans="1:13" s="377" customFormat="1" ht="18" customHeight="1">
      <c r="A106" s="987"/>
      <c r="B106" s="988"/>
      <c r="C106" s="983" t="s">
        <v>286</v>
      </c>
      <c r="D106" s="984"/>
      <c r="E106" s="430" t="s">
        <v>846</v>
      </c>
      <c r="F106" s="431" t="s">
        <v>848</v>
      </c>
      <c r="G106" s="423">
        <f t="shared" si="5"/>
        <v>1025231</v>
      </c>
      <c r="H106" s="424">
        <f t="shared" si="6"/>
        <v>1025231</v>
      </c>
      <c r="I106" s="424">
        <v>1025231</v>
      </c>
      <c r="J106" s="424">
        <v>0</v>
      </c>
      <c r="K106" s="424">
        <f t="shared" si="7"/>
        <v>0</v>
      </c>
      <c r="L106" s="424">
        <v>0</v>
      </c>
      <c r="M106" s="424">
        <v>0</v>
      </c>
    </row>
    <row r="107" spans="1:13" s="417" customFormat="1" ht="30" customHeight="1">
      <c r="A107" s="993"/>
      <c r="B107" s="994"/>
      <c r="C107" s="974"/>
      <c r="D107" s="975"/>
      <c r="E107" s="443" t="s">
        <v>850</v>
      </c>
      <c r="F107" s="434" t="s">
        <v>851</v>
      </c>
      <c r="G107" s="400">
        <f t="shared" si="5"/>
        <v>3329304</v>
      </c>
      <c r="H107" s="401">
        <f t="shared" si="6"/>
        <v>3329304</v>
      </c>
      <c r="I107" s="401">
        <v>3329304</v>
      </c>
      <c r="J107" s="401">
        <v>0</v>
      </c>
      <c r="K107" s="401">
        <f t="shared" si="7"/>
        <v>0</v>
      </c>
      <c r="L107" s="401">
        <v>0</v>
      </c>
      <c r="M107" s="401">
        <v>0</v>
      </c>
    </row>
    <row r="108" spans="1:13" s="417" customFormat="1" ht="30" customHeight="1">
      <c r="A108" s="1001" t="s">
        <v>49</v>
      </c>
      <c r="B108" s="1002"/>
      <c r="C108" s="1003" t="s">
        <v>1008</v>
      </c>
      <c r="D108" s="1004"/>
      <c r="E108" s="443" t="s">
        <v>726</v>
      </c>
      <c r="F108" s="434" t="s">
        <v>731</v>
      </c>
      <c r="G108" s="400">
        <f t="shared" si="5"/>
        <v>3000000</v>
      </c>
      <c r="H108" s="401">
        <f t="shared" si="6"/>
        <v>0</v>
      </c>
      <c r="I108" s="401">
        <v>0</v>
      </c>
      <c r="J108" s="401">
        <v>0</v>
      </c>
      <c r="K108" s="401">
        <f t="shared" si="7"/>
        <v>3000000</v>
      </c>
      <c r="L108" s="401">
        <v>0</v>
      </c>
      <c r="M108" s="401">
        <v>3000000</v>
      </c>
    </row>
    <row r="109" spans="1:13" s="411" customFormat="1" ht="5.25" customHeight="1">
      <c r="A109" s="406"/>
      <c r="B109" s="407"/>
      <c r="C109" s="407"/>
      <c r="D109" s="407"/>
      <c r="E109" s="407"/>
      <c r="F109" s="407"/>
      <c r="G109" s="408"/>
      <c r="H109" s="409"/>
      <c r="I109" s="409"/>
      <c r="J109" s="409"/>
      <c r="K109" s="409"/>
      <c r="L109" s="409"/>
      <c r="M109" s="410"/>
    </row>
    <row r="110" spans="1:13" s="427" customFormat="1" ht="18" customHeight="1">
      <c r="A110" s="1019" t="s">
        <v>1009</v>
      </c>
      <c r="B110" s="1020"/>
      <c r="C110" s="1020"/>
      <c r="D110" s="1020"/>
      <c r="E110" s="1020"/>
      <c r="F110" s="1021"/>
      <c r="G110" s="425">
        <f>H110+K110</f>
        <v>6322700</v>
      </c>
      <c r="H110" s="426">
        <f>I110+J110</f>
        <v>3094700</v>
      </c>
      <c r="I110" s="426">
        <f>I112+I113</f>
        <v>0</v>
      </c>
      <c r="J110" s="426">
        <f>J112+J113</f>
        <v>3094700</v>
      </c>
      <c r="K110" s="426">
        <f>L110+M110</f>
        <v>3228000</v>
      </c>
      <c r="L110" s="426">
        <f>L112+L113</f>
        <v>0</v>
      </c>
      <c r="M110" s="426">
        <f>M112+M113</f>
        <v>3228000</v>
      </c>
    </row>
    <row r="111" spans="1:13" s="411" customFormat="1" ht="5.25" customHeight="1">
      <c r="A111" s="428"/>
      <c r="B111" s="407"/>
      <c r="C111" s="407"/>
      <c r="D111" s="407"/>
      <c r="E111" s="407"/>
      <c r="F111" s="407"/>
      <c r="G111" s="408"/>
      <c r="H111" s="409"/>
      <c r="I111" s="409"/>
      <c r="J111" s="409"/>
      <c r="K111" s="409"/>
      <c r="L111" s="409"/>
      <c r="M111" s="410"/>
    </row>
    <row r="112" spans="1:13" s="377" customFormat="1" ht="18" customHeight="1">
      <c r="A112" s="981" t="s">
        <v>8</v>
      </c>
      <c r="B112" s="982"/>
      <c r="C112" s="983" t="s">
        <v>1004</v>
      </c>
      <c r="D112" s="984"/>
      <c r="E112" s="430" t="s">
        <v>1010</v>
      </c>
      <c r="F112" s="414" t="s">
        <v>918</v>
      </c>
      <c r="G112" s="415">
        <f>H112+K112</f>
        <v>3094700</v>
      </c>
      <c r="H112" s="416">
        <f>I112+J112</f>
        <v>3094700</v>
      </c>
      <c r="I112" s="416">
        <v>0</v>
      </c>
      <c r="J112" s="416">
        <f>755110+2339590</f>
        <v>3094700</v>
      </c>
      <c r="K112" s="416">
        <f>L112+M112</f>
        <v>0</v>
      </c>
      <c r="L112" s="416">
        <v>0</v>
      </c>
      <c r="M112" s="416">
        <v>0</v>
      </c>
    </row>
    <row r="113" spans="1:13" s="377" customFormat="1" ht="18" customHeight="1">
      <c r="A113" s="981" t="s">
        <v>46</v>
      </c>
      <c r="B113" s="982"/>
      <c r="C113" s="983" t="s">
        <v>237</v>
      </c>
      <c r="D113" s="984"/>
      <c r="E113" s="430" t="s">
        <v>604</v>
      </c>
      <c r="F113" s="414" t="s">
        <v>1011</v>
      </c>
      <c r="G113" s="415">
        <f>H113+K113</f>
        <v>3228000</v>
      </c>
      <c r="H113" s="416">
        <f>I113+J113</f>
        <v>0</v>
      </c>
      <c r="I113" s="416">
        <v>0</v>
      </c>
      <c r="J113" s="416">
        <v>0</v>
      </c>
      <c r="K113" s="416">
        <f>L113+M113</f>
        <v>3228000</v>
      </c>
      <c r="L113" s="416">
        <v>0</v>
      </c>
      <c r="M113" s="416">
        <v>3228000</v>
      </c>
    </row>
    <row r="114" spans="1:13" s="411" customFormat="1" ht="5.25" customHeight="1">
      <c r="A114" s="406"/>
      <c r="B114" s="407"/>
      <c r="C114" s="407"/>
      <c r="D114" s="407"/>
      <c r="E114" s="407"/>
      <c r="F114" s="407"/>
      <c r="G114" s="408"/>
      <c r="H114" s="409"/>
      <c r="I114" s="409"/>
      <c r="J114" s="409"/>
      <c r="K114" s="409"/>
      <c r="L114" s="409"/>
      <c r="M114" s="410"/>
    </row>
    <row r="115" spans="1:13" s="427" customFormat="1" ht="18" customHeight="1">
      <c r="A115" s="1019" t="s">
        <v>1012</v>
      </c>
      <c r="B115" s="1020"/>
      <c r="C115" s="1020"/>
      <c r="D115" s="1020"/>
      <c r="E115" s="1020"/>
      <c r="F115" s="1021"/>
      <c r="G115" s="425">
        <f>H115+K115</f>
        <v>580000</v>
      </c>
      <c r="H115" s="426">
        <f>I115+J115</f>
        <v>100000</v>
      </c>
      <c r="I115" s="426">
        <f>I117</f>
        <v>0</v>
      </c>
      <c r="J115" s="426">
        <f>J117</f>
        <v>100000</v>
      </c>
      <c r="K115" s="426">
        <f>L115+M115</f>
        <v>480000</v>
      </c>
      <c r="L115" s="426">
        <f>L117</f>
        <v>0</v>
      </c>
      <c r="M115" s="426">
        <f>M117</f>
        <v>480000</v>
      </c>
    </row>
    <row r="116" spans="1:13" s="411" customFormat="1" ht="5.25" customHeight="1">
      <c r="A116" s="428"/>
      <c r="B116" s="407"/>
      <c r="C116" s="407"/>
      <c r="D116" s="407"/>
      <c r="E116" s="407"/>
      <c r="F116" s="407"/>
      <c r="G116" s="408"/>
      <c r="H116" s="409"/>
      <c r="I116" s="409"/>
      <c r="J116" s="409"/>
      <c r="K116" s="409"/>
      <c r="L116" s="409"/>
      <c r="M116" s="410"/>
    </row>
    <row r="117" spans="1:13" s="417" customFormat="1" ht="40.5" customHeight="1">
      <c r="A117" s="1001" t="s">
        <v>24</v>
      </c>
      <c r="B117" s="1002"/>
      <c r="C117" s="999" t="s">
        <v>72</v>
      </c>
      <c r="D117" s="1000"/>
      <c r="E117" s="976" t="s">
        <v>1013</v>
      </c>
      <c r="F117" s="1015"/>
      <c r="G117" s="438">
        <f>H117+K117</f>
        <v>580000</v>
      </c>
      <c r="H117" s="439">
        <f>I117+J117</f>
        <v>100000</v>
      </c>
      <c r="I117" s="439">
        <v>0</v>
      </c>
      <c r="J117" s="439">
        <v>100000</v>
      </c>
      <c r="K117" s="439">
        <f>L117+M117</f>
        <v>480000</v>
      </c>
      <c r="L117" s="439">
        <v>0</v>
      </c>
      <c r="M117" s="439">
        <v>480000</v>
      </c>
    </row>
    <row r="118" spans="1:13" s="411" customFormat="1" ht="5.25" customHeight="1">
      <c r="A118" s="406"/>
      <c r="B118" s="407"/>
      <c r="C118" s="407"/>
      <c r="D118" s="407"/>
      <c r="E118" s="407"/>
      <c r="F118" s="407"/>
      <c r="G118" s="408"/>
      <c r="H118" s="409"/>
      <c r="I118" s="409"/>
      <c r="J118" s="409"/>
      <c r="K118" s="409"/>
      <c r="L118" s="409"/>
      <c r="M118" s="410"/>
    </row>
    <row r="119" spans="1:13" s="427" customFormat="1" ht="18" customHeight="1">
      <c r="A119" s="1016" t="s">
        <v>1014</v>
      </c>
      <c r="B119" s="1017"/>
      <c r="C119" s="1017"/>
      <c r="D119" s="1017"/>
      <c r="E119" s="1017"/>
      <c r="F119" s="1018"/>
      <c r="G119" s="404">
        <f>H119+K119</f>
        <v>93311625</v>
      </c>
      <c r="H119" s="404">
        <f>I119+J119</f>
        <v>44531903</v>
      </c>
      <c r="I119" s="404">
        <f>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+I178+I179+I180+I181+I182+I183+I184+I185+I186+I187+I188+I189+I190+I191+I192</f>
        <v>35936688</v>
      </c>
      <c r="J119" s="404">
        <f>J121+J122+J123+J124+J125+J126+J127+J128+J129+J130+J131+J132+J133+J134+J135+J136+J137+J138+J139+J140+J141+J142+J143+J144+J145+J146+J147+J148+J149+J150+J151+J152+J153+J154+J155+J156+J157+J158+J159+J160+J161+J162+J163+J164+J165+J166+J167+J168+J169+J170+J171+J172+J173+J174+J175+J176+J177+J178+J179+J180+J181+J182+J183+J184+J185+J186+J187+J188+J189+J190+J191+J192</f>
        <v>8595215</v>
      </c>
      <c r="K119" s="404">
        <f>L119+M119</f>
        <v>48779722</v>
      </c>
      <c r="L119" s="404">
        <f>L121+L122+L123+L124+L125+L126+L127+L128+L129+L130+L131+L132+L133+L134+L135+L136+L137+L138+L139+L140+L141+L142+L143+L144+L145+L146+L147+L148+L149+L150+L151+L152+L153+L154+L155+L156+L157+L158+L159+L160+L161+L162+L163+L164+L165+L166+L167+L168+L169+L170+L171+L172+L173+L174+L175+L176+L177+L178+L179+L180+L181+L182+L183+L184+L185+L186+L187+L188+L189+L190+L191+L192</f>
        <v>50000</v>
      </c>
      <c r="M119" s="404">
        <f>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+M182+M183+M184+M185+M186+M187+M188+M189+M190+M191+M192</f>
        <v>48729722</v>
      </c>
    </row>
    <row r="120" spans="1:13" s="411" customFormat="1" ht="5.25" customHeight="1">
      <c r="A120" s="406"/>
      <c r="B120" s="407"/>
      <c r="C120" s="407"/>
      <c r="D120" s="407"/>
      <c r="E120" s="407"/>
      <c r="F120" s="407"/>
      <c r="G120" s="408"/>
      <c r="H120" s="409"/>
      <c r="I120" s="409"/>
      <c r="J120" s="409"/>
      <c r="K120" s="409"/>
      <c r="L120" s="409"/>
      <c r="M120" s="410"/>
    </row>
    <row r="121" spans="1:13" s="417" customFormat="1" ht="30" customHeight="1">
      <c r="A121" s="1001" t="s">
        <v>24</v>
      </c>
      <c r="B121" s="1002"/>
      <c r="C121" s="999" t="s">
        <v>124</v>
      </c>
      <c r="D121" s="1000"/>
      <c r="E121" s="976" t="s">
        <v>1015</v>
      </c>
      <c r="F121" s="977"/>
      <c r="G121" s="438">
        <f aca="true" t="shared" si="8" ref="G121:G184">H121+K121</f>
        <v>1300000</v>
      </c>
      <c r="H121" s="439">
        <f aca="true" t="shared" si="9" ref="H121:H184">I121+J121</f>
        <v>0</v>
      </c>
      <c r="I121" s="439">
        <v>0</v>
      </c>
      <c r="J121" s="439">
        <v>0</v>
      </c>
      <c r="K121" s="439">
        <f aca="true" t="shared" si="10" ref="K121:K184">L121+M121</f>
        <v>1300000</v>
      </c>
      <c r="L121" s="439">
        <v>0</v>
      </c>
      <c r="M121" s="439">
        <v>1300000</v>
      </c>
    </row>
    <row r="122" spans="1:13" s="377" customFormat="1" ht="18" customHeight="1">
      <c r="A122" s="987"/>
      <c r="B122" s="988"/>
      <c r="C122" s="983" t="s">
        <v>83</v>
      </c>
      <c r="D122" s="984"/>
      <c r="E122" s="985" t="s">
        <v>1016</v>
      </c>
      <c r="F122" s="986"/>
      <c r="G122" s="415">
        <f t="shared" si="8"/>
        <v>6000000</v>
      </c>
      <c r="H122" s="416">
        <f t="shared" si="9"/>
        <v>6000000</v>
      </c>
      <c r="I122" s="416">
        <v>6000000</v>
      </c>
      <c r="J122" s="416">
        <v>0</v>
      </c>
      <c r="K122" s="416">
        <f t="shared" si="10"/>
        <v>0</v>
      </c>
      <c r="L122" s="416">
        <v>0</v>
      </c>
      <c r="M122" s="416">
        <v>0</v>
      </c>
    </row>
    <row r="123" spans="1:13" s="377" customFormat="1" ht="18" customHeight="1">
      <c r="A123" s="1009"/>
      <c r="B123" s="1010"/>
      <c r="C123" s="995" t="s">
        <v>85</v>
      </c>
      <c r="D123" s="996"/>
      <c r="E123" s="985" t="s">
        <v>1017</v>
      </c>
      <c r="F123" s="986"/>
      <c r="G123" s="423">
        <f t="shared" si="8"/>
        <v>80000</v>
      </c>
      <c r="H123" s="424">
        <f t="shared" si="9"/>
        <v>80000</v>
      </c>
      <c r="I123" s="424">
        <v>0</v>
      </c>
      <c r="J123" s="424">
        <v>80000</v>
      </c>
      <c r="K123" s="424">
        <f t="shared" si="10"/>
        <v>0</v>
      </c>
      <c r="L123" s="424">
        <v>0</v>
      </c>
      <c r="M123" s="424">
        <v>0</v>
      </c>
    </row>
    <row r="124" spans="1:13" s="417" customFormat="1" ht="40.5" customHeight="1">
      <c r="A124" s="1007" t="s">
        <v>91</v>
      </c>
      <c r="B124" s="1008"/>
      <c r="C124" s="1003" t="s">
        <v>127</v>
      </c>
      <c r="D124" s="1004"/>
      <c r="E124" s="976" t="s">
        <v>1018</v>
      </c>
      <c r="F124" s="977"/>
      <c r="G124" s="400">
        <f t="shared" si="8"/>
        <v>2941937</v>
      </c>
      <c r="H124" s="401">
        <f t="shared" si="9"/>
        <v>2941937</v>
      </c>
      <c r="I124" s="401">
        <v>0</v>
      </c>
      <c r="J124" s="401">
        <v>2941937</v>
      </c>
      <c r="K124" s="401">
        <f t="shared" si="10"/>
        <v>0</v>
      </c>
      <c r="L124" s="401">
        <v>0</v>
      </c>
      <c r="M124" s="401">
        <v>0</v>
      </c>
    </row>
    <row r="125" spans="1:13" s="377" customFormat="1" ht="18" customHeight="1">
      <c r="A125" s="981" t="s">
        <v>27</v>
      </c>
      <c r="B125" s="982"/>
      <c r="C125" s="995" t="s">
        <v>136</v>
      </c>
      <c r="D125" s="996"/>
      <c r="E125" s="985" t="s">
        <v>1019</v>
      </c>
      <c r="F125" s="986"/>
      <c r="G125" s="423">
        <f t="shared" si="8"/>
        <v>1300000</v>
      </c>
      <c r="H125" s="424">
        <f t="shared" si="9"/>
        <v>1300000</v>
      </c>
      <c r="I125" s="424">
        <v>0</v>
      </c>
      <c r="J125" s="424">
        <v>1300000</v>
      </c>
      <c r="K125" s="424">
        <f t="shared" si="10"/>
        <v>0</v>
      </c>
      <c r="L125" s="424">
        <v>0</v>
      </c>
      <c r="M125" s="424">
        <v>0</v>
      </c>
    </row>
    <row r="126" spans="1:13" s="417" customFormat="1" ht="29.25" customHeight="1">
      <c r="A126" s="972"/>
      <c r="B126" s="973"/>
      <c r="C126" s="1003" t="s">
        <v>138</v>
      </c>
      <c r="D126" s="1004"/>
      <c r="E126" s="976" t="s">
        <v>1020</v>
      </c>
      <c r="F126" s="977"/>
      <c r="G126" s="400">
        <f t="shared" si="8"/>
        <v>37000000</v>
      </c>
      <c r="H126" s="401">
        <f t="shared" si="9"/>
        <v>0</v>
      </c>
      <c r="I126" s="401">
        <v>0</v>
      </c>
      <c r="J126" s="401">
        <v>0</v>
      </c>
      <c r="K126" s="401">
        <f t="shared" si="10"/>
        <v>37000000</v>
      </c>
      <c r="L126" s="401">
        <v>0</v>
      </c>
      <c r="M126" s="401">
        <v>37000000</v>
      </c>
    </row>
    <row r="127" spans="1:13" s="417" customFormat="1" ht="29.25" customHeight="1">
      <c r="A127" s="972"/>
      <c r="B127" s="973"/>
      <c r="C127" s="1003" t="s">
        <v>1021</v>
      </c>
      <c r="D127" s="1004"/>
      <c r="E127" s="976" t="s">
        <v>1022</v>
      </c>
      <c r="F127" s="977"/>
      <c r="G127" s="400">
        <f t="shared" si="8"/>
        <v>1200000</v>
      </c>
      <c r="H127" s="401">
        <f t="shared" si="9"/>
        <v>0</v>
      </c>
      <c r="I127" s="401">
        <v>0</v>
      </c>
      <c r="J127" s="401">
        <v>0</v>
      </c>
      <c r="K127" s="401">
        <f t="shared" si="10"/>
        <v>1200000</v>
      </c>
      <c r="L127" s="401">
        <v>0</v>
      </c>
      <c r="M127" s="401">
        <v>1200000</v>
      </c>
    </row>
    <row r="128" spans="1:13" s="417" customFormat="1" ht="53.25" customHeight="1">
      <c r="A128" s="972"/>
      <c r="B128" s="973"/>
      <c r="C128" s="999" t="s">
        <v>140</v>
      </c>
      <c r="D128" s="1000"/>
      <c r="E128" s="976" t="s">
        <v>1023</v>
      </c>
      <c r="F128" s="977"/>
      <c r="G128" s="400">
        <f t="shared" si="8"/>
        <v>4800000</v>
      </c>
      <c r="H128" s="401">
        <f t="shared" si="9"/>
        <v>4800000</v>
      </c>
      <c r="I128" s="401">
        <v>4800000</v>
      </c>
      <c r="J128" s="401">
        <v>0</v>
      </c>
      <c r="K128" s="401">
        <f t="shared" si="10"/>
        <v>0</v>
      </c>
      <c r="L128" s="401">
        <v>0</v>
      </c>
      <c r="M128" s="401">
        <v>0</v>
      </c>
    </row>
    <row r="129" spans="1:13" s="417" customFormat="1" ht="41.25" customHeight="1">
      <c r="A129" s="972"/>
      <c r="B129" s="973"/>
      <c r="C129" s="974"/>
      <c r="D129" s="975"/>
      <c r="E129" s="976" t="s">
        <v>1024</v>
      </c>
      <c r="F129" s="977"/>
      <c r="G129" s="400">
        <f t="shared" si="8"/>
        <v>1750000</v>
      </c>
      <c r="H129" s="401">
        <f t="shared" si="9"/>
        <v>1750000</v>
      </c>
      <c r="I129" s="401">
        <v>1750000</v>
      </c>
      <c r="J129" s="401">
        <v>0</v>
      </c>
      <c r="K129" s="401">
        <f t="shared" si="10"/>
        <v>0</v>
      </c>
      <c r="L129" s="401">
        <v>0</v>
      </c>
      <c r="M129" s="401">
        <v>0</v>
      </c>
    </row>
    <row r="130" spans="1:13" s="417" customFormat="1" ht="40.5" customHeight="1">
      <c r="A130" s="972"/>
      <c r="B130" s="973"/>
      <c r="C130" s="1003" t="s">
        <v>142</v>
      </c>
      <c r="D130" s="1004"/>
      <c r="E130" s="976" t="s">
        <v>1025</v>
      </c>
      <c r="F130" s="977"/>
      <c r="G130" s="400">
        <f t="shared" si="8"/>
        <v>150000</v>
      </c>
      <c r="H130" s="401">
        <f t="shared" si="9"/>
        <v>150000</v>
      </c>
      <c r="I130" s="401">
        <v>150000</v>
      </c>
      <c r="J130" s="401">
        <v>0</v>
      </c>
      <c r="K130" s="401">
        <f t="shared" si="10"/>
        <v>0</v>
      </c>
      <c r="L130" s="401">
        <v>0</v>
      </c>
      <c r="M130" s="401">
        <v>0</v>
      </c>
    </row>
    <row r="131" spans="1:13" s="417" customFormat="1" ht="30" customHeight="1">
      <c r="A131" s="993"/>
      <c r="B131" s="994"/>
      <c r="C131" s="999" t="s">
        <v>144</v>
      </c>
      <c r="D131" s="1000"/>
      <c r="E131" s="976" t="s">
        <v>1026</v>
      </c>
      <c r="F131" s="977"/>
      <c r="G131" s="400">
        <f t="shared" si="8"/>
        <v>50000</v>
      </c>
      <c r="H131" s="401">
        <f t="shared" si="9"/>
        <v>50000</v>
      </c>
      <c r="I131" s="401">
        <v>0</v>
      </c>
      <c r="J131" s="401">
        <v>50000</v>
      </c>
      <c r="K131" s="401">
        <f t="shared" si="10"/>
        <v>0</v>
      </c>
      <c r="L131" s="401">
        <v>0</v>
      </c>
      <c r="M131" s="401">
        <v>0</v>
      </c>
    </row>
    <row r="132" spans="1:13" s="377" customFormat="1" ht="18" customHeight="1">
      <c r="A132" s="981" t="s">
        <v>97</v>
      </c>
      <c r="B132" s="982"/>
      <c r="C132" s="983" t="s">
        <v>145</v>
      </c>
      <c r="D132" s="984"/>
      <c r="E132" s="985" t="s">
        <v>1027</v>
      </c>
      <c r="F132" s="986"/>
      <c r="G132" s="415">
        <f t="shared" si="8"/>
        <v>150000</v>
      </c>
      <c r="H132" s="416">
        <f t="shared" si="9"/>
        <v>0</v>
      </c>
      <c r="I132" s="416">
        <v>0</v>
      </c>
      <c r="J132" s="416">
        <v>0</v>
      </c>
      <c r="K132" s="416">
        <f t="shared" si="10"/>
        <v>150000</v>
      </c>
      <c r="L132" s="416">
        <v>0</v>
      </c>
      <c r="M132" s="416">
        <v>150000</v>
      </c>
    </row>
    <row r="133" spans="1:13" s="377" customFormat="1" ht="18" customHeight="1">
      <c r="A133" s="1013" t="s">
        <v>33</v>
      </c>
      <c r="B133" s="1014"/>
      <c r="C133" s="995" t="s">
        <v>153</v>
      </c>
      <c r="D133" s="996"/>
      <c r="E133" s="985" t="s">
        <v>262</v>
      </c>
      <c r="F133" s="986"/>
      <c r="G133" s="423">
        <f t="shared" si="8"/>
        <v>781572</v>
      </c>
      <c r="H133" s="424">
        <f t="shared" si="9"/>
        <v>781572</v>
      </c>
      <c r="I133" s="424">
        <v>781572</v>
      </c>
      <c r="J133" s="424">
        <v>0</v>
      </c>
      <c r="K133" s="424">
        <f t="shared" si="10"/>
        <v>0</v>
      </c>
      <c r="L133" s="424">
        <v>0</v>
      </c>
      <c r="M133" s="424">
        <v>0</v>
      </c>
    </row>
    <row r="134" spans="1:13" s="377" customFormat="1" ht="18" customHeight="1">
      <c r="A134" s="981" t="s">
        <v>326</v>
      </c>
      <c r="B134" s="982"/>
      <c r="C134" s="995" t="s">
        <v>333</v>
      </c>
      <c r="D134" s="996"/>
      <c r="E134" s="985" t="s">
        <v>1028</v>
      </c>
      <c r="F134" s="986"/>
      <c r="G134" s="423">
        <f t="shared" si="8"/>
        <v>200000</v>
      </c>
      <c r="H134" s="424">
        <f t="shared" si="9"/>
        <v>200000</v>
      </c>
      <c r="I134" s="424">
        <v>0</v>
      </c>
      <c r="J134" s="424">
        <v>200000</v>
      </c>
      <c r="K134" s="424">
        <f t="shared" si="10"/>
        <v>0</v>
      </c>
      <c r="L134" s="424">
        <v>0</v>
      </c>
      <c r="M134" s="424">
        <v>0</v>
      </c>
    </row>
    <row r="135" spans="1:13" s="417" customFormat="1" ht="30" customHeight="1">
      <c r="A135" s="993"/>
      <c r="B135" s="994"/>
      <c r="C135" s="974" t="s">
        <v>328</v>
      </c>
      <c r="D135" s="975"/>
      <c r="E135" s="976" t="s">
        <v>1029</v>
      </c>
      <c r="F135" s="977"/>
      <c r="G135" s="400">
        <f t="shared" si="8"/>
        <v>3541050</v>
      </c>
      <c r="H135" s="401">
        <f t="shared" si="9"/>
        <v>3541050</v>
      </c>
      <c r="I135" s="401">
        <v>3541050</v>
      </c>
      <c r="J135" s="401">
        <v>0</v>
      </c>
      <c r="K135" s="401">
        <f t="shared" si="10"/>
        <v>0</v>
      </c>
      <c r="L135" s="401">
        <v>0</v>
      </c>
      <c r="M135" s="401">
        <v>0</v>
      </c>
    </row>
    <row r="136" spans="1:13" s="377" customFormat="1" ht="18" customHeight="1">
      <c r="A136" s="1013" t="s">
        <v>35</v>
      </c>
      <c r="B136" s="1014"/>
      <c r="C136" s="995" t="s">
        <v>161</v>
      </c>
      <c r="D136" s="996"/>
      <c r="E136" s="985" t="s">
        <v>1030</v>
      </c>
      <c r="F136" s="986"/>
      <c r="G136" s="415">
        <f t="shared" si="8"/>
        <v>135000</v>
      </c>
      <c r="H136" s="416">
        <f t="shared" si="9"/>
        <v>0</v>
      </c>
      <c r="I136" s="416">
        <v>0</v>
      </c>
      <c r="J136" s="416">
        <v>0</v>
      </c>
      <c r="K136" s="416">
        <f t="shared" si="10"/>
        <v>135000</v>
      </c>
      <c r="L136" s="416">
        <v>0</v>
      </c>
      <c r="M136" s="416">
        <v>135000</v>
      </c>
    </row>
    <row r="137" spans="1:13" s="377" customFormat="1" ht="18" customHeight="1">
      <c r="A137" s="1013" t="s">
        <v>164</v>
      </c>
      <c r="B137" s="1014"/>
      <c r="C137" s="995" t="s">
        <v>166</v>
      </c>
      <c r="D137" s="996"/>
      <c r="E137" s="985" t="s">
        <v>360</v>
      </c>
      <c r="F137" s="986"/>
      <c r="G137" s="415">
        <f t="shared" si="8"/>
        <v>1000000</v>
      </c>
      <c r="H137" s="416">
        <f t="shared" si="9"/>
        <v>1000000</v>
      </c>
      <c r="I137" s="416">
        <v>1000000</v>
      </c>
      <c r="J137" s="416">
        <v>0</v>
      </c>
      <c r="K137" s="416">
        <f t="shared" si="10"/>
        <v>0</v>
      </c>
      <c r="L137" s="416">
        <v>0</v>
      </c>
      <c r="M137" s="416">
        <v>0</v>
      </c>
    </row>
    <row r="138" spans="1:13" s="417" customFormat="1" ht="53.25" customHeight="1">
      <c r="A138" s="1001" t="s">
        <v>43</v>
      </c>
      <c r="B138" s="1002"/>
      <c r="C138" s="999" t="s">
        <v>264</v>
      </c>
      <c r="D138" s="1000"/>
      <c r="E138" s="976" t="s">
        <v>1031</v>
      </c>
      <c r="F138" s="977"/>
      <c r="G138" s="438">
        <f t="shared" si="8"/>
        <v>2000000</v>
      </c>
      <c r="H138" s="439">
        <f t="shared" si="9"/>
        <v>2000000</v>
      </c>
      <c r="I138" s="439">
        <v>2000000</v>
      </c>
      <c r="J138" s="439">
        <v>0</v>
      </c>
      <c r="K138" s="439">
        <f t="shared" si="10"/>
        <v>0</v>
      </c>
      <c r="L138" s="439">
        <v>0</v>
      </c>
      <c r="M138" s="439">
        <v>0</v>
      </c>
    </row>
    <row r="139" spans="1:13" s="417" customFormat="1" ht="40.5" customHeight="1">
      <c r="A139" s="972"/>
      <c r="B139" s="973"/>
      <c r="C139" s="974"/>
      <c r="D139" s="975"/>
      <c r="E139" s="976" t="s">
        <v>1032</v>
      </c>
      <c r="F139" s="977"/>
      <c r="G139" s="438">
        <f t="shared" si="8"/>
        <v>1000000</v>
      </c>
      <c r="H139" s="439">
        <f t="shared" si="9"/>
        <v>1000000</v>
      </c>
      <c r="I139" s="439">
        <v>1000000</v>
      </c>
      <c r="J139" s="439">
        <v>0</v>
      </c>
      <c r="K139" s="439">
        <f t="shared" si="10"/>
        <v>0</v>
      </c>
      <c r="L139" s="439">
        <v>0</v>
      </c>
      <c r="M139" s="439">
        <v>0</v>
      </c>
    </row>
    <row r="140" spans="1:13" s="417" customFormat="1" ht="30" customHeight="1">
      <c r="A140" s="972"/>
      <c r="B140" s="973"/>
      <c r="C140" s="999" t="s">
        <v>344</v>
      </c>
      <c r="D140" s="1000"/>
      <c r="E140" s="976" t="s">
        <v>1033</v>
      </c>
      <c r="F140" s="977"/>
      <c r="G140" s="438">
        <f t="shared" si="8"/>
        <v>720000</v>
      </c>
      <c r="H140" s="439">
        <f t="shared" si="9"/>
        <v>720000</v>
      </c>
      <c r="I140" s="439">
        <v>720000</v>
      </c>
      <c r="J140" s="439">
        <v>0</v>
      </c>
      <c r="K140" s="439">
        <f t="shared" si="10"/>
        <v>0</v>
      </c>
      <c r="L140" s="439">
        <v>0</v>
      </c>
      <c r="M140" s="439">
        <v>0</v>
      </c>
    </row>
    <row r="141" spans="1:13" s="417" customFormat="1" ht="40.5" customHeight="1">
      <c r="A141" s="972"/>
      <c r="B141" s="973"/>
      <c r="C141" s="999" t="s">
        <v>265</v>
      </c>
      <c r="D141" s="1000"/>
      <c r="E141" s="976" t="s">
        <v>1034</v>
      </c>
      <c r="F141" s="977"/>
      <c r="G141" s="438">
        <f t="shared" si="8"/>
        <v>24212</v>
      </c>
      <c r="H141" s="439">
        <f t="shared" si="9"/>
        <v>24212</v>
      </c>
      <c r="I141" s="439">
        <v>24212</v>
      </c>
      <c r="J141" s="439">
        <v>0</v>
      </c>
      <c r="K141" s="439">
        <f t="shared" si="10"/>
        <v>0</v>
      </c>
      <c r="L141" s="439">
        <v>0</v>
      </c>
      <c r="M141" s="439">
        <v>0</v>
      </c>
    </row>
    <row r="142" spans="1:13" s="377" customFormat="1" ht="18" customHeight="1">
      <c r="A142" s="987"/>
      <c r="B142" s="988"/>
      <c r="C142" s="983" t="s">
        <v>999</v>
      </c>
      <c r="D142" s="984"/>
      <c r="E142" s="985" t="s">
        <v>1035</v>
      </c>
      <c r="F142" s="986"/>
      <c r="G142" s="415">
        <f t="shared" si="8"/>
        <v>200000</v>
      </c>
      <c r="H142" s="416">
        <f t="shared" si="9"/>
        <v>0</v>
      </c>
      <c r="I142" s="416">
        <v>0</v>
      </c>
      <c r="J142" s="416">
        <v>0</v>
      </c>
      <c r="K142" s="416">
        <f t="shared" si="10"/>
        <v>200000</v>
      </c>
      <c r="L142" s="416">
        <v>0</v>
      </c>
      <c r="M142" s="416">
        <v>200000</v>
      </c>
    </row>
    <row r="143" spans="1:13" s="377" customFormat="1" ht="18" customHeight="1">
      <c r="A143" s="1009"/>
      <c r="B143" s="1010"/>
      <c r="C143" s="1011"/>
      <c r="D143" s="1012"/>
      <c r="E143" s="985" t="s">
        <v>1036</v>
      </c>
      <c r="F143" s="986"/>
      <c r="G143" s="423">
        <f t="shared" si="8"/>
        <v>875000</v>
      </c>
      <c r="H143" s="424">
        <f t="shared" si="9"/>
        <v>375000</v>
      </c>
      <c r="I143" s="424">
        <v>0</v>
      </c>
      <c r="J143" s="424">
        <v>375000</v>
      </c>
      <c r="K143" s="424">
        <f t="shared" si="10"/>
        <v>500000</v>
      </c>
      <c r="L143" s="424">
        <v>0</v>
      </c>
      <c r="M143" s="424">
        <v>500000</v>
      </c>
    </row>
    <row r="144" spans="1:13" s="377" customFormat="1" ht="18" customHeight="1">
      <c r="A144" s="981"/>
      <c r="B144" s="982"/>
      <c r="C144" s="995" t="s">
        <v>1037</v>
      </c>
      <c r="D144" s="996"/>
      <c r="E144" s="985" t="s">
        <v>1038</v>
      </c>
      <c r="F144" s="986"/>
      <c r="G144" s="423">
        <f t="shared" si="8"/>
        <v>350000</v>
      </c>
      <c r="H144" s="424">
        <f t="shared" si="9"/>
        <v>0</v>
      </c>
      <c r="I144" s="424">
        <v>0</v>
      </c>
      <c r="J144" s="424">
        <v>0</v>
      </c>
      <c r="K144" s="424">
        <f t="shared" si="10"/>
        <v>350000</v>
      </c>
      <c r="L144" s="424">
        <v>0</v>
      </c>
      <c r="M144" s="424">
        <v>350000</v>
      </c>
    </row>
    <row r="145" spans="1:13" s="377" customFormat="1" ht="18" customHeight="1">
      <c r="A145" s="987"/>
      <c r="B145" s="988"/>
      <c r="C145" s="983" t="s">
        <v>1039</v>
      </c>
      <c r="D145" s="984"/>
      <c r="E145" s="985" t="s">
        <v>1040</v>
      </c>
      <c r="F145" s="986"/>
      <c r="G145" s="415">
        <f t="shared" si="8"/>
        <v>30000</v>
      </c>
      <c r="H145" s="416">
        <f t="shared" si="9"/>
        <v>30000</v>
      </c>
      <c r="I145" s="416">
        <v>0</v>
      </c>
      <c r="J145" s="416">
        <v>30000</v>
      </c>
      <c r="K145" s="416">
        <f t="shared" si="10"/>
        <v>0</v>
      </c>
      <c r="L145" s="416">
        <v>0</v>
      </c>
      <c r="M145" s="416">
        <v>0</v>
      </c>
    </row>
    <row r="146" spans="1:13" s="417" customFormat="1" ht="30" customHeight="1">
      <c r="A146" s="972"/>
      <c r="B146" s="973"/>
      <c r="C146" s="991"/>
      <c r="D146" s="992"/>
      <c r="E146" s="976" t="s">
        <v>1041</v>
      </c>
      <c r="F146" s="977"/>
      <c r="G146" s="400">
        <f t="shared" si="8"/>
        <v>70000</v>
      </c>
      <c r="H146" s="401">
        <f t="shared" si="9"/>
        <v>0</v>
      </c>
      <c r="I146" s="401">
        <v>0</v>
      </c>
      <c r="J146" s="401">
        <v>0</v>
      </c>
      <c r="K146" s="401">
        <f t="shared" si="10"/>
        <v>70000</v>
      </c>
      <c r="L146" s="401">
        <v>0</v>
      </c>
      <c r="M146" s="401">
        <v>70000</v>
      </c>
    </row>
    <row r="147" spans="1:13" s="417" customFormat="1" ht="30" customHeight="1">
      <c r="A147" s="972"/>
      <c r="B147" s="973"/>
      <c r="C147" s="991"/>
      <c r="D147" s="992"/>
      <c r="E147" s="976" t="s">
        <v>1042</v>
      </c>
      <c r="F147" s="977"/>
      <c r="G147" s="400">
        <f t="shared" si="8"/>
        <v>260000</v>
      </c>
      <c r="H147" s="401">
        <f t="shared" si="9"/>
        <v>0</v>
      </c>
      <c r="I147" s="401">
        <v>0</v>
      </c>
      <c r="J147" s="401">
        <v>0</v>
      </c>
      <c r="K147" s="401">
        <f t="shared" si="10"/>
        <v>260000</v>
      </c>
      <c r="L147" s="401">
        <v>0</v>
      </c>
      <c r="M147" s="401">
        <v>260000</v>
      </c>
    </row>
    <row r="148" spans="1:13" s="417" customFormat="1" ht="27.75" customHeight="1">
      <c r="A148" s="1001" t="s">
        <v>8</v>
      </c>
      <c r="B148" s="1002"/>
      <c r="C148" s="1003" t="s">
        <v>1043</v>
      </c>
      <c r="D148" s="1004"/>
      <c r="E148" s="976" t="s">
        <v>1044</v>
      </c>
      <c r="F148" s="977"/>
      <c r="G148" s="438">
        <f t="shared" si="8"/>
        <v>30000</v>
      </c>
      <c r="H148" s="439">
        <f t="shared" si="9"/>
        <v>30000</v>
      </c>
      <c r="I148" s="439">
        <v>0</v>
      </c>
      <c r="J148" s="439">
        <v>30000</v>
      </c>
      <c r="K148" s="439">
        <f t="shared" si="10"/>
        <v>0</v>
      </c>
      <c r="L148" s="439">
        <v>0</v>
      </c>
      <c r="M148" s="439">
        <v>0</v>
      </c>
    </row>
    <row r="149" spans="1:13" s="377" customFormat="1" ht="18" customHeight="1">
      <c r="A149" s="981" t="s">
        <v>46</v>
      </c>
      <c r="B149" s="982"/>
      <c r="C149" s="983" t="s">
        <v>1045</v>
      </c>
      <c r="D149" s="984"/>
      <c r="E149" s="985" t="s">
        <v>1046</v>
      </c>
      <c r="F149" s="986"/>
      <c r="G149" s="415">
        <f t="shared" si="8"/>
        <v>444000</v>
      </c>
      <c r="H149" s="416">
        <f t="shared" si="9"/>
        <v>365778</v>
      </c>
      <c r="I149" s="416">
        <v>0</v>
      </c>
      <c r="J149" s="416">
        <v>365778</v>
      </c>
      <c r="K149" s="416">
        <f t="shared" si="10"/>
        <v>78222</v>
      </c>
      <c r="L149" s="416">
        <v>0</v>
      </c>
      <c r="M149" s="416">
        <v>78222</v>
      </c>
    </row>
    <row r="150" spans="1:13" s="417" customFormat="1" ht="27.75" customHeight="1">
      <c r="A150" s="972"/>
      <c r="B150" s="973"/>
      <c r="C150" s="991"/>
      <c r="D150" s="992"/>
      <c r="E150" s="976" t="s">
        <v>1047</v>
      </c>
      <c r="F150" s="977"/>
      <c r="G150" s="438">
        <f t="shared" si="8"/>
        <v>100000</v>
      </c>
      <c r="H150" s="439">
        <f t="shared" si="9"/>
        <v>0</v>
      </c>
      <c r="I150" s="439">
        <v>0</v>
      </c>
      <c r="J150" s="439">
        <v>0</v>
      </c>
      <c r="K150" s="439">
        <f t="shared" si="10"/>
        <v>100000</v>
      </c>
      <c r="L150" s="439">
        <v>0</v>
      </c>
      <c r="M150" s="439">
        <v>100000</v>
      </c>
    </row>
    <row r="151" spans="1:13" s="377" customFormat="1" ht="18" customHeight="1">
      <c r="A151" s="981" t="s">
        <v>9</v>
      </c>
      <c r="B151" s="982"/>
      <c r="C151" s="983" t="s">
        <v>1048</v>
      </c>
      <c r="D151" s="984"/>
      <c r="E151" s="985" t="s">
        <v>1049</v>
      </c>
      <c r="F151" s="986"/>
      <c r="G151" s="415">
        <f t="shared" si="8"/>
        <v>219000</v>
      </c>
      <c r="H151" s="416">
        <f t="shared" si="9"/>
        <v>219000</v>
      </c>
      <c r="I151" s="416">
        <v>0</v>
      </c>
      <c r="J151" s="416">
        <v>219000</v>
      </c>
      <c r="K151" s="416">
        <f t="shared" si="10"/>
        <v>0</v>
      </c>
      <c r="L151" s="416">
        <v>0</v>
      </c>
      <c r="M151" s="416">
        <v>0</v>
      </c>
    </row>
    <row r="152" spans="1:13" s="377" customFormat="1" ht="18" customHeight="1">
      <c r="A152" s="981" t="s">
        <v>89</v>
      </c>
      <c r="B152" s="982"/>
      <c r="C152" s="995" t="s">
        <v>287</v>
      </c>
      <c r="D152" s="996"/>
      <c r="E152" s="985" t="s">
        <v>1050</v>
      </c>
      <c r="F152" s="986"/>
      <c r="G152" s="423">
        <f t="shared" si="8"/>
        <v>430000</v>
      </c>
      <c r="H152" s="424">
        <f t="shared" si="9"/>
        <v>0</v>
      </c>
      <c r="I152" s="424">
        <v>0</v>
      </c>
      <c r="J152" s="424">
        <v>0</v>
      </c>
      <c r="K152" s="424">
        <f t="shared" si="10"/>
        <v>430000</v>
      </c>
      <c r="L152" s="424">
        <v>0</v>
      </c>
      <c r="M152" s="424">
        <v>430000</v>
      </c>
    </row>
    <row r="153" spans="1:13" s="377" customFormat="1" ht="18" customHeight="1">
      <c r="A153" s="987"/>
      <c r="B153" s="988"/>
      <c r="C153" s="983" t="s">
        <v>1006</v>
      </c>
      <c r="D153" s="984"/>
      <c r="E153" s="985" t="s">
        <v>1051</v>
      </c>
      <c r="F153" s="986"/>
      <c r="G153" s="423">
        <f t="shared" si="8"/>
        <v>100000</v>
      </c>
      <c r="H153" s="424">
        <f t="shared" si="9"/>
        <v>0</v>
      </c>
      <c r="I153" s="424">
        <v>0</v>
      </c>
      <c r="J153" s="424">
        <v>0</v>
      </c>
      <c r="K153" s="424">
        <f t="shared" si="10"/>
        <v>100000</v>
      </c>
      <c r="L153" s="424">
        <v>0</v>
      </c>
      <c r="M153" s="424">
        <v>100000</v>
      </c>
    </row>
    <row r="154" spans="1:13" s="377" customFormat="1" ht="18" customHeight="1">
      <c r="A154" s="987"/>
      <c r="B154" s="988"/>
      <c r="C154" s="989"/>
      <c r="D154" s="990"/>
      <c r="E154" s="985" t="s">
        <v>1052</v>
      </c>
      <c r="F154" s="986"/>
      <c r="G154" s="423">
        <f t="shared" si="8"/>
        <v>250000</v>
      </c>
      <c r="H154" s="424">
        <f t="shared" si="9"/>
        <v>0</v>
      </c>
      <c r="I154" s="424">
        <v>0</v>
      </c>
      <c r="J154" s="424">
        <v>0</v>
      </c>
      <c r="K154" s="424">
        <f t="shared" si="10"/>
        <v>250000</v>
      </c>
      <c r="L154" s="424">
        <v>0</v>
      </c>
      <c r="M154" s="424">
        <v>250000</v>
      </c>
    </row>
    <row r="155" spans="1:13" s="377" customFormat="1" ht="18" customHeight="1">
      <c r="A155" s="987"/>
      <c r="B155" s="988"/>
      <c r="C155" s="989"/>
      <c r="D155" s="990"/>
      <c r="E155" s="985" t="s">
        <v>1053</v>
      </c>
      <c r="F155" s="986"/>
      <c r="G155" s="423">
        <f t="shared" si="8"/>
        <v>150000</v>
      </c>
      <c r="H155" s="424">
        <f t="shared" si="9"/>
        <v>0</v>
      </c>
      <c r="I155" s="424">
        <v>0</v>
      </c>
      <c r="J155" s="424">
        <v>0</v>
      </c>
      <c r="K155" s="424">
        <f t="shared" si="10"/>
        <v>150000</v>
      </c>
      <c r="L155" s="424">
        <v>0</v>
      </c>
      <c r="M155" s="424">
        <v>150000</v>
      </c>
    </row>
    <row r="156" spans="1:13" s="417" customFormat="1" ht="27" customHeight="1">
      <c r="A156" s="972"/>
      <c r="B156" s="973"/>
      <c r="C156" s="991"/>
      <c r="D156" s="992"/>
      <c r="E156" s="976" t="s">
        <v>1054</v>
      </c>
      <c r="F156" s="977"/>
      <c r="G156" s="438">
        <f t="shared" si="8"/>
        <v>320000</v>
      </c>
      <c r="H156" s="439">
        <f t="shared" si="9"/>
        <v>0</v>
      </c>
      <c r="I156" s="439">
        <v>0</v>
      </c>
      <c r="J156" s="439">
        <v>0</v>
      </c>
      <c r="K156" s="439">
        <f t="shared" si="10"/>
        <v>320000</v>
      </c>
      <c r="L156" s="439">
        <v>0</v>
      </c>
      <c r="M156" s="439">
        <v>320000</v>
      </c>
    </row>
    <row r="157" spans="1:13" s="417" customFormat="1" ht="27.75" customHeight="1">
      <c r="A157" s="972"/>
      <c r="B157" s="973"/>
      <c r="C157" s="991"/>
      <c r="D157" s="992"/>
      <c r="E157" s="976" t="s">
        <v>1055</v>
      </c>
      <c r="F157" s="977"/>
      <c r="G157" s="400">
        <f t="shared" si="8"/>
        <v>230000</v>
      </c>
      <c r="H157" s="401">
        <f t="shared" si="9"/>
        <v>0</v>
      </c>
      <c r="I157" s="401">
        <v>0</v>
      </c>
      <c r="J157" s="401">
        <v>0</v>
      </c>
      <c r="K157" s="401">
        <f t="shared" si="10"/>
        <v>230000</v>
      </c>
      <c r="L157" s="401">
        <v>0</v>
      </c>
      <c r="M157" s="401">
        <v>230000</v>
      </c>
    </row>
    <row r="158" spans="1:13" s="417" customFormat="1" ht="27.75" customHeight="1">
      <c r="A158" s="1007" t="s">
        <v>47</v>
      </c>
      <c r="B158" s="1008"/>
      <c r="C158" s="999" t="s">
        <v>286</v>
      </c>
      <c r="D158" s="1000"/>
      <c r="E158" s="976" t="s">
        <v>1056</v>
      </c>
      <c r="F158" s="977"/>
      <c r="G158" s="438">
        <f t="shared" si="8"/>
        <v>65000</v>
      </c>
      <c r="H158" s="439">
        <f t="shared" si="9"/>
        <v>58500</v>
      </c>
      <c r="I158" s="439">
        <v>0</v>
      </c>
      <c r="J158" s="439">
        <v>58500</v>
      </c>
      <c r="K158" s="439">
        <f t="shared" si="10"/>
        <v>6500</v>
      </c>
      <c r="L158" s="439">
        <v>0</v>
      </c>
      <c r="M158" s="439">
        <v>6500</v>
      </c>
    </row>
    <row r="159" spans="1:13" s="417" customFormat="1" ht="30" customHeight="1">
      <c r="A159" s="1001" t="s">
        <v>49</v>
      </c>
      <c r="B159" s="1002"/>
      <c r="C159" s="999" t="s">
        <v>1057</v>
      </c>
      <c r="D159" s="1000"/>
      <c r="E159" s="976" t="s">
        <v>1058</v>
      </c>
      <c r="F159" s="977"/>
      <c r="G159" s="400">
        <f t="shared" si="8"/>
        <v>240000</v>
      </c>
      <c r="H159" s="401">
        <f t="shared" si="9"/>
        <v>240000</v>
      </c>
      <c r="I159" s="401">
        <v>0</v>
      </c>
      <c r="J159" s="401">
        <v>240000</v>
      </c>
      <c r="K159" s="401">
        <f t="shared" si="10"/>
        <v>0</v>
      </c>
      <c r="L159" s="401">
        <v>0</v>
      </c>
      <c r="M159" s="401">
        <v>0</v>
      </c>
    </row>
    <row r="160" spans="1:13" s="417" customFormat="1" ht="30" customHeight="1">
      <c r="A160" s="972"/>
      <c r="B160" s="973"/>
      <c r="C160" s="991"/>
      <c r="D160" s="992"/>
      <c r="E160" s="976" t="s">
        <v>1059</v>
      </c>
      <c r="F160" s="977"/>
      <c r="G160" s="400">
        <f t="shared" si="8"/>
        <v>200000</v>
      </c>
      <c r="H160" s="401">
        <f t="shared" si="9"/>
        <v>200000</v>
      </c>
      <c r="I160" s="401">
        <v>0</v>
      </c>
      <c r="J160" s="401">
        <v>200000</v>
      </c>
      <c r="K160" s="401">
        <f t="shared" si="10"/>
        <v>0</v>
      </c>
      <c r="L160" s="401">
        <v>0</v>
      </c>
      <c r="M160" s="401">
        <v>0</v>
      </c>
    </row>
    <row r="161" spans="1:13" s="417" customFormat="1" ht="30" customHeight="1">
      <c r="A161" s="972"/>
      <c r="B161" s="973"/>
      <c r="C161" s="991"/>
      <c r="D161" s="992"/>
      <c r="E161" s="976" t="s">
        <v>1060</v>
      </c>
      <c r="F161" s="977"/>
      <c r="G161" s="400">
        <f t="shared" si="8"/>
        <v>10000</v>
      </c>
      <c r="H161" s="401">
        <f t="shared" si="9"/>
        <v>10000</v>
      </c>
      <c r="I161" s="401">
        <v>0</v>
      </c>
      <c r="J161" s="401">
        <v>10000</v>
      </c>
      <c r="K161" s="401">
        <f t="shared" si="10"/>
        <v>0</v>
      </c>
      <c r="L161" s="401">
        <v>0</v>
      </c>
      <c r="M161" s="401">
        <v>0</v>
      </c>
    </row>
    <row r="162" spans="1:13" s="417" customFormat="1" ht="30" customHeight="1">
      <c r="A162" s="972"/>
      <c r="B162" s="973"/>
      <c r="C162" s="974"/>
      <c r="D162" s="975"/>
      <c r="E162" s="976" t="s">
        <v>1061</v>
      </c>
      <c r="F162" s="977"/>
      <c r="G162" s="400">
        <f t="shared" si="8"/>
        <v>20000</v>
      </c>
      <c r="H162" s="401">
        <f t="shared" si="9"/>
        <v>20000</v>
      </c>
      <c r="I162" s="401">
        <v>0</v>
      </c>
      <c r="J162" s="401">
        <v>20000</v>
      </c>
      <c r="K162" s="401">
        <f t="shared" si="10"/>
        <v>0</v>
      </c>
      <c r="L162" s="401">
        <v>0</v>
      </c>
      <c r="M162" s="401">
        <v>0</v>
      </c>
    </row>
    <row r="163" spans="1:13" s="417" customFormat="1" ht="40.5" customHeight="1">
      <c r="A163" s="972"/>
      <c r="B163" s="973"/>
      <c r="C163" s="999" t="s">
        <v>240</v>
      </c>
      <c r="D163" s="1000"/>
      <c r="E163" s="1006" t="s">
        <v>1062</v>
      </c>
      <c r="F163" s="977"/>
      <c r="G163" s="400">
        <f t="shared" si="8"/>
        <v>111000</v>
      </c>
      <c r="H163" s="401">
        <f t="shared" si="9"/>
        <v>111000</v>
      </c>
      <c r="I163" s="401">
        <v>111000</v>
      </c>
      <c r="J163" s="401">
        <v>0</v>
      </c>
      <c r="K163" s="401">
        <f t="shared" si="10"/>
        <v>0</v>
      </c>
      <c r="L163" s="401">
        <v>0</v>
      </c>
      <c r="M163" s="401">
        <v>0</v>
      </c>
    </row>
    <row r="164" spans="1:13" s="417" customFormat="1" ht="40.5" customHeight="1">
      <c r="A164" s="993"/>
      <c r="B164" s="994"/>
      <c r="C164" s="974"/>
      <c r="D164" s="975"/>
      <c r="E164" s="976" t="s">
        <v>1063</v>
      </c>
      <c r="F164" s="977"/>
      <c r="G164" s="400">
        <f t="shared" si="8"/>
        <v>861574</v>
      </c>
      <c r="H164" s="401">
        <f t="shared" si="9"/>
        <v>861574</v>
      </c>
      <c r="I164" s="401">
        <v>861574</v>
      </c>
      <c r="J164" s="401">
        <v>0</v>
      </c>
      <c r="K164" s="401">
        <f t="shared" si="10"/>
        <v>0</v>
      </c>
      <c r="L164" s="401">
        <v>0</v>
      </c>
      <c r="M164" s="401">
        <v>0</v>
      </c>
    </row>
    <row r="165" spans="1:13" s="417" customFormat="1" ht="40.5" customHeight="1">
      <c r="A165" s="1001"/>
      <c r="B165" s="1002"/>
      <c r="C165" s="999"/>
      <c r="D165" s="1000"/>
      <c r="E165" s="976" t="s">
        <v>1064</v>
      </c>
      <c r="F165" s="977"/>
      <c r="G165" s="400">
        <f t="shared" si="8"/>
        <v>890516</v>
      </c>
      <c r="H165" s="401">
        <f t="shared" si="9"/>
        <v>890516</v>
      </c>
      <c r="I165" s="401">
        <v>890516</v>
      </c>
      <c r="J165" s="401">
        <v>0</v>
      </c>
      <c r="K165" s="401">
        <f t="shared" si="10"/>
        <v>0</v>
      </c>
      <c r="L165" s="401">
        <v>0</v>
      </c>
      <c r="M165" s="401">
        <v>0</v>
      </c>
    </row>
    <row r="166" spans="1:13" s="417" customFormat="1" ht="30" customHeight="1">
      <c r="A166" s="972"/>
      <c r="B166" s="973"/>
      <c r="C166" s="991"/>
      <c r="D166" s="992"/>
      <c r="E166" s="976" t="s">
        <v>1065</v>
      </c>
      <c r="F166" s="977"/>
      <c r="G166" s="400">
        <f t="shared" si="8"/>
        <v>600000</v>
      </c>
      <c r="H166" s="401">
        <f t="shared" si="9"/>
        <v>600000</v>
      </c>
      <c r="I166" s="401">
        <v>600000</v>
      </c>
      <c r="J166" s="401">
        <v>0</v>
      </c>
      <c r="K166" s="401">
        <f t="shared" si="10"/>
        <v>0</v>
      </c>
      <c r="L166" s="401">
        <v>0</v>
      </c>
      <c r="M166" s="401">
        <v>0</v>
      </c>
    </row>
    <row r="167" spans="1:13" s="417" customFormat="1" ht="28.5" customHeight="1">
      <c r="A167" s="972"/>
      <c r="B167" s="973"/>
      <c r="C167" s="991"/>
      <c r="D167" s="992"/>
      <c r="E167" s="1005" t="s">
        <v>1066</v>
      </c>
      <c r="F167" s="977"/>
      <c r="G167" s="400">
        <f t="shared" si="8"/>
        <v>28515</v>
      </c>
      <c r="H167" s="401">
        <f t="shared" si="9"/>
        <v>28515</v>
      </c>
      <c r="I167" s="401">
        <v>28515</v>
      </c>
      <c r="J167" s="401">
        <v>0</v>
      </c>
      <c r="K167" s="401">
        <f t="shared" si="10"/>
        <v>0</v>
      </c>
      <c r="L167" s="401">
        <v>0</v>
      </c>
      <c r="M167" s="401">
        <v>0</v>
      </c>
    </row>
    <row r="168" spans="1:13" s="417" customFormat="1" ht="53.25" customHeight="1">
      <c r="A168" s="972"/>
      <c r="B168" s="973"/>
      <c r="C168" s="991"/>
      <c r="D168" s="992"/>
      <c r="E168" s="1005" t="s">
        <v>1067</v>
      </c>
      <c r="F168" s="977"/>
      <c r="G168" s="400">
        <f t="shared" si="8"/>
        <v>1183093</v>
      </c>
      <c r="H168" s="401">
        <f t="shared" si="9"/>
        <v>1183093</v>
      </c>
      <c r="I168" s="401">
        <v>1183093</v>
      </c>
      <c r="J168" s="401">
        <v>0</v>
      </c>
      <c r="K168" s="401">
        <f t="shared" si="10"/>
        <v>0</v>
      </c>
      <c r="L168" s="401">
        <v>0</v>
      </c>
      <c r="M168" s="401">
        <v>0</v>
      </c>
    </row>
    <row r="169" spans="1:13" s="417" customFormat="1" ht="53.25" customHeight="1">
      <c r="A169" s="972"/>
      <c r="B169" s="973"/>
      <c r="C169" s="974"/>
      <c r="D169" s="975"/>
      <c r="E169" s="1005" t="s">
        <v>1068</v>
      </c>
      <c r="F169" s="977"/>
      <c r="G169" s="400">
        <f t="shared" si="8"/>
        <v>6814127</v>
      </c>
      <c r="H169" s="401">
        <f t="shared" si="9"/>
        <v>6814127</v>
      </c>
      <c r="I169" s="401">
        <v>6814127</v>
      </c>
      <c r="J169" s="401">
        <v>0</v>
      </c>
      <c r="K169" s="401">
        <f t="shared" si="10"/>
        <v>0</v>
      </c>
      <c r="L169" s="401">
        <v>0</v>
      </c>
      <c r="M169" s="401">
        <v>0</v>
      </c>
    </row>
    <row r="170" spans="1:13" s="417" customFormat="1" ht="30" customHeight="1">
      <c r="A170" s="972"/>
      <c r="B170" s="973"/>
      <c r="C170" s="999" t="s">
        <v>242</v>
      </c>
      <c r="D170" s="1000"/>
      <c r="E170" s="976" t="s">
        <v>1060</v>
      </c>
      <c r="F170" s="977"/>
      <c r="G170" s="400">
        <f t="shared" si="8"/>
        <v>51000</v>
      </c>
      <c r="H170" s="401">
        <f t="shared" si="9"/>
        <v>51000</v>
      </c>
      <c r="I170" s="401">
        <v>0</v>
      </c>
      <c r="J170" s="401">
        <v>51000</v>
      </c>
      <c r="K170" s="401">
        <f t="shared" si="10"/>
        <v>0</v>
      </c>
      <c r="L170" s="401">
        <v>0</v>
      </c>
      <c r="M170" s="401">
        <v>0</v>
      </c>
    </row>
    <row r="171" spans="1:13" s="417" customFormat="1" ht="40.5" customHeight="1">
      <c r="A171" s="972"/>
      <c r="B171" s="973"/>
      <c r="C171" s="991"/>
      <c r="D171" s="992"/>
      <c r="E171" s="976" t="s">
        <v>1069</v>
      </c>
      <c r="F171" s="977"/>
      <c r="G171" s="400">
        <f t="shared" si="8"/>
        <v>89680</v>
      </c>
      <c r="H171" s="401">
        <f t="shared" si="9"/>
        <v>89680</v>
      </c>
      <c r="I171" s="401">
        <v>89680</v>
      </c>
      <c r="J171" s="401">
        <v>0</v>
      </c>
      <c r="K171" s="401">
        <f t="shared" si="10"/>
        <v>0</v>
      </c>
      <c r="L171" s="401">
        <v>0</v>
      </c>
      <c r="M171" s="401">
        <v>0</v>
      </c>
    </row>
    <row r="172" spans="1:13" s="417" customFormat="1" ht="30" customHeight="1">
      <c r="A172" s="972"/>
      <c r="B172" s="973"/>
      <c r="C172" s="974"/>
      <c r="D172" s="975"/>
      <c r="E172" s="976" t="s">
        <v>1070</v>
      </c>
      <c r="F172" s="977"/>
      <c r="G172" s="400">
        <f t="shared" si="8"/>
        <v>100000</v>
      </c>
      <c r="H172" s="401">
        <f t="shared" si="9"/>
        <v>100000</v>
      </c>
      <c r="I172" s="401">
        <v>100000</v>
      </c>
      <c r="J172" s="401">
        <v>0</v>
      </c>
      <c r="K172" s="401">
        <f t="shared" si="10"/>
        <v>0</v>
      </c>
      <c r="L172" s="401">
        <v>0</v>
      </c>
      <c r="M172" s="401">
        <v>0</v>
      </c>
    </row>
    <row r="173" spans="1:13" s="417" customFormat="1" ht="40.5" customHeight="1">
      <c r="A173" s="972"/>
      <c r="B173" s="973"/>
      <c r="C173" s="1003" t="s">
        <v>329</v>
      </c>
      <c r="D173" s="1004"/>
      <c r="E173" s="976" t="s">
        <v>1071</v>
      </c>
      <c r="F173" s="977"/>
      <c r="G173" s="400">
        <f t="shared" si="8"/>
        <v>45000</v>
      </c>
      <c r="H173" s="401">
        <f t="shared" si="9"/>
        <v>45000</v>
      </c>
      <c r="I173" s="401">
        <v>45000</v>
      </c>
      <c r="J173" s="401">
        <v>0</v>
      </c>
      <c r="K173" s="401">
        <f t="shared" si="10"/>
        <v>0</v>
      </c>
      <c r="L173" s="401">
        <v>0</v>
      </c>
      <c r="M173" s="401">
        <v>0</v>
      </c>
    </row>
    <row r="174" spans="1:13" s="417" customFormat="1" ht="30" customHeight="1">
      <c r="A174" s="972"/>
      <c r="B174" s="973"/>
      <c r="C174" s="999" t="s">
        <v>283</v>
      </c>
      <c r="D174" s="1000"/>
      <c r="E174" s="976" t="s">
        <v>1072</v>
      </c>
      <c r="F174" s="977"/>
      <c r="G174" s="400">
        <f t="shared" si="8"/>
        <v>100000</v>
      </c>
      <c r="H174" s="401">
        <f t="shared" si="9"/>
        <v>100000</v>
      </c>
      <c r="I174" s="401">
        <v>100000</v>
      </c>
      <c r="J174" s="401">
        <v>0</v>
      </c>
      <c r="K174" s="401">
        <f t="shared" si="10"/>
        <v>0</v>
      </c>
      <c r="L174" s="401">
        <v>0</v>
      </c>
      <c r="M174" s="401">
        <v>0</v>
      </c>
    </row>
    <row r="175" spans="1:13" s="417" customFormat="1" ht="40.5" customHeight="1">
      <c r="A175" s="972"/>
      <c r="B175" s="973"/>
      <c r="C175" s="991"/>
      <c r="D175" s="992"/>
      <c r="E175" s="976" t="s">
        <v>1073</v>
      </c>
      <c r="F175" s="977"/>
      <c r="G175" s="400">
        <f t="shared" si="8"/>
        <v>80000</v>
      </c>
      <c r="H175" s="401">
        <f t="shared" si="9"/>
        <v>80000</v>
      </c>
      <c r="I175" s="401">
        <v>80000</v>
      </c>
      <c r="J175" s="401">
        <v>0</v>
      </c>
      <c r="K175" s="401">
        <f t="shared" si="10"/>
        <v>0</v>
      </c>
      <c r="L175" s="401">
        <v>0</v>
      </c>
      <c r="M175" s="401">
        <v>0</v>
      </c>
    </row>
    <row r="176" spans="1:13" s="417" customFormat="1" ht="40.5" customHeight="1">
      <c r="A176" s="972"/>
      <c r="B176" s="973"/>
      <c r="C176" s="991"/>
      <c r="D176" s="992"/>
      <c r="E176" s="976" t="s">
        <v>1074</v>
      </c>
      <c r="F176" s="977"/>
      <c r="G176" s="400">
        <f t="shared" si="8"/>
        <v>80000</v>
      </c>
      <c r="H176" s="401">
        <f t="shared" si="9"/>
        <v>80000</v>
      </c>
      <c r="I176" s="401">
        <v>80000</v>
      </c>
      <c r="J176" s="401">
        <v>0</v>
      </c>
      <c r="K176" s="401">
        <f t="shared" si="10"/>
        <v>0</v>
      </c>
      <c r="L176" s="401">
        <v>0</v>
      </c>
      <c r="M176" s="401">
        <v>0</v>
      </c>
    </row>
    <row r="177" spans="1:13" s="417" customFormat="1" ht="30" customHeight="1">
      <c r="A177" s="972"/>
      <c r="B177" s="973"/>
      <c r="C177" s="974"/>
      <c r="D177" s="975"/>
      <c r="E177" s="976" t="s">
        <v>1061</v>
      </c>
      <c r="F177" s="977"/>
      <c r="G177" s="400">
        <f t="shared" si="8"/>
        <v>45000</v>
      </c>
      <c r="H177" s="401">
        <f t="shared" si="9"/>
        <v>45000</v>
      </c>
      <c r="I177" s="401">
        <v>0</v>
      </c>
      <c r="J177" s="401">
        <v>45000</v>
      </c>
      <c r="K177" s="401">
        <f t="shared" si="10"/>
        <v>0</v>
      </c>
      <c r="L177" s="401">
        <v>0</v>
      </c>
      <c r="M177" s="401">
        <v>0</v>
      </c>
    </row>
    <row r="178" spans="1:13" s="377" customFormat="1" ht="18" customHeight="1">
      <c r="A178" s="987"/>
      <c r="B178" s="988"/>
      <c r="C178" s="983" t="s">
        <v>244</v>
      </c>
      <c r="D178" s="984"/>
      <c r="E178" s="997" t="s">
        <v>1075</v>
      </c>
      <c r="F178" s="986"/>
      <c r="G178" s="423">
        <f t="shared" si="8"/>
        <v>74000</v>
      </c>
      <c r="H178" s="424">
        <f t="shared" si="9"/>
        <v>74000</v>
      </c>
      <c r="I178" s="424">
        <v>0</v>
      </c>
      <c r="J178" s="424">
        <v>74000</v>
      </c>
      <c r="K178" s="424">
        <f t="shared" si="10"/>
        <v>0</v>
      </c>
      <c r="L178" s="424">
        <v>0</v>
      </c>
      <c r="M178" s="424">
        <v>0</v>
      </c>
    </row>
    <row r="179" spans="1:13" s="417" customFormat="1" ht="30" customHeight="1">
      <c r="A179" s="972"/>
      <c r="B179" s="973"/>
      <c r="C179" s="991"/>
      <c r="D179" s="992"/>
      <c r="E179" s="976" t="s">
        <v>1076</v>
      </c>
      <c r="F179" s="977"/>
      <c r="G179" s="400">
        <f t="shared" si="8"/>
        <v>386349</v>
      </c>
      <c r="H179" s="401">
        <f t="shared" si="9"/>
        <v>386349</v>
      </c>
      <c r="I179" s="401">
        <v>386349</v>
      </c>
      <c r="J179" s="401">
        <v>0</v>
      </c>
      <c r="K179" s="401">
        <f t="shared" si="10"/>
        <v>0</v>
      </c>
      <c r="L179" s="401">
        <v>0</v>
      </c>
      <c r="M179" s="401">
        <v>0</v>
      </c>
    </row>
    <row r="180" spans="1:13" s="417" customFormat="1" ht="40.5" customHeight="1">
      <c r="A180" s="993"/>
      <c r="B180" s="994"/>
      <c r="C180" s="974"/>
      <c r="D180" s="975"/>
      <c r="E180" s="976" t="s">
        <v>1077</v>
      </c>
      <c r="F180" s="977"/>
      <c r="G180" s="400">
        <f t="shared" si="8"/>
        <v>350000</v>
      </c>
      <c r="H180" s="401">
        <f t="shared" si="9"/>
        <v>350000</v>
      </c>
      <c r="I180" s="401">
        <v>350000</v>
      </c>
      <c r="J180" s="401">
        <v>0</v>
      </c>
      <c r="K180" s="401">
        <f t="shared" si="10"/>
        <v>0</v>
      </c>
      <c r="L180" s="401">
        <v>0</v>
      </c>
      <c r="M180" s="401">
        <v>0</v>
      </c>
    </row>
    <row r="181" spans="1:13" s="417" customFormat="1" ht="30" customHeight="1">
      <c r="A181" s="1001"/>
      <c r="B181" s="1002"/>
      <c r="C181" s="1003"/>
      <c r="D181" s="1004"/>
      <c r="E181" s="976" t="s">
        <v>1078</v>
      </c>
      <c r="F181" s="977"/>
      <c r="G181" s="400">
        <f t="shared" si="8"/>
        <v>500000</v>
      </c>
      <c r="H181" s="401">
        <f t="shared" si="9"/>
        <v>500000</v>
      </c>
      <c r="I181" s="401">
        <v>500000</v>
      </c>
      <c r="J181" s="401">
        <v>0</v>
      </c>
      <c r="K181" s="401">
        <f t="shared" si="10"/>
        <v>0</v>
      </c>
      <c r="L181" s="401">
        <v>0</v>
      </c>
      <c r="M181" s="401">
        <v>0</v>
      </c>
    </row>
    <row r="182" spans="1:13" s="377" customFormat="1" ht="18" customHeight="1">
      <c r="A182" s="987"/>
      <c r="B182" s="988"/>
      <c r="C182" s="995" t="s">
        <v>1008</v>
      </c>
      <c r="D182" s="996"/>
      <c r="E182" s="997" t="s">
        <v>1079</v>
      </c>
      <c r="F182" s="998"/>
      <c r="G182" s="423">
        <f t="shared" si="8"/>
        <v>1125000</v>
      </c>
      <c r="H182" s="424">
        <f t="shared" si="9"/>
        <v>225000</v>
      </c>
      <c r="I182" s="424">
        <v>0</v>
      </c>
      <c r="J182" s="424">
        <v>225000</v>
      </c>
      <c r="K182" s="424">
        <f t="shared" si="10"/>
        <v>900000</v>
      </c>
      <c r="L182" s="424">
        <v>0</v>
      </c>
      <c r="M182" s="424">
        <v>900000</v>
      </c>
    </row>
    <row r="183" spans="1:13" s="417" customFormat="1" ht="30" customHeight="1">
      <c r="A183" s="972"/>
      <c r="B183" s="973"/>
      <c r="C183" s="999" t="s">
        <v>1080</v>
      </c>
      <c r="D183" s="1000"/>
      <c r="E183" s="976" t="s">
        <v>1081</v>
      </c>
      <c r="F183" s="977"/>
      <c r="G183" s="400">
        <f t="shared" si="8"/>
        <v>1100000</v>
      </c>
      <c r="H183" s="401">
        <f t="shared" si="9"/>
        <v>0</v>
      </c>
      <c r="I183" s="401">
        <v>0</v>
      </c>
      <c r="J183" s="401">
        <v>0</v>
      </c>
      <c r="K183" s="401">
        <f t="shared" si="10"/>
        <v>1100000</v>
      </c>
      <c r="L183" s="401">
        <v>0</v>
      </c>
      <c r="M183" s="401">
        <v>1100000</v>
      </c>
    </row>
    <row r="184" spans="1:13" s="377" customFormat="1" ht="18" customHeight="1">
      <c r="A184" s="987"/>
      <c r="B184" s="988"/>
      <c r="C184" s="989"/>
      <c r="D184" s="990"/>
      <c r="E184" s="985" t="s">
        <v>1082</v>
      </c>
      <c r="F184" s="986"/>
      <c r="G184" s="423">
        <f t="shared" si="8"/>
        <v>360000</v>
      </c>
      <c r="H184" s="424">
        <f t="shared" si="9"/>
        <v>360000</v>
      </c>
      <c r="I184" s="424">
        <v>0</v>
      </c>
      <c r="J184" s="424">
        <v>360000</v>
      </c>
      <c r="K184" s="424">
        <f t="shared" si="10"/>
        <v>0</v>
      </c>
      <c r="L184" s="424">
        <v>0</v>
      </c>
      <c r="M184" s="424">
        <v>0</v>
      </c>
    </row>
    <row r="185" spans="1:13" s="417" customFormat="1" ht="30" customHeight="1">
      <c r="A185" s="972"/>
      <c r="B185" s="973"/>
      <c r="C185" s="991"/>
      <c r="D185" s="992"/>
      <c r="E185" s="976" t="s">
        <v>1083</v>
      </c>
      <c r="F185" s="977"/>
      <c r="G185" s="400">
        <f aca="true" t="shared" si="11" ref="G185:G192">H185+K185</f>
        <v>50000</v>
      </c>
      <c r="H185" s="401">
        <f aca="true" t="shared" si="12" ref="H185:H192">I185+J185</f>
        <v>50000</v>
      </c>
      <c r="I185" s="401">
        <v>0</v>
      </c>
      <c r="J185" s="401">
        <v>50000</v>
      </c>
      <c r="K185" s="401">
        <f aca="true" t="shared" si="13" ref="K185:K192">L185+M185</f>
        <v>0</v>
      </c>
      <c r="L185" s="401">
        <v>0</v>
      </c>
      <c r="M185" s="401">
        <v>0</v>
      </c>
    </row>
    <row r="186" spans="1:13" s="417" customFormat="1" ht="30" customHeight="1">
      <c r="A186" s="972"/>
      <c r="B186" s="973"/>
      <c r="C186" s="991"/>
      <c r="D186" s="992"/>
      <c r="E186" s="976" t="s">
        <v>1084</v>
      </c>
      <c r="F186" s="977"/>
      <c r="G186" s="400">
        <f t="shared" si="11"/>
        <v>640000</v>
      </c>
      <c r="H186" s="401">
        <f t="shared" si="12"/>
        <v>640000</v>
      </c>
      <c r="I186" s="401">
        <v>0</v>
      </c>
      <c r="J186" s="401">
        <v>640000</v>
      </c>
      <c r="K186" s="401">
        <f t="shared" si="13"/>
        <v>0</v>
      </c>
      <c r="L186" s="401">
        <v>0</v>
      </c>
      <c r="M186" s="401">
        <v>0</v>
      </c>
    </row>
    <row r="187" spans="1:13" s="417" customFormat="1" ht="30" customHeight="1">
      <c r="A187" s="972"/>
      <c r="B187" s="973"/>
      <c r="C187" s="991"/>
      <c r="D187" s="992"/>
      <c r="E187" s="976" t="s">
        <v>1058</v>
      </c>
      <c r="F187" s="977"/>
      <c r="G187" s="400">
        <f t="shared" si="11"/>
        <v>450000</v>
      </c>
      <c r="H187" s="401">
        <f t="shared" si="12"/>
        <v>450000</v>
      </c>
      <c r="I187" s="401">
        <v>0</v>
      </c>
      <c r="J187" s="401">
        <v>450000</v>
      </c>
      <c r="K187" s="401">
        <f t="shared" si="13"/>
        <v>0</v>
      </c>
      <c r="L187" s="401">
        <v>0</v>
      </c>
      <c r="M187" s="401">
        <v>0</v>
      </c>
    </row>
    <row r="188" spans="1:13" s="417" customFormat="1" ht="30" customHeight="1">
      <c r="A188" s="972"/>
      <c r="B188" s="973"/>
      <c r="C188" s="991"/>
      <c r="D188" s="992"/>
      <c r="E188" s="976" t="s">
        <v>1059</v>
      </c>
      <c r="F188" s="977"/>
      <c r="G188" s="400">
        <f t="shared" si="11"/>
        <v>450000</v>
      </c>
      <c r="H188" s="401">
        <f t="shared" si="12"/>
        <v>450000</v>
      </c>
      <c r="I188" s="401">
        <v>0</v>
      </c>
      <c r="J188" s="401">
        <v>450000</v>
      </c>
      <c r="K188" s="401">
        <f t="shared" si="13"/>
        <v>0</v>
      </c>
      <c r="L188" s="401">
        <v>0</v>
      </c>
      <c r="M188" s="401">
        <v>0</v>
      </c>
    </row>
    <row r="189" spans="1:13" s="417" customFormat="1" ht="40.5" customHeight="1">
      <c r="A189" s="993"/>
      <c r="B189" s="994"/>
      <c r="C189" s="974"/>
      <c r="D189" s="975"/>
      <c r="E189" s="976" t="s">
        <v>1085</v>
      </c>
      <c r="F189" s="977"/>
      <c r="G189" s="400">
        <f t="shared" si="11"/>
        <v>130000</v>
      </c>
      <c r="H189" s="401">
        <f t="shared" si="12"/>
        <v>130000</v>
      </c>
      <c r="I189" s="401">
        <v>0</v>
      </c>
      <c r="J189" s="401">
        <v>130000</v>
      </c>
      <c r="K189" s="401">
        <f t="shared" si="13"/>
        <v>0</v>
      </c>
      <c r="L189" s="401">
        <v>0</v>
      </c>
      <c r="M189" s="401">
        <v>0</v>
      </c>
    </row>
    <row r="190" spans="1:13" s="377" customFormat="1" ht="18" customHeight="1">
      <c r="A190" s="981" t="s">
        <v>211</v>
      </c>
      <c r="B190" s="982"/>
      <c r="C190" s="983" t="s">
        <v>246</v>
      </c>
      <c r="D190" s="984"/>
      <c r="E190" s="985" t="s">
        <v>1086</v>
      </c>
      <c r="F190" s="986"/>
      <c r="G190" s="415">
        <f t="shared" si="11"/>
        <v>3000000</v>
      </c>
      <c r="H190" s="416">
        <f t="shared" si="12"/>
        <v>0</v>
      </c>
      <c r="I190" s="416">
        <v>0</v>
      </c>
      <c r="J190" s="416">
        <v>0</v>
      </c>
      <c r="K190" s="416">
        <f t="shared" si="13"/>
        <v>3000000</v>
      </c>
      <c r="L190" s="416">
        <v>0</v>
      </c>
      <c r="M190" s="416">
        <v>3000000</v>
      </c>
    </row>
    <row r="191" spans="1:13" s="377" customFormat="1" ht="18" customHeight="1">
      <c r="A191" s="987"/>
      <c r="B191" s="988"/>
      <c r="C191" s="989"/>
      <c r="D191" s="990"/>
      <c r="E191" s="985" t="s">
        <v>1087</v>
      </c>
      <c r="F191" s="986"/>
      <c r="G191" s="415">
        <f t="shared" si="11"/>
        <v>900000</v>
      </c>
      <c r="H191" s="416">
        <f t="shared" si="12"/>
        <v>0</v>
      </c>
      <c r="I191" s="416">
        <v>0</v>
      </c>
      <c r="J191" s="416">
        <v>0</v>
      </c>
      <c r="K191" s="416">
        <f t="shared" si="13"/>
        <v>900000</v>
      </c>
      <c r="L191" s="416">
        <v>0</v>
      </c>
      <c r="M191" s="416">
        <v>900000</v>
      </c>
    </row>
    <row r="192" spans="1:13" s="417" customFormat="1" ht="30" customHeight="1">
      <c r="A192" s="972"/>
      <c r="B192" s="973"/>
      <c r="C192" s="974"/>
      <c r="D192" s="975"/>
      <c r="E192" s="976" t="s">
        <v>1088</v>
      </c>
      <c r="F192" s="977"/>
      <c r="G192" s="438">
        <f t="shared" si="11"/>
        <v>2000000</v>
      </c>
      <c r="H192" s="439">
        <f t="shared" si="12"/>
        <v>1950000</v>
      </c>
      <c r="I192" s="439">
        <v>1950000</v>
      </c>
      <c r="J192" s="439">
        <v>0</v>
      </c>
      <c r="K192" s="439">
        <f t="shared" si="13"/>
        <v>50000</v>
      </c>
      <c r="L192" s="439">
        <v>50000</v>
      </c>
      <c r="M192" s="439">
        <v>0</v>
      </c>
    </row>
    <row r="193" spans="1:13" s="411" customFormat="1" ht="5.25" customHeight="1">
      <c r="A193" s="428"/>
      <c r="B193" s="429"/>
      <c r="C193" s="429"/>
      <c r="D193" s="429"/>
      <c r="E193" s="429"/>
      <c r="F193" s="429"/>
      <c r="G193" s="581"/>
      <c r="H193" s="582"/>
      <c r="I193" s="582"/>
      <c r="J193" s="582"/>
      <c r="K193" s="582"/>
      <c r="L193" s="582"/>
      <c r="M193" s="583"/>
    </row>
    <row r="194" spans="1:13" s="444" customFormat="1" ht="20.25" customHeight="1">
      <c r="A194" s="978" t="s">
        <v>123</v>
      </c>
      <c r="B194" s="979"/>
      <c r="C194" s="979"/>
      <c r="D194" s="979"/>
      <c r="E194" s="979"/>
      <c r="F194" s="980"/>
      <c r="G194" s="584">
        <f aca="true" t="shared" si="14" ref="G194:M194">G12</f>
        <v>433112523</v>
      </c>
      <c r="H194" s="584">
        <f t="shared" si="14"/>
        <v>248224556</v>
      </c>
      <c r="I194" s="584">
        <f t="shared" si="14"/>
        <v>133934998</v>
      </c>
      <c r="J194" s="584">
        <f t="shared" si="14"/>
        <v>114289558</v>
      </c>
      <c r="K194" s="584">
        <f t="shared" si="14"/>
        <v>184887967</v>
      </c>
      <c r="L194" s="584">
        <f t="shared" si="14"/>
        <v>3150572</v>
      </c>
      <c r="M194" s="584">
        <f t="shared" si="14"/>
        <v>181737395</v>
      </c>
    </row>
    <row r="195" spans="1:13" s="377" customFormat="1" ht="3" customHeight="1">
      <c r="A195" s="445"/>
      <c r="B195" s="445"/>
      <c r="C195" s="445"/>
      <c r="D195" s="445"/>
      <c r="E195" s="446"/>
      <c r="F195" s="447"/>
      <c r="G195" s="448"/>
      <c r="H195" s="449"/>
      <c r="I195" s="449"/>
      <c r="J195" s="449"/>
      <c r="K195" s="449"/>
      <c r="L195" s="449"/>
      <c r="M195" s="449"/>
    </row>
    <row r="196" spans="1:5" ht="13.5" customHeight="1">
      <c r="A196" s="450" t="s">
        <v>1089</v>
      </c>
      <c r="B196" s="451"/>
      <c r="C196" s="452"/>
      <c r="D196" s="451"/>
      <c r="E196" s="452"/>
    </row>
    <row r="197" spans="1:5" ht="13.5" customHeight="1">
      <c r="A197" s="457" t="s">
        <v>1090</v>
      </c>
      <c r="B197" s="458"/>
      <c r="C197" s="459"/>
      <c r="D197" s="458"/>
      <c r="E197" s="459"/>
    </row>
  </sheetData>
  <sheetProtection password="C25B" sheet="1"/>
  <mergeCells count="456">
    <mergeCell ref="H1:J1"/>
    <mergeCell ref="K1:M1"/>
    <mergeCell ref="A4:M4"/>
    <mergeCell ref="A5:M5"/>
    <mergeCell ref="A7:B9"/>
    <mergeCell ref="C7:D9"/>
    <mergeCell ref="E7:F8"/>
    <mergeCell ref="G7:G9"/>
    <mergeCell ref="H7:J7"/>
    <mergeCell ref="K7:M7"/>
    <mergeCell ref="H8:H9"/>
    <mergeCell ref="K8:K9"/>
    <mergeCell ref="A10:B10"/>
    <mergeCell ref="C10:D10"/>
    <mergeCell ref="A12:F12"/>
    <mergeCell ref="A14:F14"/>
    <mergeCell ref="A16:B16"/>
    <mergeCell ref="C16:D16"/>
    <mergeCell ref="E16:F16"/>
    <mergeCell ref="A18:F18"/>
    <mergeCell ref="A20:F20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5:F65"/>
    <mergeCell ref="A67:F67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10:F110"/>
    <mergeCell ref="A112:B112"/>
    <mergeCell ref="C112:D112"/>
    <mergeCell ref="A113:B113"/>
    <mergeCell ref="C113:D113"/>
    <mergeCell ref="A115:F115"/>
    <mergeCell ref="A117:B117"/>
    <mergeCell ref="C117:D117"/>
    <mergeCell ref="E117:F117"/>
    <mergeCell ref="A119:F119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A124:B124"/>
    <mergeCell ref="C124:D124"/>
    <mergeCell ref="E124:F124"/>
    <mergeCell ref="A125:B125"/>
    <mergeCell ref="C125:D125"/>
    <mergeCell ref="E125:F125"/>
    <mergeCell ref="A126:B126"/>
    <mergeCell ref="C126:D126"/>
    <mergeCell ref="E126:F12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2:B132"/>
    <mergeCell ref="C132:D132"/>
    <mergeCell ref="E132:F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E139:F139"/>
    <mergeCell ref="A140:B140"/>
    <mergeCell ref="C140:D140"/>
    <mergeCell ref="E140:F140"/>
    <mergeCell ref="A141:B141"/>
    <mergeCell ref="C141:D141"/>
    <mergeCell ref="E141:F141"/>
    <mergeCell ref="A142:B142"/>
    <mergeCell ref="C142:D142"/>
    <mergeCell ref="E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1:B151"/>
    <mergeCell ref="C151:D151"/>
    <mergeCell ref="E151:F151"/>
    <mergeCell ref="A152:B152"/>
    <mergeCell ref="C152:D152"/>
    <mergeCell ref="E152:F152"/>
    <mergeCell ref="A153:B153"/>
    <mergeCell ref="C153:D153"/>
    <mergeCell ref="E153:F153"/>
    <mergeCell ref="A154:B154"/>
    <mergeCell ref="C154:D154"/>
    <mergeCell ref="E154:F154"/>
    <mergeCell ref="A155:B155"/>
    <mergeCell ref="C155:D155"/>
    <mergeCell ref="E155:F155"/>
    <mergeCell ref="A156:B156"/>
    <mergeCell ref="C156:D156"/>
    <mergeCell ref="E156:F156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B172"/>
    <mergeCell ref="C172:D172"/>
    <mergeCell ref="E172:F172"/>
    <mergeCell ref="A173:B173"/>
    <mergeCell ref="C173:D173"/>
    <mergeCell ref="E173:F173"/>
    <mergeCell ref="A174:B174"/>
    <mergeCell ref="C174:D174"/>
    <mergeCell ref="E174:F174"/>
    <mergeCell ref="A175:B175"/>
    <mergeCell ref="C175:D175"/>
    <mergeCell ref="E175:F175"/>
    <mergeCell ref="A176:B176"/>
    <mergeCell ref="C176:D176"/>
    <mergeCell ref="E176:F176"/>
    <mergeCell ref="A177:B177"/>
    <mergeCell ref="C177:D177"/>
    <mergeCell ref="E177:F177"/>
    <mergeCell ref="A178:B178"/>
    <mergeCell ref="C178:D178"/>
    <mergeCell ref="E178:F178"/>
    <mergeCell ref="A179:B179"/>
    <mergeCell ref="C179:D179"/>
    <mergeCell ref="E179:F179"/>
    <mergeCell ref="A180:B180"/>
    <mergeCell ref="C180:D180"/>
    <mergeCell ref="E180:F180"/>
    <mergeCell ref="A181:B181"/>
    <mergeCell ref="C181:D181"/>
    <mergeCell ref="E181:F181"/>
    <mergeCell ref="A182:B182"/>
    <mergeCell ref="C182:D182"/>
    <mergeCell ref="E182:F182"/>
    <mergeCell ref="A183:B183"/>
    <mergeCell ref="C183:D183"/>
    <mergeCell ref="E183:F183"/>
    <mergeCell ref="A184:B184"/>
    <mergeCell ref="C184:D184"/>
    <mergeCell ref="E184:F184"/>
    <mergeCell ref="A185:B185"/>
    <mergeCell ref="C185:D185"/>
    <mergeCell ref="E185:F185"/>
    <mergeCell ref="A186:B186"/>
    <mergeCell ref="C186:D186"/>
    <mergeCell ref="E186:F186"/>
    <mergeCell ref="A187:B187"/>
    <mergeCell ref="C187:D187"/>
    <mergeCell ref="E187:F187"/>
    <mergeCell ref="A188:B188"/>
    <mergeCell ref="C188:D188"/>
    <mergeCell ref="E188:F188"/>
    <mergeCell ref="A189:B189"/>
    <mergeCell ref="C189:D189"/>
    <mergeCell ref="E189:F189"/>
    <mergeCell ref="A192:B192"/>
    <mergeCell ref="C192:D192"/>
    <mergeCell ref="E192:F192"/>
    <mergeCell ref="A194:F194"/>
    <mergeCell ref="A190:B190"/>
    <mergeCell ref="C190:D190"/>
    <mergeCell ref="E190:F190"/>
    <mergeCell ref="A191:B191"/>
    <mergeCell ref="C191:D191"/>
    <mergeCell ref="E191:F191"/>
  </mergeCells>
  <printOptions horizontalCentered="1"/>
  <pageMargins left="0.5905511811023623" right="0.5905511811023623" top="0.984251968503937" bottom="0.748031496062992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Anna Sobierajska</cp:lastModifiedBy>
  <cp:lastPrinted>2019-11-13T12:40:11Z</cp:lastPrinted>
  <dcterms:created xsi:type="dcterms:W3CDTF">2010-11-02T12:16:55Z</dcterms:created>
  <dcterms:modified xsi:type="dcterms:W3CDTF">2019-12-11T13:22:14Z</dcterms:modified>
  <cp:category/>
  <cp:version/>
  <cp:contentType/>
  <cp:contentStatus/>
</cp:coreProperties>
</file>