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activeTab="10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  <sheet name="zał.8 " sheetId="8" r:id="rId8"/>
    <sheet name="zał.9" sheetId="9" r:id="rId9"/>
    <sheet name="zał.10" sheetId="10" r:id="rId10"/>
    <sheet name="zał.11" sheetId="11" r:id="rId11"/>
  </sheets>
  <definedNames>
    <definedName name="_xlnm.Print_Area" localSheetId="0">'zał.1'!$A$1:$Q$160</definedName>
    <definedName name="_xlnm.Print_Area" localSheetId="9">'zał.10'!$A$1:$G$96</definedName>
    <definedName name="_xlnm.Print_Area" localSheetId="1">'zał.2'!$A$1:$G$72</definedName>
    <definedName name="_xlnm.Print_Area" localSheetId="4">'zał.5'!$A$1:$F$53</definedName>
    <definedName name="_xlnm.Print_Titles" localSheetId="0">'zał.1'!$7:$11</definedName>
    <definedName name="_xlnm.Print_Titles" localSheetId="9">'zał.10'!$7:$9</definedName>
    <definedName name="_xlnm.Print_Titles" localSheetId="1">'zał.2'!$7:$8</definedName>
    <definedName name="_xlnm.Print_Titles" localSheetId="2">'zał.3'!$8:$12</definedName>
    <definedName name="_xlnm.Print_Titles" localSheetId="3">'zał.4'!$7:$9</definedName>
    <definedName name="_xlnm.Print_Titles" localSheetId="5">'zał.6'!$7:$13</definedName>
    <definedName name="_xlnm.Print_Titles" localSheetId="6">'zał.7'!$8:$14</definedName>
    <definedName name="_xlnm.Print_Titles" localSheetId="7">'zał.8 '!$7:$11</definedName>
    <definedName name="_xlnm.Print_Titles" localSheetId="8">'zał.9'!$6:$9</definedName>
  </definedNames>
  <calcPr fullCalcOnLoad="1"/>
</workbook>
</file>

<file path=xl/sharedStrings.xml><?xml version="1.0" encoding="utf-8"?>
<sst xmlns="http://schemas.openxmlformats.org/spreadsheetml/2006/main" count="4717" uniqueCount="1116">
  <si>
    <t>w złotych</t>
  </si>
  <si>
    <t>Dział</t>
  </si>
  <si>
    <t>§</t>
  </si>
  <si>
    <t>Treść</t>
  </si>
  <si>
    <t xml:space="preserve">Plan na </t>
  </si>
  <si>
    <t>Zwiększenie</t>
  </si>
  <si>
    <t>Zmniejszenie</t>
  </si>
  <si>
    <t>Plan po</t>
  </si>
  <si>
    <t>Rozdział</t>
  </si>
  <si>
    <t>zmianach</t>
  </si>
  <si>
    <t>WYDATKI OGÓŁEM</t>
  </si>
  <si>
    <t>*</t>
  </si>
  <si>
    <t>OGÓŁEM</t>
  </si>
  <si>
    <t>a</t>
  </si>
  <si>
    <t>b</t>
  </si>
  <si>
    <t>c</t>
  </si>
  <si>
    <t>010</t>
  </si>
  <si>
    <t>ROLNICTWO I ŁOWIECTWO</t>
  </si>
  <si>
    <t>01042</t>
  </si>
  <si>
    <t>600</t>
  </si>
  <si>
    <t>TRANSPORT I ŁĄCZNOŚĆ</t>
  </si>
  <si>
    <t>60013</t>
  </si>
  <si>
    <t>700</t>
  </si>
  <si>
    <t>GOSPODARKA MIESZKANIOWA</t>
  </si>
  <si>
    <t>70005</t>
  </si>
  <si>
    <t>710</t>
  </si>
  <si>
    <t>DZIAŁALNOŚĆ USŁUGOWA</t>
  </si>
  <si>
    <t>71003</t>
  </si>
  <si>
    <t>750</t>
  </si>
  <si>
    <t>ADMINISTRACJA PUBLICZNA</t>
  </si>
  <si>
    <t>75018</t>
  </si>
  <si>
    <t>801</t>
  </si>
  <si>
    <t>OŚWIATA I WYCHOWANIE</t>
  </si>
  <si>
    <t>80147</t>
  </si>
  <si>
    <t>851</t>
  </si>
  <si>
    <t>OCHRONA ZDROWIA</t>
  </si>
  <si>
    <t>POMOC SPOŁECZNA</t>
  </si>
  <si>
    <t>POZOSTAŁE ZADANIA W ZAKRESIE POLITYKI SPOŁECZNEJ</t>
  </si>
  <si>
    <t>GOSPODARKA KOMUNALNA I OCHRONA ŚRODOWISKA</t>
  </si>
  <si>
    <t>KULTURA I OCHRONA DZIEDZICTWA NARODOWEGO</t>
  </si>
  <si>
    <t>OGRODY BOTANICZNE I ZOOLOGICZNE ORAZ NATURALNE OBSZARY I OBIEKTY CHRONIONEJ PRZYRODY</t>
  </si>
  <si>
    <t xml:space="preserve">a - plan przed zmianą </t>
  </si>
  <si>
    <t>b - saldo zmian</t>
  </si>
  <si>
    <t>c - plan po zmianach</t>
  </si>
  <si>
    <t>71012</t>
  </si>
  <si>
    <t>60016</t>
  </si>
  <si>
    <t>w tym:</t>
  </si>
  <si>
    <t>Wynagrodzenia z pochodnymi</t>
  </si>
  <si>
    <t>Wydatki bieżące</t>
  </si>
  <si>
    <t>60003</t>
  </si>
  <si>
    <t>Krajowe pasażerskie przewozy autobusowe</t>
  </si>
  <si>
    <t>60095</t>
  </si>
  <si>
    <t>Pozostała działalność</t>
  </si>
  <si>
    <t>71005</t>
  </si>
  <si>
    <t>Prace geologiczne (nieinwestycyjne)</t>
  </si>
  <si>
    <t>75084</t>
  </si>
  <si>
    <t>Funkcjonowanie wojewódzkich rad dialogu społecznego</t>
  </si>
  <si>
    <t>752</t>
  </si>
  <si>
    <t>OBRONA NARODOWA</t>
  </si>
  <si>
    <t>75212</t>
  </si>
  <si>
    <t>Pozostałe wydatki obronne</t>
  </si>
  <si>
    <t>Składki na ubezpieczenie zdrowotne oraz świadczenia dla osób nieobjętych obowiązkiem ubezpieczenia zdrowotnego</t>
  </si>
  <si>
    <t>Wojewódzkie urzędy pracy</t>
  </si>
  <si>
    <t>RODZINA</t>
  </si>
  <si>
    <t>Ochrona powietrza atmosferycznego i klimatu</t>
  </si>
  <si>
    <t>Zmniejszenie hałasu i wibracji</t>
  </si>
  <si>
    <t>050</t>
  </si>
  <si>
    <t>RYBOŁÓWSTWO I RYBACTWO</t>
  </si>
  <si>
    <t>630</t>
  </si>
  <si>
    <t>TURYSTYKA</t>
  </si>
  <si>
    <t>720</t>
  </si>
  <si>
    <t>INFORMATYKA</t>
  </si>
  <si>
    <t>72095</t>
  </si>
  <si>
    <t>80146</t>
  </si>
  <si>
    <t>Lp</t>
  </si>
  <si>
    <t>x</t>
  </si>
  <si>
    <t>853</t>
  </si>
  <si>
    <t>85332</t>
  </si>
  <si>
    <t>60014</t>
  </si>
  <si>
    <t>63095</t>
  </si>
  <si>
    <t>Zadania z zakresu geodezji i kartografii</t>
  </si>
  <si>
    <t>Działalność ośrodków adopcyjnych</t>
  </si>
  <si>
    <t>Dział                   Rozdział</t>
  </si>
  <si>
    <t>Nazwa</t>
  </si>
  <si>
    <t>Ogółem</t>
  </si>
  <si>
    <t>z tego:</t>
  </si>
  <si>
    <t>Wydatki majątkowe</t>
  </si>
  <si>
    <t>Wydatki jednostek budżetowych</t>
  </si>
  <si>
    <t>Dotacje</t>
  </si>
  <si>
    <t>Świadczenia na rzecz osób fizycznych</t>
  </si>
  <si>
    <t>Zadania z udziałem środków UE i innych źródeł zagranicznych</t>
  </si>
  <si>
    <t>Obsługa długu, poręczenia i gwarancje</t>
  </si>
  <si>
    <t>Zakup i objęcie akcji i udziałów</t>
  </si>
  <si>
    <t>Zadania statutowe</t>
  </si>
  <si>
    <t>01009</t>
  </si>
  <si>
    <t>Spółki wodne</t>
  </si>
  <si>
    <t>01041</t>
  </si>
  <si>
    <t xml:space="preserve">Program Rozwoju Obszarów Wiejskich                                             </t>
  </si>
  <si>
    <t>Wyłączenie z produkcji gruntów rolnych</t>
  </si>
  <si>
    <t>01095</t>
  </si>
  <si>
    <t>05011</t>
  </si>
  <si>
    <t>Program Operacyjny Zrównoważony rozwój sektora rybołówstwa i nadbrzeżnych obszarów rybackich 2007-2013 oraz Program Operacyjny Rybactwo i Morze 2014-2020</t>
  </si>
  <si>
    <t>150</t>
  </si>
  <si>
    <t>PRZETWÓRSTWO PRZEMYSŁOWE</t>
  </si>
  <si>
    <t>15013</t>
  </si>
  <si>
    <t>Rozwój kadr nowoczesnej gospodarki i przedsiębiorczości</t>
  </si>
  <si>
    <t>15095</t>
  </si>
  <si>
    <t>500</t>
  </si>
  <si>
    <t>HANDEL</t>
  </si>
  <si>
    <t>50005</t>
  </si>
  <si>
    <t>Promocja eksportu</t>
  </si>
  <si>
    <t>60001</t>
  </si>
  <si>
    <t>Krajowe pasażerskie przewozy kolejowe</t>
  </si>
  <si>
    <t>60002</t>
  </si>
  <si>
    <t>Infrastruktura kolejowa</t>
  </si>
  <si>
    <t>Drogi publiczne wojewódzkie</t>
  </si>
  <si>
    <t>Drogi publiczne powiatowe</t>
  </si>
  <si>
    <t>Drogi publiczne gminne</t>
  </si>
  <si>
    <t>63003</t>
  </si>
  <si>
    <t>Zadania w zakresie upowszechniania turystyki</t>
  </si>
  <si>
    <t>Gospodarka gruntami i nieruchomościami</t>
  </si>
  <si>
    <t>Biura planowania przestrzennego</t>
  </si>
  <si>
    <t>71004</t>
  </si>
  <si>
    <t>Plany zagospodarowania przestrzennego</t>
  </si>
  <si>
    <t>75017</t>
  </si>
  <si>
    <t>Samorządowe sejmiki województw</t>
  </si>
  <si>
    <t>Urzędy marszałkowskie</t>
  </si>
  <si>
    <t>75058</t>
  </si>
  <si>
    <t>Działalność informacyjna i kulturalna prowadzona za granicą</t>
  </si>
  <si>
    <t>75075</t>
  </si>
  <si>
    <t>Promocja jednostek samorządu terytorialnego</t>
  </si>
  <si>
    <t>75095</t>
  </si>
  <si>
    <t>754</t>
  </si>
  <si>
    <t>BEZPIECZEŃSTWO PUBLICZNE I OCHRONA PRZECIWPOŻAROWA</t>
  </si>
  <si>
    <t>75495</t>
  </si>
  <si>
    <t>757</t>
  </si>
  <si>
    <t>OBSŁUGA DŁUGU PUBLICZNEGO</t>
  </si>
  <si>
    <t>75702</t>
  </si>
  <si>
    <t>75704</t>
  </si>
  <si>
    <t>Rozliczenia z tytułu poręczeń i gwarancji udzielonych przez Skarb Państwa lub jednostkę samorządu terytorialnego</t>
  </si>
  <si>
    <t>758</t>
  </si>
  <si>
    <t>RÓŻNE ROZLICZENIA</t>
  </si>
  <si>
    <t>75818</t>
  </si>
  <si>
    <t>Rezerwy ogólne i celowe</t>
  </si>
  <si>
    <t>80102</t>
  </si>
  <si>
    <t>Szkoły podstawowe specjalne</t>
  </si>
  <si>
    <t>80105</t>
  </si>
  <si>
    <t>Przedszkola specjalne</t>
  </si>
  <si>
    <t>80113</t>
  </si>
  <si>
    <t>Dowożenie uczniów do szkół</t>
  </si>
  <si>
    <t>80116</t>
  </si>
  <si>
    <t>Szkoły policealne</t>
  </si>
  <si>
    <t>80121</t>
  </si>
  <si>
    <t>Licea ogólnokształcące specjalne</t>
  </si>
  <si>
    <t>80134</t>
  </si>
  <si>
    <t>Szkoły zawodowe specjalne</t>
  </si>
  <si>
    <t>80140</t>
  </si>
  <si>
    <t>Dokształcanie i doskonalenie nauczycieli</t>
  </si>
  <si>
    <t>Biblioteki pedagogiczne</t>
  </si>
  <si>
    <t>80151</t>
  </si>
  <si>
    <t>Kwalifikacyjne kursy zawodowe</t>
  </si>
  <si>
    <t>80195</t>
  </si>
  <si>
    <t>Szpitale ogólne</t>
  </si>
  <si>
    <t>Ratownictwo medyczne</t>
  </si>
  <si>
    <t>Medycyna pracy</t>
  </si>
  <si>
    <t>Programy polityki zdrowotnej</t>
  </si>
  <si>
    <t>Zwalczanie narkomanii</t>
  </si>
  <si>
    <t>Przeciwdziałanie alkoholizmowi</t>
  </si>
  <si>
    <t>Ośrodki wsparcia</t>
  </si>
  <si>
    <t>Zadania w zakresie przeciwdziałania przemocy w rodzinie</t>
  </si>
  <si>
    <t>Regionalne ośrodki polityki społecznej</t>
  </si>
  <si>
    <t>Usługi opiekuńcze i specjalistyczne usługi opiekuńcze</t>
  </si>
  <si>
    <t>Rehabilitacja zawodowa i społeczna osób niepełnosprawnych</t>
  </si>
  <si>
    <t>Państwowy Fundusz Rehabilitacji Osób Niepełnosprawnych</t>
  </si>
  <si>
    <t>Fundusz Gwarantowanych Świadczeń Pracowniczych</t>
  </si>
  <si>
    <t xml:space="preserve">EDUKACYJNA OPIEKA WYCHOWAWCZA </t>
  </si>
  <si>
    <t>Specjalne ośrodki szkolno-wychowawcze</t>
  </si>
  <si>
    <t>Wczesne wspomaganie rozwoju dziecka</t>
  </si>
  <si>
    <t>Placówki wychowania pozaszkolnego</t>
  </si>
  <si>
    <t>Internaty i bursy szkolne</t>
  </si>
  <si>
    <t>Pomoc materialna dla uczniów o charakterze motywacyjnym</t>
  </si>
  <si>
    <t>Wpływy i wydatki związane z gromadzeniem środków z opłat i kar za korzystanie ze środowiska</t>
  </si>
  <si>
    <t>Wpływy i wydatki związane z gromadzeniem środków z opłat produktowych</t>
  </si>
  <si>
    <t>Wpływy i wydatki związane z wprowadzaniem do obrotu baterii i akumulatorów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</si>
  <si>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</si>
  <si>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</si>
  <si>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</si>
  <si>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</si>
  <si>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</si>
  <si>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Biblioteki</t>
  </si>
  <si>
    <t>Muzea</t>
  </si>
  <si>
    <t>Ochrona zabytków i opieka nad zabytkami</t>
  </si>
  <si>
    <t>Parki krajobrazowe</t>
  </si>
  <si>
    <t xml:space="preserve">KULTURA FIZYCZNA </t>
  </si>
  <si>
    <t>Zadania w zakresie kultury fizycznej</t>
  </si>
  <si>
    <t>15011</t>
  </si>
  <si>
    <t>Rozwój  przedsiębiorczości</t>
  </si>
  <si>
    <t>Pozostałe zadania w zakresie kultury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</si>
  <si>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</si>
  <si>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</si>
  <si>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Pomoc materialna dla uczniów o charakterze socjalnym</t>
  </si>
  <si>
    <t>Pozostałe działania związane z gospodarką odpadami</t>
  </si>
  <si>
    <t xml:space="preserve">2020 r. </t>
  </si>
  <si>
    <t>Inwestycje i zakupy inwestycyjne                   (w tym dotacje)</t>
  </si>
  <si>
    <t>05095</t>
  </si>
  <si>
    <t>Lokalny transport zbiorowy</t>
  </si>
  <si>
    <t>730</t>
  </si>
  <si>
    <t>SZKOLNICTWO WYŻSZE I NAUKA</t>
  </si>
  <si>
    <t>73014</t>
  </si>
  <si>
    <t>Działalność dydaktyczna i badawcza</t>
  </si>
  <si>
    <t>73095</t>
  </si>
  <si>
    <t>Obsługa papierów wartościowych, kredytów i pożyczek oraz innych zobowiązań jednostek samorządu terytorialnego zaliczanych do tytułu dłużnego - kredyty i pożyczki</t>
  </si>
  <si>
    <t>Placówki kształcenia ustawicznego i centra kształcenia zawodowego</t>
  </si>
  <si>
    <t>Lecznictwo psychiatryczne</t>
  </si>
  <si>
    <r>
      <t xml:space="preserve">W załączniku </t>
    </r>
    <r>
      <rPr>
        <b/>
        <sz val="10"/>
        <rFont val="Times New Roman"/>
        <family val="1"/>
      </rPr>
      <t>nr 3 "Wydatki budżetu Województwa Kujawsko-Pomorskiego wg grup wydatków. Plan na 2020 rok"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do uchwały Nr XII/262/19 Sejmiku Województwa Kujawsko-Pomorskiego z dnia 16 grudnia 2019 roku w sprawie budżetu województwa na rok 2020 (z późn. zm.), wprowadza się następujące zmiany:</t>
    </r>
  </si>
  <si>
    <r>
      <t xml:space="preserve">W załączniku </t>
    </r>
    <r>
      <rPr>
        <b/>
        <sz val="10"/>
        <rFont val="Times New Roman"/>
        <family val="1"/>
      </rPr>
      <t xml:space="preserve">nr 4 "Wydatki budżetu Województwa Kujawsko-Pomorskiego wg klasyfikacji budżetowej. Plan na 2020 rok" </t>
    </r>
    <r>
      <rPr>
        <sz val="10"/>
        <rFont val="Times New Roman"/>
        <family val="1"/>
      </rPr>
      <t>do uchwały Nr XII/262/19 Sejmiku Województwa Kujawsko-Pomorskiego z dnia 16 grudnia 2019 roku w sprawie budżetu województwa na rok 2020 (z późn. zm.), wprowadza się następujące zmiany:</t>
    </r>
  </si>
  <si>
    <t>01006</t>
  </si>
  <si>
    <t>Zarządy melioracji i urządzeń wodnych</t>
  </si>
  <si>
    <t>01008</t>
  </si>
  <si>
    <t>Melioracje wodne</t>
  </si>
  <si>
    <t>852</t>
  </si>
  <si>
    <t>854</t>
  </si>
  <si>
    <t>921</t>
  </si>
  <si>
    <t>925</t>
  </si>
  <si>
    <t>EDUKACYJNA OPIEKA WYCHOWAWCZA</t>
  </si>
  <si>
    <r>
      <t xml:space="preserve">W załączniku </t>
    </r>
    <r>
      <rPr>
        <b/>
        <sz val="10"/>
        <rFont val="Times New Roman"/>
        <family val="1"/>
      </rPr>
      <t>nr 8 "Wydatki na zadania inwestycyjne. Plan na 2020 rok"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do uchwały Nr XII/262/19 Sejmiku Województwa Kujawsko-Pomorskiego z dnia 16 grudnia 2019 roku w sprawie budżetu województwa na rok 2020 (z późn. zm.), wprowadza się następujące zmiany:</t>
    </r>
  </si>
  <si>
    <t>Nazwa zadania inwestycyjnego</t>
  </si>
  <si>
    <t>Okres realizacji</t>
  </si>
  <si>
    <t>Ogólny koszt zadania</t>
  </si>
  <si>
    <t>Przewidywane nakłady poniesione do końca 2019 r.</t>
  </si>
  <si>
    <t>Planowane wydatki</t>
  </si>
  <si>
    <t>Jednostka organizacyjna realizująca zadanie lub koordynująca wykonanie zadania</t>
  </si>
  <si>
    <t>na rok budżetowy 2020</t>
  </si>
  <si>
    <t>z tego źródła finansowania:</t>
  </si>
  <si>
    <t>środki własne Województwa</t>
  </si>
  <si>
    <t>dotacje</t>
  </si>
  <si>
    <t>I</t>
  </si>
  <si>
    <t>Inwestycje jednoroczne</t>
  </si>
  <si>
    <t>Budowa i modernizacja dróg dojazdowych do gruntów rolnych, rekultywacja i poprawa jakości gruntów rolnych oraz odtworzenie możliwości retencjonowania wody</t>
  </si>
  <si>
    <t>Urząd Marszałkowski w Toruniu</t>
  </si>
  <si>
    <t>Modernizacja dróg</t>
  </si>
  <si>
    <t>Zarząd Dróg Wojewódzkich w Bydgoszczy</t>
  </si>
  <si>
    <t>Wykup gruntu</t>
  </si>
  <si>
    <t>Drogowa Inicjatywa Samorządowa</t>
  </si>
  <si>
    <t>Przebudowa drogi wojewódzkiej Nr 251 od km 45+145 do km 46+800, odc. Młodocin-Pturek wraz z przebudową przepustu w km 46+216</t>
  </si>
  <si>
    <t>Zakupy inwestycyjne</t>
  </si>
  <si>
    <t>Zakup kserokopiarki</t>
  </si>
  <si>
    <t>Wydatki inwestycyjne</t>
  </si>
  <si>
    <t>Wsparcie dla Policji</t>
  </si>
  <si>
    <r>
      <t>Zakup i instalacja klimatyzatorów do sal i pomieszczeń biurowych</t>
    </r>
    <r>
      <rPr>
        <i/>
        <sz val="10"/>
        <rFont val="Times New Roman CE"/>
        <family val="0"/>
      </rPr>
      <t xml:space="preserve"> </t>
    </r>
  </si>
  <si>
    <t>Kujawsko-Pomorskie Centrum Edukacji Nauczycieli w Bydgoszczy</t>
  </si>
  <si>
    <t>85111</t>
  </si>
  <si>
    <t>Podniesienie jakości usług zdrowotnych oraz zwiększenie dostępu do usług medycznych w WSS we Włocławku - modernizacja pomieszczeń w budynkach szpitalnych</t>
  </si>
  <si>
    <t>Wojewódzki Szpital Specjalistyczny im. bł. ks. Jerzego Popiełuszki we Włocławku</t>
  </si>
  <si>
    <t>Podniesienie jakości usług zdrowotnych oraz zwiększenie dostępu do usług medycznych w WSS we Włocławku - zakup sprzętu i wyposażenia</t>
  </si>
  <si>
    <t>85120</t>
  </si>
  <si>
    <t>Dostosowanie budynku do wymogów ppoż.</t>
  </si>
  <si>
    <t>Wojewódzki Szpital dla Nerwowo i Psychicznie Chorych w Świeciu</t>
  </si>
  <si>
    <t>85217</t>
  </si>
  <si>
    <t>Zakup i montaż nowego szlabanu na działce Ośrodka oraz przebudowa szlabanu na parkingu Ośrodka</t>
  </si>
  <si>
    <t>Regionalny Ośrodek Polityki Społecznej w Toruniu</t>
  </si>
  <si>
    <t xml:space="preserve">Zakup rozszerzenia licencji oprogramowania pakietu biurowego </t>
  </si>
  <si>
    <t>Wojewódzki Urząd Pracy w Toruniu</t>
  </si>
  <si>
    <t>85403</t>
  </si>
  <si>
    <t xml:space="preserve">Kujawsko-Pomorski Specjalny Ośrodek Szkolno-Wychowawczy nr 1 dla Dzieci i Młodzieży Słabo Widzącej i Niewidomej im. Louisa Braille'a w Bydgoszczy </t>
  </si>
  <si>
    <t>Modernizacja monitoringu</t>
  </si>
  <si>
    <t xml:space="preserve">Kujawsko-Pomorski Specjalny Ośrodek Szkolno-Wychowawczy nr 2 dla Dzieci i Młodzieży Słabo Słyszącej i Niesłyszącej im. gen. Stanisława Maczka w Bydgoszczy </t>
  </si>
  <si>
    <t>92106</t>
  </si>
  <si>
    <t>Modernizacja parteru widowni dużej sceny Teatru im. Wilama Horzycy w Toruniu</t>
  </si>
  <si>
    <t>Teatr im. W. Horzycy w Toruniu</t>
  </si>
  <si>
    <t>Zakup zintegrowanego systemu finansowo-kadrowo-płacowego oraz oprogramowania do ewidencji środków trwałych</t>
  </si>
  <si>
    <t>Opera Nova w Bydgoszczy</t>
  </si>
  <si>
    <t>Rozbudowa Opery Nova w Bydgoszczy o IV krąg wraz z infrastrukturą parkingową - przygotowanie inwestycji</t>
  </si>
  <si>
    <t>92109</t>
  </si>
  <si>
    <t>Pałac Lubostroń w Lubostroniu</t>
  </si>
  <si>
    <t>92110</t>
  </si>
  <si>
    <t>Dostosowanie istniejących pomieszczeń sanitarnych dla potrzeb osób niepełnosprawnych w Galerii i Ośrodku Plastycznej Twórczości Dziecka w Toruniu</t>
  </si>
  <si>
    <t>Galeria i Ośrodek Plastycznej Twórczości Dziecka w Toruniu</t>
  </si>
  <si>
    <t>92116</t>
  </si>
  <si>
    <t xml:space="preserve">Zakupy inwestycyjne </t>
  </si>
  <si>
    <t>Wojewódzka i Miejska Biblioteka Publiczna w Bydgoszczy</t>
  </si>
  <si>
    <t>Wykonanie izolacji stropodachu w budynku Książnicy przy ul. Słowackiego 8</t>
  </si>
  <si>
    <t>Wojewódzka Biblioteka Publiczna - Książnica Kopernikańska w Toruniu</t>
  </si>
  <si>
    <t>Dostosowanie wejścia dla potrzeb osób niepełnosprawnych w budynku Wojewódzkiej i Miejskiej Biblioteki Publicznej w Bydgoszczy</t>
  </si>
  <si>
    <t>92118</t>
  </si>
  <si>
    <t>Modernizacja sieci wodociągowej przeciwpożarowej na terenie Muzeum Etnograficznego w Toruniu</t>
  </si>
  <si>
    <t>Muzeum Etnograficzne w Toruniu</t>
  </si>
  <si>
    <t>Odbudowa-modernizacja rekonstrukcji wału obronnego z wieżą oraz pomostem</t>
  </si>
  <si>
    <t>Muzeum Archeologiczne w Biskupinie</t>
  </si>
  <si>
    <t>Wymiana nieszczelnego pieca CO w Muzeum Stanisława Noakowskiego w Nieszawie</t>
  </si>
  <si>
    <t>Muzeum Ziemi Kujawskiej i Dobrzyńskiej we Włocławku</t>
  </si>
  <si>
    <t>92502</t>
  </si>
  <si>
    <t>Termomodernizacja siedziby Zespołu Parków Krajobrazowych nad Dolną Wisłą</t>
  </si>
  <si>
    <t>Zespół Parków Krajobrazowych nad Dolną Wisłą</t>
  </si>
  <si>
    <t>926</t>
  </si>
  <si>
    <t>KULTURA FIZYCZNA</t>
  </si>
  <si>
    <t>92605</t>
  </si>
  <si>
    <t>Mała architektura i budowa infrastruktury sportowej przy obiektach edukacyjnych - wsparcie finansowe</t>
  </si>
  <si>
    <t>RAZEM</t>
  </si>
  <si>
    <t>II</t>
  </si>
  <si>
    <t>Inwestycje wieloletnie</t>
  </si>
  <si>
    <t>Budowa wiaduktów i przystanków kolejowych w bydgosko-toruńskim obszarze metropolitalnym - uzyskanie certyfikatów zgodności dla podsystemów i składników interoperacyjności WE w kolejnictwie</t>
  </si>
  <si>
    <t>2017-2020</t>
  </si>
  <si>
    <t>Modernizacja dróg wojewódzkich, grupa III - Kujawsko-pomorskiego planu spójności komunikacji drogowej i kolejowej 2014-2020</t>
  </si>
  <si>
    <t xml:space="preserve">Zarząd Dróg Wojewódzkich w Bydgoszczy </t>
  </si>
  <si>
    <t>Roboty dodatkowe i uzupełniające związane z realizacją inwestycji drogowych w ramach grupy I RPO</t>
  </si>
  <si>
    <t>2018-2020</t>
  </si>
  <si>
    <t xml:space="preserve">Przygotowanie dokumentacji na zadania drogowe planowane do realizacji w ramach Funduszu Dróg Samorządowych </t>
  </si>
  <si>
    <t>2019-2020</t>
  </si>
  <si>
    <t>Przygotowanie i realizacja zadań w ramach Funduszu Dróg Samorządowych</t>
  </si>
  <si>
    <t>2020-2024</t>
  </si>
  <si>
    <t>Budowa obwodnicy Więcborka - opracowanie studium techniczno-ekonomiczno-środowiskowego</t>
  </si>
  <si>
    <t>2019-2021</t>
  </si>
  <si>
    <t>Opracowanie dokumentacji projektowej dla rozbudowy skrzyżowania drogi wojewódzkiej Nr 241 Tuchola-Sępólno Krajeńskie-Rogoźno (ul. Kościuszki) z ul. Odrodzenia i ul. bł. ks. Jerzego Popiełuszki w m. Sępólno Krajeńskie</t>
  </si>
  <si>
    <t>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 - wsparcie finansowe</t>
  </si>
  <si>
    <t>2017-2022</t>
  </si>
  <si>
    <t>Modernizacja dróg na terenie Miasta Inowrocławia - wsparcie finansowe do 25 % wartości inwestycji przewidzianych do realizacji w ramach Funduszu Dróg Samorządowych - wsparcie finansowe</t>
  </si>
  <si>
    <t>Opracowanie dokumentacji Studium Techniczno-Ekonomiczno-Środowiskowego dla połączenia Miasta Bydgoszczy z węzłem drogowym na trasie szybkiego ruchu S5 i S10 w miejscowości Białe Błota - wsparcie finansowe</t>
  </si>
  <si>
    <t>Modernizacja nieruchomości w Toruniu przy ul. Św. Jakuba 3-5, Wola Zamkowa 8-10, 10A i 12A (rozliczenie z użytkownikiem)</t>
  </si>
  <si>
    <t>2016-2031</t>
  </si>
  <si>
    <t>Nabycie nieruchomości położonej w Toruniu przy ul. Kopernika 4</t>
  </si>
  <si>
    <t>Kultura w zasięgu 2.0 - wkład własny wojewódzkich jednostek organizacyjnych</t>
  </si>
  <si>
    <t>Rozbudowa kampusu UTP w Bydgoszczy w Fordonie (partycypacja do 30 % wysokości dotacji ministerialnej)</t>
  </si>
  <si>
    <t>2018-2022</t>
  </si>
  <si>
    <t>Rozbudowa budynku Urzędu Marszałkowskiego</t>
  </si>
  <si>
    <t>2009-2020</t>
  </si>
  <si>
    <t>KPCEN we Włocławku - Rozbudowa budynku</t>
  </si>
  <si>
    <t>2020-2023</t>
  </si>
  <si>
    <t>85141</t>
  </si>
  <si>
    <t>Zakup ambulansów w formie leasingu przez Wojewódzką Stację Pogotowia Ratunkowego w Bydgoszczy</t>
  </si>
  <si>
    <t>2016-2020</t>
  </si>
  <si>
    <t>Wojewódzka Stacja Pogotowia Ratunkowego w Bydgoszczy</t>
  </si>
  <si>
    <t>Nadbudowa i rozbudowa dawnego budynku kinoteatru Grunwald usytuowanego przy ul. Warszawskiej 11 w Toruniu z przeznaczeniem na teatr - Utworzenie "DUŻEJ SCENY" Kujawsko-Pomorskiego Impresaryjnego Teatru Muzycznego w Toruniu</t>
  </si>
  <si>
    <t>2019-2029</t>
  </si>
  <si>
    <t>Kujawsko-Pomorski Impresaryjny Teatr Muzyczny w Toruniu</t>
  </si>
  <si>
    <t>Przebudowa i remont konserwatorski budynku Pałacu Dąmbskich w Toruniu</t>
  </si>
  <si>
    <t>2015-2022</t>
  </si>
  <si>
    <t>Wykonanie robót budowlanych polegających na remoncie, przebudowie i modernizacji istniejącego Zespołu Pałacowo-Parkowego w miejscowości Wieniec koło Włocławka wraz z infrastrukturą zewnętrzną i zagospodarowaniem terenu Parku</t>
  </si>
  <si>
    <t>Modernizacja I i II balkonu w budynku głównym Teatru im. W. Horzycy w Toruniu</t>
  </si>
  <si>
    <t>Termomodernizacja zabytkowego budynku stajni-wozowni w Lubostroniu na potrzeby użytku publicznego</t>
  </si>
  <si>
    <t>92108</t>
  </si>
  <si>
    <t>Zakup sprzętu i wyposażenia dla Filharmonii Pomorskiej im. Ignacego Paderewskiego w Bydgoszczy</t>
  </si>
  <si>
    <t>Filharmonia Pomorska w Bydgoszczy</t>
  </si>
  <si>
    <t>Rozbudowa i remont Filharmonii Pomorskiej w Bydgoszczy - przygotowanie dokumentacji</t>
  </si>
  <si>
    <t>Rewaloryzacja i adaptacja zabytkowego spichlerza dworskiego w Kłóbce</t>
  </si>
  <si>
    <t>III</t>
  </si>
  <si>
    <t>Inwestycje ujęte w Regionalnym Programie Operacyjnym Województwa Kujawsko-Pomorskiego 2014-2020</t>
  </si>
  <si>
    <t xml:space="preserve">              </t>
  </si>
  <si>
    <t>IV</t>
  </si>
  <si>
    <t>Pozostałe projekty i działania realizowane ze środków zagranicznych</t>
  </si>
  <si>
    <t>Wykonanie systemu wentylacji mechanicznej i klimatyzacji sali teatralnej, robót w zakresie termomodernizacji stolarki okiennej, drzwiowej i przegród zewnętrznych oraz modernizacji oświetlenia scenicznego</t>
  </si>
  <si>
    <t>855</t>
  </si>
  <si>
    <t>900</t>
  </si>
  <si>
    <t xml:space="preserve">85111
</t>
  </si>
  <si>
    <t>Kujawsko-Pomorskie Centrum Pulmonologii w Bydgoszczy</t>
  </si>
  <si>
    <t>Wojewódzki Szpital Obserwacyjno-Zakaźny im. T. Browicza w Bydgoszczy</t>
  </si>
  <si>
    <t>Wojewódzki Szpital Zespolony im. L. Rydygiera w Toruniu</t>
  </si>
  <si>
    <t>Zadania związane z zapobieganiem oraz zwalczaniem zakażenia wirusem SARS-CoV-2 i rozprzestrzenianiem się choroby zakaźnej wywołanej tym wirusem u ludzi  - Zakupy inwestycyjne</t>
  </si>
  <si>
    <t>Zadania związane ze zwalczaniem zakażenia, zapobieganiem rozprzestrzeniania się, profilaktyką oraz zwalczaniem skutków choroby zakaźnej wywołanej wirusem SARS-CoV-2 zwanej "COVID-19" - Zakupy inwestycyjne</t>
  </si>
  <si>
    <t>Zapewnienie uczniom prawa do bezpłatnego dostępu do podręczników, materiałów edukacyjnych lub materiałów ćwiczeniowych</t>
  </si>
  <si>
    <t>Zapobieganie, przeciwdziałanie i zwalczanie zakażeń i choroby zakaźnej wywołanej wirusem SARS-CoV-2 zwanej "COVID-19" - zakupy inwestycyjne</t>
  </si>
  <si>
    <t>Przebudowa mostu przez rzekę Krówkę w ciągu drogi wojewódzkiej Nr 243 w km 18+808 w m. Byszewo</t>
  </si>
  <si>
    <t>Modernizacja obiektu ZDW w Bydgoszczy ul. Dworcowa 80</t>
  </si>
  <si>
    <t>85148</t>
  </si>
  <si>
    <t>Termomodernizacja budynku WOMP w Bydgoszczy</t>
  </si>
  <si>
    <t>Wojewódzki Ośrodek Medycyny Pracy w Bydgoszczy</t>
  </si>
  <si>
    <t>92195</t>
  </si>
  <si>
    <t>Budowa Pomnika Żołnierzy Wojsk Balonowych</t>
  </si>
  <si>
    <t>Kultura cyfrowa - Kujawsko-pomorska prasa cyfrowa 1920</t>
  </si>
  <si>
    <t>2018-2021</t>
  </si>
  <si>
    <t>Poprawa bezpieczeństwa i komfortu życia mieszkańców oraz wsparcie niskoemisyjnego transportu drogowego poprzez wybudowanie dróg dla rowerów - przy drodze wojewódzkiej Nr 551 Wybcz-Nawra, Nawra-Bogusławki oraz Zelgno (lider: Chełmża)</t>
  </si>
  <si>
    <t>Leczenie sanatoryjno-klimatyczne</t>
  </si>
  <si>
    <t xml:space="preserve"> </t>
  </si>
  <si>
    <t>Dotacje celowe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</si>
  <si>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Zakup usług remontowych</t>
  </si>
  <si>
    <t>Zwrot dotacji oraz płatności wykorzystanych niezgodnie z przeznaczeniem lub wykorzystanych z naruszeniem procedur, o których mowa w art. 184 ustawy, pobranych nienależnie lub w nadmiernej wysokości</t>
  </si>
  <si>
    <t>Zakup materiałów i wyposażenia</t>
  </si>
  <si>
    <t>Zakup energii</t>
  </si>
  <si>
    <t>Zakup usług zdrowotnych</t>
  </si>
  <si>
    <t>Zakup usług pozostałych</t>
  </si>
  <si>
    <t>Opłaty za administrowanie i czynsze za budynki, lokale i pomieszczenia garażowe</t>
  </si>
  <si>
    <t>Odpisy na zakładowy fundusz świadczeń socjalnych</t>
  </si>
  <si>
    <t>Podatek od nieruchomości</t>
  </si>
  <si>
    <t>Opłaty na rzecz budżetów jednostek samorządu terytorialnego</t>
  </si>
  <si>
    <t>Szkolenia pracowników niebędących członkami korpusu służby cywilnej</t>
  </si>
  <si>
    <t>Wydatki inwestycyjne jednostek budżetowych</t>
  </si>
  <si>
    <t>Wydatki na zakupy inwestycyjne jednostek budżetowych</t>
  </si>
  <si>
    <t>Dotacje celowe przekazane gminie na inwestycje i zakupy inwestycyjne realizowane na podstawie porozumień (umów) między jednostkami samorządu terytorialnego</t>
  </si>
  <si>
    <t>Dotacja celowa na pomoc finansową udzielaną między jednostkami samorządu terytorialnego na dofinansowanie własnych zadań inwestycyjnych i zakupów inwestycyjnych</t>
  </si>
  <si>
    <t>Różne opłaty i składki</t>
  </si>
  <si>
    <t>Dotacje celowe w ramach programów finansowanych z udziałem środków europejskich oraz środków, o których mowa w art. 5 ust. 1 pkt 3 oraz ust. 3 pkt 5 i 6 ustawy, lub płatności w ramach budżetu środków europejskich, z wyłączeniem wydatków klasyfikowanych w paragrafie 625</t>
  </si>
  <si>
    <t>Dotacje celowe z budżetu na finansowanie lub dofinansowanie kosztów realizacji inwestycji i zakupów inwestycyjnych innych jednostek sektora finansów publicznych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</si>
  <si>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</si>
  <si>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Zakup usług obejmujących wykonanie ekspertyz, analiz i opinii</t>
  </si>
  <si>
    <t>Wynagrodzenia osobowe pracowników</t>
  </si>
  <si>
    <t>Składki na ubezpieczenia społeczne</t>
  </si>
  <si>
    <t>Składki na Fundusz Pracy oraz Solidarnościowy Fundusz Wsparcia Osób Niepełnosprawnych</t>
  </si>
  <si>
    <t>Wydatki na zakup i objęcie akcji i udziałów</t>
  </si>
  <si>
    <t>Wynagrodzenia bezosobowe</t>
  </si>
  <si>
    <t>Zakup środków żywności</t>
  </si>
  <si>
    <t>Opłaty z tytułu zakupu usług telekomunikacyjnych</t>
  </si>
  <si>
    <t>Podróże służbowe krajowe</t>
  </si>
  <si>
    <t>Dodatkowe wynagrodzenie roczne</t>
  </si>
  <si>
    <t>Stypendia dla uczniów</t>
  </si>
  <si>
    <t>Podróże służbowe zagraniczne</t>
  </si>
  <si>
    <t>Dotacja celowa z budżetu dla pozostałych jednostek zaliczanych do sektora finansów publicznych</t>
  </si>
  <si>
    <t>Dotacja podmiotowa z budżetu dla samorządowej instytucji kultury</t>
  </si>
  <si>
    <t>Dotacje celowe z budżetu na finansowanie lub dofinansowanie kosztów realizacji inwestycji i zakupów inwestycyjnych jednostek nie zaliczanych do sektora finansów publicznych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</si>
  <si>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</si>
  <si>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Załącznik nr 3 do uchwały</t>
  </si>
  <si>
    <t>Nr   /    /20 Sejmiku Województwa</t>
  </si>
  <si>
    <t>z dnia   .05.2020 r.</t>
  </si>
  <si>
    <t>Załącznik nr 1 do uchwały</t>
  </si>
  <si>
    <r>
      <t xml:space="preserve">W załączniku </t>
    </r>
    <r>
      <rPr>
        <b/>
        <sz val="10"/>
        <rFont val="Times New Roman"/>
        <family val="1"/>
      </rPr>
      <t>Nr 1 "Dochody budżetu Województwa Kujawsko-Pomorskiego wg źródeł pochodzenia. Plan na rok 2020"</t>
    </r>
    <r>
      <rPr>
        <sz val="10"/>
        <rFont val="Times New Roman"/>
        <family val="1"/>
      </rPr>
      <t xml:space="preserve"> do uchwały Nr XII/262/19 Sejmiku Województwa Kujawsko-Pomorskiego z dnia 16 grudnia 2019 r. w sprawie budżetu województwa na rok 2020  (z późn. zm.), wprowadza się następujące zmiany: </t>
    </r>
  </si>
  <si>
    <t>Udziały 
w podatkach
 i   
subwencje</t>
  </si>
  <si>
    <t>Pozostałe dochody własne uzyskiwane  przez Województwo i jednostki budżetowe</t>
  </si>
  <si>
    <t>Dotacje i środki na finansowanie:</t>
  </si>
  <si>
    <t xml:space="preserve"> zadań z udziałem środków z budżetu Unii Europejskiej i innych źródeł zagranicznych</t>
  </si>
  <si>
    <t>zadań pozostałych</t>
  </si>
  <si>
    <r>
      <rPr>
        <sz val="10"/>
        <rFont val="Times New Roman"/>
        <family val="1"/>
      </rPr>
      <t xml:space="preserve">z budżetu państwa </t>
    </r>
    <r>
      <rPr>
        <b/>
        <sz val="10"/>
        <rFont val="Times New Roman"/>
        <family val="1"/>
      </rPr>
      <t>- budżet środków europejskich</t>
    </r>
  </si>
  <si>
    <r>
      <rPr>
        <sz val="10"/>
        <rFont val="Times New Roman"/>
        <family val="1"/>
      </rPr>
      <t xml:space="preserve">z budżetu państwa </t>
    </r>
    <r>
      <rPr>
        <b/>
        <sz val="10"/>
        <rFont val="Times New Roman"/>
        <family val="1"/>
      </rPr>
      <t>- budżet środków krajowych</t>
    </r>
  </si>
  <si>
    <t>od jednostek  samorządu  terytorialnego</t>
  </si>
  <si>
    <t>z funduszy celowych</t>
  </si>
  <si>
    <t xml:space="preserve"> z innych źródeł zagranicznych</t>
  </si>
  <si>
    <t>z pozostałych źródeł</t>
  </si>
  <si>
    <t xml:space="preserve">z budżetu państwa </t>
  </si>
  <si>
    <t>na finansowanie części unijnej</t>
  </si>
  <si>
    <t>na finansowanie części krajowej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</si>
  <si>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</si>
  <si>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</si>
  <si>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</si>
  <si>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</si>
  <si>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</si>
  <si>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</si>
  <si>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</si>
  <si>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</si>
  <si>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</si>
  <si>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</si>
  <si>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</si>
  <si>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</si>
  <si>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</si>
  <si>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</si>
  <si>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</si>
  <si>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</si>
  <si>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DOCHODY BIEŻĄCE</t>
  </si>
  <si>
    <t>ROLNICTWO I  ŁOWIECTWO</t>
  </si>
  <si>
    <t>756</t>
  </si>
  <si>
    <t>DOCHODY OD OSÓB PRAWNYCH, OD OSÓB FIZYCZNYCH I OD INNYCH JEDNOSTEK NIE POSIADAJĄCYCH OSOBOWOŚCI PRAWNEJ ORAZ WYDATKI ZWIĄZANE Z ICH POBOREM</t>
  </si>
  <si>
    <t>POZOSTAŁE  ZADANIA W ZAKRESIE POLITYKI SPOŁECZNEJ</t>
  </si>
  <si>
    <t>DOCHODY MAJĄTKOWE</t>
  </si>
  <si>
    <t>o g ó ł e m :</t>
  </si>
  <si>
    <t xml:space="preserve"> - plan na 2020 r.</t>
  </si>
  <si>
    <t xml:space="preserve"> - saldo zmian </t>
  </si>
  <si>
    <t xml:space="preserve"> - plan po zmianach</t>
  </si>
  <si>
    <t xml:space="preserve">Nr  /    /20 Sejmiku Województwa </t>
  </si>
  <si>
    <t xml:space="preserve">z dnia   .05.2020 r.       </t>
  </si>
  <si>
    <t>Załącznik nr 2 do uchwały</t>
  </si>
  <si>
    <r>
      <t xml:space="preserve">W załączniku </t>
    </r>
    <r>
      <rPr>
        <b/>
        <sz val="10"/>
        <color indexed="8"/>
        <rFont val="Times New Roman"/>
        <family val="1"/>
      </rPr>
      <t>Nr 2 "Dochody budżetu Województwa Kujawsko-Pomorskiego wg klasyfikacji budżetowej. Plan na 2020 rok"</t>
    </r>
    <r>
      <rPr>
        <sz val="10"/>
        <color indexed="8"/>
        <rFont val="Times New Roman"/>
        <family val="1"/>
      </rPr>
      <t xml:space="preserve"> do uchwały                         Nr XII/262/19 Sejmiku Województwa Kujawsko-Pomorskiego z dnia 16 grudnia 2019 r. w sprawie budżetu województwa na rok 2020  (z późn. zm.), wprowadza się następujące zmiany:</t>
    </r>
  </si>
  <si>
    <t xml:space="preserve">Dział Rozdział </t>
  </si>
  <si>
    <t>Plan na 2020 r.</t>
  </si>
  <si>
    <t xml:space="preserve">Zwiększenie </t>
  </si>
  <si>
    <t>Plan po zmianach</t>
  </si>
  <si>
    <t>1.</t>
  </si>
  <si>
    <t>2.</t>
  </si>
  <si>
    <t>3.</t>
  </si>
  <si>
    <t>4.</t>
  </si>
  <si>
    <t>5.</t>
  </si>
  <si>
    <t>6.</t>
  </si>
  <si>
    <t>7.</t>
  </si>
  <si>
    <t>DOCHODY OGÓŁEM</t>
  </si>
  <si>
    <t>Środki otrzymane z państwowych funduszy celowych na realizację zadań bieżących jednostek sektora finansów publicznych</t>
  </si>
  <si>
    <t>Dotacje otrzymane z państwowych funduszy celowych na realizację zadań bieżących jednostek sektora finansów publicznych</t>
  </si>
  <si>
    <t>0970</t>
  </si>
  <si>
    <t>Wpływy z różnych dochodów</t>
  </si>
  <si>
    <t>0640</t>
  </si>
  <si>
    <t>Wpływy z tytułu kosztów egzekucyjnych, opłaty komorniczej i kosztów upomnień</t>
  </si>
  <si>
    <t>0690</t>
  </si>
  <si>
    <t>Wpływy z różnych opłat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</si>
  <si>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</si>
  <si>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</si>
  <si>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0940</t>
  </si>
  <si>
    <t>Wpływy z rozliczeń/zwrotów z lat ubiegłych</t>
  </si>
  <si>
    <t>0950</t>
  </si>
  <si>
    <t>Wpływy z tytułu kar i odszkodowań wynikających z umów</t>
  </si>
  <si>
    <t>Dotacja celowa otrzymana z tytułu pomocy finansowej udzielanej między jednostkami samorządu terytorialnego na dofinansowanie własnych zadań inwestycyjnych i zakupów inwestycyjnych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</si>
  <si>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</si>
  <si>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Środki na dofinansowanie własnych inwestycji gmin, powiatów (związków gmin, związków powiatowo-gminnych, związków powiatów), samorządów województw, pozyskane z innych źródeł</t>
  </si>
  <si>
    <t>Środki otrzymane od pozostałych jednostek zaliczanych do sektora finansów publicznych na realizacje zadań bieżących jednostek zaliczanych do sektora finansów publicznych</t>
  </si>
  <si>
    <t>DOCHODY OD OSÓB PRAWNYCH, OD OSÓB FIZYCZNYCH I OD INNYCH JEDNOSTEK NIEPOSIADAJĄCYCH OSOBOWOŚCI PRAWNEJ ORAZ WYDATKI ZWIĄZANE Z ICH POBOREM</t>
  </si>
  <si>
    <t>Udziały województw w podatkach stanowiących dochód budżetu państwa</t>
  </si>
  <si>
    <t>0010</t>
  </si>
  <si>
    <t>Wpływy z podatku dochodowego od osób fizycznych</t>
  </si>
  <si>
    <t>0020</t>
  </si>
  <si>
    <t>Wpływy z podatku dochodowego od osób prawnych</t>
  </si>
  <si>
    <t>RÓZNE ROZLICZENIA</t>
  </si>
  <si>
    <t>Część oświatowa subwencji ogólnej dla jednostek samorządu terytorialnego</t>
  </si>
  <si>
    <t>Subwencje ogólne z budżetu państwa</t>
  </si>
  <si>
    <t>Uzupełnienie subwencji ogólnej dla jednostek samorządu terytorialnego</t>
  </si>
  <si>
    <t>Środki na uzupełnienie dochodów województw</t>
  </si>
  <si>
    <t>Część regionalna subwencji ogólnej dla województw</t>
  </si>
  <si>
    <t>Regionalne Programy Operacyjne 2014-2020 finansowane z udziałem środków Europejskiego Funduszu Rozwoju Regionalnego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</si>
  <si>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</si>
  <si>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</si>
  <si>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Regionalne Programy Operacyjne 2014-2020 finansowane z udziałem środków Europejskiego Funduszu Społecznego</t>
  </si>
  <si>
    <t>Dotacja celowa otrzymana z tytułu pomocy finansowej udzielanej między jednostkami samorządu terytorialnego na dofinansowanie własnych zadań bieżących</t>
  </si>
  <si>
    <t xml:space="preserve">Nr  /     /20 Sejmiku Województwa </t>
  </si>
  <si>
    <t>Załącznik nr 4 do uchwały</t>
  </si>
  <si>
    <t xml:space="preserve">Załącznik nr 5 do uchwały </t>
  </si>
  <si>
    <r>
      <t xml:space="preserve">W załączniku nr 5 </t>
    </r>
    <r>
      <rPr>
        <b/>
        <sz val="10"/>
        <rFont val="Times New Roman CE"/>
        <family val="0"/>
      </rPr>
      <t xml:space="preserve">"Wynik budżetowy i finansowy. Plan na 2020 rok" </t>
    </r>
    <r>
      <rPr>
        <sz val="10"/>
        <rFont val="Times New Roman CE"/>
        <family val="0"/>
      </rPr>
      <t>do uchwały Nr XII/262/19 Sejmiku Województwa Kujawsko-Pomorskiego z dnia 16 grudnia 2019 r. w sprawie budżetu województwa na rok 2020 (z późn.zm.), wprowadza się następujące zmiany:</t>
    </r>
  </si>
  <si>
    <t>Lp.</t>
  </si>
  <si>
    <t>Wyszczególnienie</t>
  </si>
  <si>
    <t xml:space="preserve">Zmiana </t>
  </si>
  <si>
    <t>Dochody</t>
  </si>
  <si>
    <t>1.1</t>
  </si>
  <si>
    <t>dochody bieżące</t>
  </si>
  <si>
    <t>1.2</t>
  </si>
  <si>
    <t>dochody majątkowe</t>
  </si>
  <si>
    <t>Przychody</t>
  </si>
  <si>
    <t>2.1</t>
  </si>
  <si>
    <t>Kredyt krajowy</t>
  </si>
  <si>
    <t>2.1.1</t>
  </si>
  <si>
    <t>Kredyt na spłatę zaciągniętych kredytów</t>
  </si>
  <si>
    <t>2.1.2</t>
  </si>
  <si>
    <t>Kredyt na sfinansowanie planowanego deficytu budżetowego</t>
  </si>
  <si>
    <t>2.2</t>
  </si>
  <si>
    <t>Wolne środki z lat ubiegłych</t>
  </si>
  <si>
    <t>OGÓŁEM   (w.1 + w.2)</t>
  </si>
  <si>
    <t>Wydatki</t>
  </si>
  <si>
    <t>4.1</t>
  </si>
  <si>
    <t>wydatki bieżące, w tym:</t>
  </si>
  <si>
    <t>4.1.1</t>
  </si>
  <si>
    <t>wydatki bieżące (bez obsługi długu, gwarancji i poręczeń)</t>
  </si>
  <si>
    <t>4.1.2</t>
  </si>
  <si>
    <t>wydatki na obsługę długu, gwarancje i poręczenia</t>
  </si>
  <si>
    <t>4.2</t>
  </si>
  <si>
    <t>wydatki majątkowe</t>
  </si>
  <si>
    <t>Rozchody</t>
  </si>
  <si>
    <t>5.1</t>
  </si>
  <si>
    <t>Spłata otrzymanych kredytów</t>
  </si>
  <si>
    <t>OGÓŁEM   (w.4 + w.5)</t>
  </si>
  <si>
    <t>WYNIK FINANSOWY (w.3 - w. 6)</t>
  </si>
  <si>
    <t>Deficyt (-) Nadwyżka (+) (w.1 - w. 4)</t>
  </si>
  <si>
    <t>Pokrycie deficytu budżetowego</t>
  </si>
  <si>
    <t>9.1</t>
  </si>
  <si>
    <t>Kredyty bankowe</t>
  </si>
  <si>
    <t>9.2</t>
  </si>
  <si>
    <t>Informacje dodatkowe</t>
  </si>
  <si>
    <t>dochody bieżące (poz. 1.1)</t>
  </si>
  <si>
    <t>wydatki bieżące (poz. 4.1)</t>
  </si>
  <si>
    <t>Nadwyżka bieżąca (poz. 1.1 - poz. 4.1)</t>
  </si>
  <si>
    <t>Dochody ogółem</t>
  </si>
  <si>
    <t xml:space="preserve"> - wydatki bieżące (bez obsługi długu)</t>
  </si>
  <si>
    <t xml:space="preserve"> + nadwyżka z lat ubiegłych+wolne środki</t>
  </si>
  <si>
    <t>Środki do dyspozycji na obsługę długu, gwarancje i poręczenia oraz wydatki majątkowe</t>
  </si>
  <si>
    <t xml:space="preserve"> - spłata i obsługa długu (raty + odsetki) 
oraz gwarancje i poręczenia</t>
  </si>
  <si>
    <t>Środki do dyspozycji na wydatki majątkowe</t>
  </si>
  <si>
    <t xml:space="preserve"> - wydatki majątkowe</t>
  </si>
  <si>
    <t xml:space="preserve">  Wynik</t>
  </si>
  <si>
    <t xml:space="preserve"> + kredyty zaciągnięte</t>
  </si>
  <si>
    <t>Wynik finansowy budżetu</t>
  </si>
  <si>
    <t xml:space="preserve">Nr   /    /20 Sejmiku Województwa </t>
  </si>
  <si>
    <t xml:space="preserve">Załącznik nr 6 do uchwały </t>
  </si>
  <si>
    <t>Nr     /     /20 Sejmiku Województwa</t>
  </si>
  <si>
    <r>
      <rPr>
        <sz val="16"/>
        <rFont val="Times New Roman CE"/>
        <family val="0"/>
      </rPr>
      <t>W załączniku nr 6 pn</t>
    </r>
    <r>
      <rPr>
        <b/>
        <sz val="16"/>
        <rFont val="Times New Roman CE"/>
        <family val="0"/>
      </rPr>
      <t xml:space="preserve">. "Projekty i działania realizowane w ramach Regionalnego Programu Operacyjnego Województwa Kujawsko-Pomorskiego 2014-2020.  Plan na 2020 rok" </t>
    </r>
    <r>
      <rPr>
        <sz val="16"/>
        <rFont val="Times New Roman CE"/>
        <family val="0"/>
      </rPr>
      <t xml:space="preserve">do uchwały Nr XII/262/19 Sejmiku Województwa Kujawsko-Pomorskiego 
z dnia 16 grudnia 2019 r.  w sprawie budżetu województwa na rok 2020 (z późn. zm.) wprowadza się następujące zmiany: </t>
    </r>
  </si>
  <si>
    <t>L.p.</t>
  </si>
  <si>
    <t>Działanie</t>
  </si>
  <si>
    <t>Kategoria interwencji</t>
  </si>
  <si>
    <t>Nazwa Projektu/Działania</t>
  </si>
  <si>
    <t>Realizator/
instytucja wdrażająca</t>
  </si>
  <si>
    <t>Klasyfikacja budżetowa
Dział
Rozdział</t>
  </si>
  <si>
    <t>Wydatki całkowite
na lata 2014-2023 w tym:</t>
  </si>
  <si>
    <t>Przewidywane wykonanie do końca 2019 r.</t>
  </si>
  <si>
    <t>Wydatki 2020</t>
  </si>
  <si>
    <t>UE</t>
  </si>
  <si>
    <t>Wydatki
ogółem</t>
  </si>
  <si>
    <t>Unia Europejska</t>
  </si>
  <si>
    <t xml:space="preserve">Ogółem </t>
  </si>
  <si>
    <t>Wkład krajowy</t>
  </si>
  <si>
    <t>BP</t>
  </si>
  <si>
    <t>Budżet państwa</t>
  </si>
  <si>
    <t>Budżet Województwa</t>
  </si>
  <si>
    <t xml:space="preserve">Inne </t>
  </si>
  <si>
    <t>Środki własne</t>
  </si>
  <si>
    <t xml:space="preserve">Bieżące </t>
  </si>
  <si>
    <t>Inwestycyjne</t>
  </si>
  <si>
    <t>Bieżące</t>
  </si>
  <si>
    <t>Ogólem</t>
  </si>
  <si>
    <t>8a</t>
  </si>
  <si>
    <t>9=10+13</t>
  </si>
  <si>
    <t>10=11+12</t>
  </si>
  <si>
    <t>13=14+17+20</t>
  </si>
  <si>
    <t>14=15+16</t>
  </si>
  <si>
    <t>17=18+19</t>
  </si>
  <si>
    <t>20=21+22</t>
  </si>
  <si>
    <t xml:space="preserve">Wydatki realizowane i nadzorowane przez wojewódzkie jednostki organizacyjne </t>
  </si>
  <si>
    <t>1.5.2</t>
  </si>
  <si>
    <t>066</t>
  </si>
  <si>
    <t>Invest in BiT CITY 2. Promocja potencjału gospodarczego oraz promocja atrakcyjności inwestycyjnej miast prezydenckich województwa kujawsko-pomorskiego</t>
  </si>
  <si>
    <t xml:space="preserve">Urząd Marszałkowski w Toruniu </t>
  </si>
  <si>
    <t>750
75075</t>
  </si>
  <si>
    <t>2016 - 2023</t>
  </si>
  <si>
    <t>Expressway - promocja terenów inwestycyjnych</t>
  </si>
  <si>
    <t>Kujawy + Pomorze - promocja potencjału gospodarczego regionu</t>
  </si>
  <si>
    <t>2018 - 2020</t>
  </si>
  <si>
    <t>Wsparcie umiędzynarodowienia kujawsko-pomorskich MŚP oraz promocja potencjału gospodarczego regionu</t>
  </si>
  <si>
    <t>078, 081, 101</t>
  </si>
  <si>
    <t>Infostrada Kujaw i Pomorza 2.0</t>
  </si>
  <si>
    <t>720
72095</t>
  </si>
  <si>
    <t>Budowa kujawsko-pomorskiego systemu udostępniania elektronicznej dokumentacji medycznej - I etap</t>
  </si>
  <si>
    <t>Budowa kujawsko-pomorskiego systemu udostępniania elektronicznej dokumentacji medycznej - II etap</t>
  </si>
  <si>
    <t>2018 - 2022</t>
  </si>
  <si>
    <t>079, 101</t>
  </si>
  <si>
    <t>Kultura w zasięgu 2.0</t>
  </si>
  <si>
    <t>2016 - 2021</t>
  </si>
  <si>
    <t>3.3</t>
  </si>
  <si>
    <t>013</t>
  </si>
  <si>
    <t>Termomodernizacja obiektów użyteczności publicznej: budynek Regionalnego Ośrodka Polityki Społecznej w Toruniu</t>
  </si>
  <si>
    <t>ROPS 
w Toruniu</t>
  </si>
  <si>
    <t>852
85217</t>
  </si>
  <si>
    <t>2019 - 2020</t>
  </si>
  <si>
    <t>3.4</t>
  </si>
  <si>
    <t>090</t>
  </si>
  <si>
    <t>Przebudowa wraz z rozbudową drogi wojewódzkiej Nr 265 Brześć Kujawski-Gostynin od km 0+003 do km 19+117 w zakresie dotyczącym budowy ciągów pieszo-rowerowych</t>
  </si>
  <si>
    <t>ZDW 
w Bydgoszczy</t>
  </si>
  <si>
    <t>600                 60013</t>
  </si>
  <si>
    <t>2017 - 2020</t>
  </si>
  <si>
    <t>3.5.2</t>
  </si>
  <si>
    <t>Poprawa bezpieczeństwa i komfortu życia mieszkańców oraz wsparcie niskoemisyjnego transportu drogowego poprzez wybudowanie dróg dla rowerów (lider: powiat toruński)</t>
  </si>
  <si>
    <t>600
60013</t>
  </si>
  <si>
    <t>Poprawa bezpieczeństwa i komfortu życia mieszkańców oraz wsparcie niskoemisyjnego transportu drogowego poprzez wybudowanie dróg rowerowych na terenie powiatu bydgoskiego (lider: gmina Koronowo, gmina Solec Kujawski, powiat bydgoski)</t>
  </si>
  <si>
    <t>2017 - 2022</t>
  </si>
  <si>
    <t>Ograniczenie emisji spalin poprzez rozbudowę sieci dróg rowerowych, znajdujących się w koncepcji rozwoju systemu transportu Bydgosko-Toruńskiego Obszaru Funkcjonalnego dla: Części nr 1 - Nawra - Kończewice - Chełmża - Zalesie - Kiełbasin - Mlewo - Mlewiec - Srebrniki - Sierakowo w ciągu dróg wojewódzkich nr: 551, 649, 554</t>
  </si>
  <si>
    <t>Ograniczenie emisji spalin poprzez rozbudowę sieci dróg rowerowych, znajdujących się w koncepcji rozwoju systemu transportu Bydgosko-Toruńskiego Obszaru Funkcjonalnego dla: Części nr 2 - Złotoria - Nowa Wieś - Lubicz Górny w ciągu drogi wojewódzkiej nr 657</t>
  </si>
  <si>
    <t>Ograniczenie emisji spalin poprzez rozbudowę sieci dróg rowerowych, znajdujących się w koncepcji rozwoju systemu transportu Bydgosko-Toruńskiego Obszaru Funkcjonalnego dla: Części nr 3 - Toruń - Mała Nieszawka - Wielka Nieszawka - Cierpice w ciągu drogi wojewódzkiej nr 273</t>
  </si>
  <si>
    <t>017, 018</t>
  </si>
  <si>
    <t>Punkty selektywnego zbierania odpadów komunalnych w województwie kujawsko-pomorskim</t>
  </si>
  <si>
    <t>900
90026</t>
  </si>
  <si>
    <t>2018 - 2021</t>
  </si>
  <si>
    <t>4.4</t>
  </si>
  <si>
    <t>094, 095</t>
  </si>
  <si>
    <t>Kujawsko-Pomorskie - rozwój poprzez kulturę 2018</t>
  </si>
  <si>
    <t>921
92195</t>
  </si>
  <si>
    <t>Kujawsko-Pomorskie - rozwój poprzez kulturę 2019</t>
  </si>
  <si>
    <t>094</t>
  </si>
  <si>
    <t>Wsparcie opieki nad zabytkami województwa kujawsko-pomorskiego w 2019 roku</t>
  </si>
  <si>
    <t>921
92120</t>
  </si>
  <si>
    <t>4.5</t>
  </si>
  <si>
    <t>085</t>
  </si>
  <si>
    <t>Ochrona czynna i monitoring obszarów Natura 2000 zlokalizowanych w granicach Brodnickiego Parku Krajobrazowego</t>
  </si>
  <si>
    <t>BPK</t>
  </si>
  <si>
    <t>925
92502</t>
  </si>
  <si>
    <t xml:space="preserve">Poprawa różnorodności biologicznej poprzez zarybianie j. Gopło oraz rozbudowa obiektu o część ekspozycji przyrodniczo-historycznej </t>
  </si>
  <si>
    <t>NPT</t>
  </si>
  <si>
    <t>Utworzenie ośrodka edukacji przyrodniczej Krajeńskiego Parku Krajobrazowego</t>
  </si>
  <si>
    <t>KPK</t>
  </si>
  <si>
    <t>Budowa stacji terenowo-badawczej "Podmoście"</t>
  </si>
  <si>
    <t>ZPKnDW</t>
  </si>
  <si>
    <t>2017 - 2021</t>
  </si>
  <si>
    <t>Modernizacja zagrody wiejskiej w Dusocinie na potrzeby ośrodka edukacji ekologicznej na terenie Parku Krajobrazowego "Góry Łosiowe" wraz z czynną ochrona przyrody na obszarze Natura 2000</t>
  </si>
  <si>
    <t>034</t>
  </si>
  <si>
    <t>Rozbudowa drogi wojewódzkiej Nr 251 Kaliska-Inowrocław na odcinku od km 19+649 (od granicy województwa kujawsko-pomorskiego)  do km 34+200 oraz od km 34+590,30 do km 35+290 wraz z przebudową mostu na rzece Gąsawka w miejscowości Żnin</t>
  </si>
  <si>
    <t>Rozbudowa drogi wojewódzkiej Nr 548 Stolno-Wąbrzeźno od km 0+005 do km 29+619 z wyłączeniem węzła autostradowego w m. Lisewo od km 14+144 do km 15+146</t>
  </si>
  <si>
    <t>2016 - 2022</t>
  </si>
  <si>
    <t>Przebudowa i rozbudowa drogi wojewódzkiej Nr 559 na odcinku Lipno - Kamień Kotowy - granica województwa</t>
  </si>
  <si>
    <t>Przebudowa wraz z rozbudową drogi wojewódzkiej Nr 265 Brześć Kujawski-Gostynin od km 0+003 do km 19+117</t>
  </si>
  <si>
    <t>Przebudowa i rozbudowa drogi wojewódzkiej Nr 255 Pakość - Strzelno od km 0+005 do km 21+910, Etap I - Rozbudowa drogi wojewódzkiej Nr 255 na odc. od km 0+005 do km 2+220, dł. 2,215 km"</t>
  </si>
  <si>
    <t>Przebudowa i rozbudowa drogi wojewódzkiej Nr 255 Pakość - Strzelno od km 0+005 do km 21+910, Etap II - Przebudowa drogi wojewódzkiej Nr 255 na odc. od km 2+220 do km 21+910, dł. 19,690 km</t>
  </si>
  <si>
    <t>Przebudowa wraz z rozbudową drogi wojewódzkiej Nr 254 Brzoza-Łabiszyn-Barcin-Mogilno-Wylatowo (odcinek Brzoza-Barcin). Odcinek I od km 0+069 do km 13+280.</t>
  </si>
  <si>
    <t>Rozbudowa drogi wojewódzkiej Nr 270 Brześć Kujawski - Izbica Kujawska - Koło od km 0+000 do km 29+023 - Budowa obwodnicy m. Lubraniec</t>
  </si>
  <si>
    <t>Przebudowa drogi wojewódzkiej Nr 249 wraz z uruchomieniem przeprawy promowej przez Wisłę na wysokości Solca Kujawskiego i Czarnowa</t>
  </si>
  <si>
    <t>6.3.1</t>
  </si>
  <si>
    <t>052</t>
  </si>
  <si>
    <t>Tylko w Korczaku jest super dzieciaku</t>
  </si>
  <si>
    <t>854                 85403</t>
  </si>
  <si>
    <t>"Dostrzec to co niewidoczne" - zwiększenie dostępności do edukacji przedszkolnej w ośrodku Braille'a w Bydgoszczy</t>
  </si>
  <si>
    <t>6.3.2</t>
  </si>
  <si>
    <t>Artyści w zawodzie - modernizacja warsztatów kształcenia zawodowego w KPSOSW im. J. Korczaka w Toruniu</t>
  </si>
  <si>
    <t>"Usłyszeć potrzeby" - wzmocnienie pozycji uczniów słabosłyszących i niesłyszących w ramach rozbudowy warsztatów zawodowych Kujawsko-Pomorskiego Specjalnego Ośrodka Szkolno-Wychowawczego nr 2 w Bydgoszczy w kontekscie zwiększenia szans na rynku pracy</t>
  </si>
  <si>
    <t>Medyczne Centrum Przyszłości - utworzenie bazy kształcenia zawodowego dla Medyczno-Społecznego Centrum Kształcenia Zawodowego i Ustawicznego w Toruniu</t>
  </si>
  <si>
    <t>801                 80116</t>
  </si>
  <si>
    <t>Zmiana nazwy zadania z "Kwalifikacyjne Kursy Zawodowe twoją zawodowa szansą - nowe formy praktycznej nauki zawodu w Kujawsko-Pomorskim Ośrodku Dokształcania i Doskonalenia Zawodowego" na "Kwalifikacyjne Kursy Zawodowe twoją zawodowa szansą - nowe formy praktycznej nauki zawodu w Kujawsko-Pomorskim Centrum Kształecenia Zawodowego w Bydgoszczy</t>
  </si>
  <si>
    <t>801                 80140</t>
  </si>
  <si>
    <t>6.5</t>
  </si>
  <si>
    <t>075, 093</t>
  </si>
  <si>
    <t>Utworzenie Centrum Czynnej Ochrony Przyrody Wdeckiego Parku Krajobrazowego</t>
  </si>
  <si>
    <t>WPK</t>
  </si>
  <si>
    <t>8.4.1</t>
  </si>
  <si>
    <t>105</t>
  </si>
  <si>
    <t>Aktywna Mama, aktywny Tata</t>
  </si>
  <si>
    <t>852                 85295</t>
  </si>
  <si>
    <t>2019 - 2021</t>
  </si>
  <si>
    <t>8.6.1</t>
  </si>
  <si>
    <t>107</t>
  </si>
  <si>
    <t>Zdrowi i aktywni w pracy</t>
  </si>
  <si>
    <t>851                 85195</t>
  </si>
  <si>
    <t>Zdrowiej w pracy i po pracy</t>
  </si>
  <si>
    <t>WUP 
w Toruniu</t>
  </si>
  <si>
    <t>853
85332</t>
  </si>
  <si>
    <t>2020 - 2022</t>
  </si>
  <si>
    <t>9.2.2</t>
  </si>
  <si>
    <t>109</t>
  </si>
  <si>
    <t>Wykluczenie - nie ma MOWy!</t>
  </si>
  <si>
    <t>852
85295</t>
  </si>
  <si>
    <t>Trampolina 2</t>
  </si>
  <si>
    <t>9.3.1</t>
  </si>
  <si>
    <t>112</t>
  </si>
  <si>
    <t>Realizacja działań z zakresu edukacji i bezpieczeństwa publicznego ukierunkowanych na kształtowanie własciwych postaw funkcjonowania społecznego w sytuacji występowania zagrożeń epidemiologicznych</t>
  </si>
  <si>
    <t>851
85195</t>
  </si>
  <si>
    <t>Ograniczenie negatywnych skutków COVID-19  poprzez działania profilaktyczne i zabezpieczające skierowane do służb medycznych</t>
  </si>
  <si>
    <t>9.3.2</t>
  </si>
  <si>
    <t>Wsparcie osób starszych i kadry świadczącej usługi społeczne w zakresie przeciwdziałania rozprzestrzenianiu się COVID-19, łagodzenia jego skutków na terenie województwa kujawsko-pomorskiego</t>
  </si>
  <si>
    <t>853
85395</t>
  </si>
  <si>
    <t>Rodzina w Centrum 2</t>
  </si>
  <si>
    <t>Pogodna jesień życia na Kujawach i Pomorzu - projekt pomocy środowiskowej dla seniorów (Lider Kujawsko-Pomorski Oddział Okręgowy Polskiego Czerwonego Krzyża w Bydgoszczy)</t>
  </si>
  <si>
    <t>9.4.2</t>
  </si>
  <si>
    <t>113</t>
  </si>
  <si>
    <t>Koordynacja rozwoju ekonomii społecznej w województwie kujawsko-pomorskim (II)</t>
  </si>
  <si>
    <t>2019 - 2023</t>
  </si>
  <si>
    <t>10.2.1</t>
  </si>
  <si>
    <t>115</t>
  </si>
  <si>
    <t>Przedszkolaki - debeściaki - edukacja przedszkolna i terapia dla dzieci z niepełnosprawnościami</t>
  </si>
  <si>
    <t>801
80105</t>
  </si>
  <si>
    <t>2020 - 2021</t>
  </si>
  <si>
    <t>10.2.2</t>
  </si>
  <si>
    <t>Region Nauk Ścisłych II - edukacja przyszłości</t>
  </si>
  <si>
    <t>801
80195</t>
  </si>
  <si>
    <t>Niebo nad Astrobazami - rozwijamy kompetencje kluczowe uczniów</t>
  </si>
  <si>
    <t>Kujawsko-Pomorska Szkoła Internetowa</t>
  </si>
  <si>
    <t>10.3.1</t>
  </si>
  <si>
    <t>Prymus Pomorza i Kujaw</t>
  </si>
  <si>
    <t>854
85416</t>
  </si>
  <si>
    <t>Humaniści na start</t>
  </si>
  <si>
    <t>2018 - 2023</t>
  </si>
  <si>
    <t>10.3.2</t>
  </si>
  <si>
    <t>118</t>
  </si>
  <si>
    <t>Prymusi Zawodu Kujaw i Pomorza II</t>
  </si>
  <si>
    <t>10.4.1</t>
  </si>
  <si>
    <t>117</t>
  </si>
  <si>
    <t>W Kujawsko-Pomorskiem - Mówisz - masz - certyfikowane szkolenia językowe</t>
  </si>
  <si>
    <t>150
15013</t>
  </si>
  <si>
    <t>Wydatki realizowane i nadzorowane przez wojewódzkie jednostki organizacyjne</t>
  </si>
  <si>
    <t>Wydatki realizowane w ramach pomocy technicznej</t>
  </si>
  <si>
    <t>12.1</t>
  </si>
  <si>
    <t>121, 122</t>
  </si>
  <si>
    <t>WPD PT Sprawne zarządzanie i wdrażanie RPO WK-P 
w latach 2018-2022</t>
  </si>
  <si>
    <t>750
75018</t>
  </si>
  <si>
    <t>Opracowanie dokumentacji projektowej dla strategicznych zadań w szpitalach wojewódzkich dla nowego okresu programowania 2021-2027</t>
  </si>
  <si>
    <t>851
85111</t>
  </si>
  <si>
    <t>12.2</t>
  </si>
  <si>
    <t>Skuteczna informacja i promocja, w tym wzmocnienie potencjału beneficjentów Programu</t>
  </si>
  <si>
    <t xml:space="preserve">Wydatki realizowane w ramach pomocy technicznej </t>
  </si>
  <si>
    <t xml:space="preserve">Działania i projekty realizowane przez beneficjentów zewnętrznych, którym samorząd województwa przekazuje dotacje na współfinansowanie krajowe </t>
  </si>
  <si>
    <t>3.5.1</t>
  </si>
  <si>
    <t>013, 014</t>
  </si>
  <si>
    <t>Efektywność energetyczna w sektorze publicznym i mieszkaniowym w ramach ZIT</t>
  </si>
  <si>
    <t>X</t>
  </si>
  <si>
    <t>6.1.1</t>
  </si>
  <si>
    <t>053</t>
  </si>
  <si>
    <t>Inwestycje w infrastrukturę zdrowotną</t>
  </si>
  <si>
    <t>6.1.2</t>
  </si>
  <si>
    <t>053, 054, 055, 101</t>
  </si>
  <si>
    <t>Inwestycje w infrastrukturę społeczną</t>
  </si>
  <si>
    <t>6.2</t>
  </si>
  <si>
    <t>034, 054, 055, 101</t>
  </si>
  <si>
    <t>Rewitalizacja obszarów miejskich i ich obszarów funkcjonalnych</t>
  </si>
  <si>
    <t>900
90095</t>
  </si>
  <si>
    <t>6.4.1</t>
  </si>
  <si>
    <t>Rewitalizacja obszarów miejskich i ich obszarów funkcjonalnych w ramach ZIT</t>
  </si>
  <si>
    <t>7.1</t>
  </si>
  <si>
    <t>034, 097</t>
  </si>
  <si>
    <t>Rozwój lokalny kierowany przez społeczność</t>
  </si>
  <si>
    <t>8.2.1</t>
  </si>
  <si>
    <t>Wsparcie na rzecz podniesienia poziomu aktywności zawodowej osób pozostających bez zatrudnienia</t>
  </si>
  <si>
    <t>8.2.2</t>
  </si>
  <si>
    <t>102</t>
  </si>
  <si>
    <t>Wsparcie osób pracujących znajdujących się w niekorzystnej sytuacji na rynku pracy</t>
  </si>
  <si>
    <t>8.3</t>
  </si>
  <si>
    <t>104</t>
  </si>
  <si>
    <t>Wsparcie przedsiębiorczości i samozatrudnienia w regionie</t>
  </si>
  <si>
    <t>Wsparcie zatrudnienia osób pełniących funkcje opiekuńcze</t>
  </si>
  <si>
    <t>8.5.2</t>
  </si>
  <si>
    <t>106</t>
  </si>
  <si>
    <t>Wsparcie outplacementowe</t>
  </si>
  <si>
    <t>Wsparcie na rzecz wydłużania aktywności zawodowej mieszkańców</t>
  </si>
  <si>
    <t>851            85195</t>
  </si>
  <si>
    <t>8.6.2</t>
  </si>
  <si>
    <t xml:space="preserve">Regionalne programy polityki zdrowotnej i profilaktyczne </t>
  </si>
  <si>
    <t>851            85149</t>
  </si>
  <si>
    <t>9.1.2</t>
  </si>
  <si>
    <t>Rozwój usług opiekuńczych w ramach ZIT</t>
  </si>
  <si>
    <t>852            85228</t>
  </si>
  <si>
    <t>Aktywne włączenie społeczne młodzieży objętej sądowym środkiem wychowawczym lub poprawczym</t>
  </si>
  <si>
    <t>852            85295</t>
  </si>
  <si>
    <t>Rozwój usług zdrowotnych</t>
  </si>
  <si>
    <t>Rozwój usług społecznych</t>
  </si>
  <si>
    <t>9.4.1</t>
  </si>
  <si>
    <t>Rozwój podmiotów sektora ekonomii społecznej</t>
  </si>
  <si>
    <t>852            85203</t>
  </si>
  <si>
    <t>10.1.2</t>
  </si>
  <si>
    <t>Kształcenie ogólne w ramach ZIT</t>
  </si>
  <si>
    <t>801 
80195</t>
  </si>
  <si>
    <t>10.1.3</t>
  </si>
  <si>
    <t>Kształcenie zawodowe w ramach ZIT</t>
  </si>
  <si>
    <t>Kształcenie ogólne</t>
  </si>
  <si>
    <t>10.2.3</t>
  </si>
  <si>
    <t>Kształcenie zawodowe</t>
  </si>
  <si>
    <t>Edukacja dorosłych w zakresie kompetencji cyfrowych i języków obcych</t>
  </si>
  <si>
    <t>150 
15013</t>
  </si>
  <si>
    <t>10.4.2</t>
  </si>
  <si>
    <t>Edukacja dorosłych na rzecz rynku pracy</t>
  </si>
  <si>
    <t>Działania i projekty realizowane przez beneficjentów zewnętrznych, którym samorząd województwa przekazuje dotacje na współfinansowanie krajowe</t>
  </si>
  <si>
    <t>z dnia    .05.2020 r.</t>
  </si>
  <si>
    <r>
      <t xml:space="preserve">W załączniku nr 7 pn. </t>
    </r>
    <r>
      <rPr>
        <b/>
        <sz val="16"/>
        <rFont val="Times New Roman CE"/>
        <family val="0"/>
      </rPr>
      <t xml:space="preserve">"Pozostałe projekty i działania realizowane ze środków zagranicznych. Plan na 2020 rok" </t>
    </r>
    <r>
      <rPr>
        <sz val="16"/>
        <rFont val="Times New Roman CE"/>
        <family val="0"/>
      </rPr>
      <t xml:space="preserve">do uchwały XII/262/19 Sejmiku Województwa Kujawsko-Pomorskiego z dnia 16 grudnia 2019 r. w sprawie budżetu województwa na rok 2020  wprowadza się następujące zmiany: </t>
    </r>
  </si>
  <si>
    <t xml:space="preserve">Program/ Działanie </t>
  </si>
  <si>
    <t>Nazwa Projektu</t>
  </si>
  <si>
    <t>Wydatki całkowite
 w tym:</t>
  </si>
  <si>
    <t>Przewidywane wykonanie do końca 2019 r. w tym:</t>
  </si>
  <si>
    <t>Krajowy wkład publiczny</t>
  </si>
  <si>
    <t>Inne publiczne</t>
  </si>
  <si>
    <t xml:space="preserve">Wydatki realizowane przez wojewódzkie jednostki organizacyjne </t>
  </si>
  <si>
    <t>PO PT</t>
  </si>
  <si>
    <t>Punkty Informacyjne Funduszy Europejskich WK-P</t>
  </si>
  <si>
    <t>750
75095</t>
  </si>
  <si>
    <t>2014 - 2020</t>
  </si>
  <si>
    <t>Wsparcie gmin w przygotowaniu i koordynacji programów rewitalizacji</t>
  </si>
  <si>
    <t>Urząd Marszałkowski w Toruniu /KPBPP we Włocławku</t>
  </si>
  <si>
    <t>2019 - 2022</t>
  </si>
  <si>
    <t>PO PC
Działanie 3.2</t>
  </si>
  <si>
    <t>Buduję, koduję, programuję</t>
  </si>
  <si>
    <t>KPCEN 
w Toruniu</t>
  </si>
  <si>
    <t>PO WER
Działanie 1.2</t>
  </si>
  <si>
    <t>Wsparcie osób młodych na regionalnym rynku pracy - projekty konkursowe</t>
  </si>
  <si>
    <t>WUP
w Toruniu</t>
  </si>
  <si>
    <t>PO WER
Działanie 2.5</t>
  </si>
  <si>
    <t>Kooperacja - efektywna i skuteczna</t>
  </si>
  <si>
    <t>ROPS
w Toruniu</t>
  </si>
  <si>
    <t>PO WER
Działanie 2.10</t>
  </si>
  <si>
    <t>Toruńska szkoła ćwiczeń dla województwa kujawsko-pomorskiego</t>
  </si>
  <si>
    <t>BP 
w Toruniu</t>
  </si>
  <si>
    <t>PO WER
Działanie 2.18</t>
  </si>
  <si>
    <t>Wdrażanie standardów obsługi inwestora w samorządach województwa kujawsko-pomorskiego 
(lider: Euro Innowacje sp. z o.o.)</t>
  </si>
  <si>
    <t>PO WER 
Pomoc Techniczna</t>
  </si>
  <si>
    <t>Pomoc Techniczna Programu Operacyjnego Wiedza Edukacja Rozwój</t>
  </si>
  <si>
    <t>2015 - 2020</t>
  </si>
  <si>
    <t xml:space="preserve">PROW
Pomoc Techniczna </t>
  </si>
  <si>
    <t>Schemat I - Wzmocnienie systemu wdrażania Programu</t>
  </si>
  <si>
    <t>010
01041</t>
  </si>
  <si>
    <t>2015 - 2023</t>
  </si>
  <si>
    <t>Schemat II - Wsparcie systemu funkcjonowania krajowej sieci obszarów wiejskich oraz realizacja działań informacyjno-promocyjnych PROW 2014-2020 (działania informacyjno-promocyjne)</t>
  </si>
  <si>
    <t>Schemat II - Wsparcie systemu funkcjonowania krajowej sieci obszarów wiejskich oraz realizacja działań informacyjno-promocyjnych PROW 2014-2020  (krajowa sieć obszarów wiejskich)</t>
  </si>
  <si>
    <t>Rybactwo i Morze 2014-2020 
Pomoc Techniczna</t>
  </si>
  <si>
    <t>Pomoc Techniczna Programu Operacyjnego Rybactwo i Morze 2014-2020</t>
  </si>
  <si>
    <t>050
05011</t>
  </si>
  <si>
    <t>PO IŚ
Działanie 2.4</t>
  </si>
  <si>
    <t>Edukacja społeczności zamieszkujących obszary chronione województwa kujawsko-pomorskiego: Lubię tu być na zielonym!</t>
  </si>
  <si>
    <t>PO IŚ
Działanie 8.1</t>
  </si>
  <si>
    <t>Młyn Kultury - Przebudowa, rozbudowa i zmiana sposobu użytkowania budynku magazynowego przy ul. Kościuszki 77 w Toruniu - na budynek o funkcji użyteczności publicznej</t>
  </si>
  <si>
    <t>2016 - 2020</t>
  </si>
  <si>
    <t>ERASMUS+</t>
  </si>
  <si>
    <t>Kreatywni nauczyciele dla dzieci i młodzieży z dysfunkcją wzroku</t>
  </si>
  <si>
    <t>KPSOSW Nr 1 w Bydgoszczy</t>
  </si>
  <si>
    <t>INTERREG (Region Morza Bałtyckiego)</t>
  </si>
  <si>
    <t>EMMA Extension</t>
  </si>
  <si>
    <t>600
60095</t>
  </si>
  <si>
    <t>INTERREG (Europa Środkowa)</t>
  </si>
  <si>
    <t>SURFACE</t>
  </si>
  <si>
    <t>HICAPS</t>
  </si>
  <si>
    <t>Combine</t>
  </si>
  <si>
    <t>INTERREG (Europa)</t>
  </si>
  <si>
    <t>Digitourism</t>
  </si>
  <si>
    <t>150
15095</t>
  </si>
  <si>
    <t>ECO-CICLE</t>
  </si>
  <si>
    <t>630
63095</t>
  </si>
  <si>
    <t>Cult-CreaTE</t>
  </si>
  <si>
    <t>ThreeT</t>
  </si>
  <si>
    <t>Załącznik nr 7 do uchwały</t>
  </si>
  <si>
    <t>Załącznik nr 8 do uchwały</t>
  </si>
  <si>
    <t xml:space="preserve">                                                                                                                             </t>
  </si>
  <si>
    <t xml:space="preserve">Sejmiku Województwa z dnia    .05.2020 r.     </t>
  </si>
  <si>
    <r>
      <t>W załączniku nr 9</t>
    </r>
    <r>
      <rPr>
        <b/>
        <sz val="12"/>
        <rFont val="Times New Roman CE"/>
        <family val="0"/>
      </rPr>
      <t xml:space="preserve"> "Dotacje udzielane z budżetu Województwa Kujawsko - Pomorskiego. Plan na 2020 rok"</t>
    </r>
    <r>
      <rPr>
        <sz val="12"/>
        <rFont val="Times New Roman CE"/>
        <family val="0"/>
      </rPr>
      <t xml:space="preserve"> do uchwały XII/262/19 Sejmiku Województwa Kujawsko-Pomorskiego z dnia 16 grudnia 2019 r. w sprawie budżetu województwa na rok 2020 (z późn. zm.), wprowadza się następujące zmiany:</t>
    </r>
  </si>
  <si>
    <t xml:space="preserve">Dział </t>
  </si>
  <si>
    <t>Nazwa zadania / Podmiot dotowany</t>
  </si>
  <si>
    <t>Dotacje dla jednostek sektora finansów publicznych</t>
  </si>
  <si>
    <t>Dotacje dla jednostek spoza sektora finansów publicznych</t>
  </si>
  <si>
    <t>Razem</t>
  </si>
  <si>
    <t>inwestycje</t>
  </si>
  <si>
    <t>bieżące</t>
  </si>
  <si>
    <t xml:space="preserve"> I DOTACJE PRZEDMIOTOWE</t>
  </si>
  <si>
    <t>Dla przewoźników komunikacji kolejowej z tytułu świadczonych usług w zakresie publicznego transportu zbiorowego</t>
  </si>
  <si>
    <r>
      <t xml:space="preserve">Dla przewoźników komunikacji kolejowej z tytułu świadczonych usług w zakresie publicznego transportu zbiorowego
</t>
    </r>
    <r>
      <rPr>
        <i/>
        <sz val="10"/>
        <color indexed="8"/>
        <rFont val="Times New Roman CE"/>
        <family val="0"/>
      </rPr>
      <t>Dotowanie kolejowych przewozów pasażerskich 2020-2035 (Pakiet bydgoski A)</t>
    </r>
  </si>
  <si>
    <r>
      <t xml:space="preserve">Dla przewoźników komunikacji kolejowej z tytułu świadczonych usług w zakresie publicznego transportu zbiorowego
</t>
    </r>
    <r>
      <rPr>
        <i/>
        <sz val="10"/>
        <color indexed="8"/>
        <rFont val="Times New Roman CE"/>
        <family val="0"/>
      </rPr>
      <t>Dotowanie kolejowych przewozów pasażerskich 2020-2035 (Pakiet grudziądzki B)</t>
    </r>
  </si>
  <si>
    <r>
      <t xml:space="preserve">Dla przewoźników komunikacji kolejowej z tytułu świadczonych usług w zakresie publicznego transportu zbiorowego
</t>
    </r>
    <r>
      <rPr>
        <i/>
        <sz val="10"/>
        <color indexed="8"/>
        <rFont val="Times New Roman CE"/>
        <family val="0"/>
      </rPr>
      <t>Dotowanie kolejowych przewozów pasażerskich 2020-2035 (Pakiet toruński C)</t>
    </r>
  </si>
  <si>
    <r>
      <t xml:space="preserve">Dla przewoźników komunikacji kolejowej z tytułu świadczonych usług w zakresie publicznego transportu zbiorowego
</t>
    </r>
    <r>
      <rPr>
        <i/>
        <sz val="10"/>
        <color indexed="8"/>
        <rFont val="Times New Roman CE"/>
        <family val="0"/>
      </rPr>
      <t>Dotowanie kolejowych przewozów pasażerskich 2020-2035 (koszty korzystania z infrastruktury kolejowej)</t>
    </r>
  </si>
  <si>
    <t xml:space="preserve"> II DOTACJE PODMIOTOWE</t>
  </si>
  <si>
    <t>Dotacje dla instytucji kultury</t>
  </si>
  <si>
    <t xml:space="preserve">Działalność statutowa  </t>
  </si>
  <si>
    <t>Zadanie remontowe - Remont elewacji budynku głównego i budynku Sceny na Zapleczu Teatru im. Wilama Horzycy w Toruniu</t>
  </si>
  <si>
    <t>Zadanie remontowe - Roboty remontowo-konserwatorskie w budynku głównym Teatru im. Wilama Horzycy w Toruniu</t>
  </si>
  <si>
    <t>Kujawsko-Pomorski Impresyjny Teatr Muzyczny w Toruniu</t>
  </si>
  <si>
    <t>Wojewódzki Ośrodek Animacji Kultury w Toruniu</t>
  </si>
  <si>
    <t>Kujawsko-Pomorskie Centrum Kultury w Bydgoszczy</t>
  </si>
  <si>
    <t>Ośrodek Chopinowski w Szafarni</t>
  </si>
  <si>
    <t xml:space="preserve">Działalność statutowa w tym:  </t>
  </si>
  <si>
    <t xml:space="preserve"> - ze środków własnych Województwa</t>
  </si>
  <si>
    <t xml:space="preserve"> - ze środków Gminy Radomin</t>
  </si>
  <si>
    <t>Galeria Sztuki "Wozownia" w Toruniu</t>
  </si>
  <si>
    <t>Galeria i Ośrodek Plastycznej Twórczości Dziecka w Torunia</t>
  </si>
  <si>
    <t>Centrum Sztuki Współczesnej "Znaki Czasu"</t>
  </si>
  <si>
    <t>92113</t>
  </si>
  <si>
    <t xml:space="preserve"> - ze środków Miasta Bydgoszczy</t>
  </si>
  <si>
    <t xml:space="preserve"> - ze środków Miasta Torunia</t>
  </si>
  <si>
    <t>Zadanie remontowe - Remonty</t>
  </si>
  <si>
    <t>Zadanie remontowe - Wymiana pokrycia dachowego na zabytkowym spichrzu przy ul. Bulwary 9 we Włocławku</t>
  </si>
  <si>
    <t>Zadanie remontowe - Muzeum Ziemi Kujawskiej i Dobrzyńskiej we Włocławku - remonty</t>
  </si>
  <si>
    <t xml:space="preserve"> III DOTACJE CELOWE</t>
  </si>
  <si>
    <t xml:space="preserve"> Na zadania realizowane w ramach Regionalnego Programu Operacyjnego WK-P 2014-2020</t>
  </si>
  <si>
    <t>W Kujawsko-Pomorskiem Mówisz-masz - certyfikowane szkolenia językowe</t>
  </si>
  <si>
    <t>Poprawa bezpieczeństwa i komfortu życia mieszkańców oraz wsparcie niskoemisyjnego transportu drogowego poprzez wybudowanie dróg rowerowych na terenie powiatu bydgoskiego (lider gmina Koronowo, gmina Solec Kujawski, powiat bydgoski)</t>
  </si>
  <si>
    <t>85149</t>
  </si>
  <si>
    <t>Regionalne programy polityki zdrowotnej i profilaktyczne</t>
  </si>
  <si>
    <t>85195</t>
  </si>
  <si>
    <t>Wsparcie na rzecz wydłużenia aktywności zawodowej mieszkańców</t>
  </si>
  <si>
    <t>85203</t>
  </si>
  <si>
    <t>85228</t>
  </si>
  <si>
    <t>85295</t>
  </si>
  <si>
    <t>85395</t>
  </si>
  <si>
    <t>85595</t>
  </si>
  <si>
    <t>90026</t>
  </si>
  <si>
    <t>90095</t>
  </si>
  <si>
    <t>92120</t>
  </si>
  <si>
    <t xml:space="preserve"> Na zadania realizowane w ramach Programu Operacyjnego Wiedza Edukacja i Rozwój</t>
  </si>
  <si>
    <t>2.5</t>
  </si>
  <si>
    <t>Wsparcie osób młodych na regionalnym rynku pracy</t>
  </si>
  <si>
    <t xml:space="preserve"> Na zadania realizowane w ramach Programu Rozwoju Obszarów Wiejskich 2014-2020</t>
  </si>
  <si>
    <t>PT PROW 2014-2020 - Schemat II - Wsparcie funkcjonowania krajowej sieci obszarów wiejskich oraz realizacja działań informacyjno-promocyjnych PROW 2014-2020 (krajowa sieć obszarów wiejskich)</t>
  </si>
  <si>
    <t>Na pozostałe zadania</t>
  </si>
  <si>
    <t>Bieżące utrzymanie wód i urządzeń wodnych - konserwacja, naprawa urządzeń melioracji wodnych (spółki wodne)</t>
  </si>
  <si>
    <t>Realizacja ustawy o ochronie gruntów rolnych i leśnych</t>
  </si>
  <si>
    <t>Organizacja dożynek</t>
  </si>
  <si>
    <t>GOSPOSTRATEG - Usytuowanie na poziomie samorządów lokalnych instrumentów wsparcia dla MŚP działających w oparciu o model wielopoziomowego zarządzania regionem</t>
  </si>
  <si>
    <t>Kolejowe regionalne i międzywojewódzkie przewozy pasażerskie</t>
  </si>
  <si>
    <t>Dopłaty do ustawowych ulg przejazdowych w krajowych autobusowych przewozach pasażerskich</t>
  </si>
  <si>
    <t>60004</t>
  </si>
  <si>
    <t>Zapewnienie funkcjonowania publicznego transportu zbiorowego w zakresie przewozów autobusowych o charakterze użyteczności publicznej</t>
  </si>
  <si>
    <t>Poprawa bezpieczeństwa i komfortu życia mieszkańców oraz wsparcie niskoemisyjnego transportu drogowego poprzez wybudowanie dróg dla rowerów - przy drodze wojewódzkiej Nr 551 Wybcz-Nawra, Nawra-Bogusławki oraz Zelgno (lider: Gmina Chełmża)</t>
  </si>
  <si>
    <r>
      <t xml:space="preserve">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 - </t>
    </r>
    <r>
      <rPr>
        <b/>
        <i/>
        <sz val="10"/>
        <color indexed="8"/>
        <rFont val="Times New Roman CE"/>
        <family val="0"/>
      </rPr>
      <t>wsparcie finansowe</t>
    </r>
  </si>
  <si>
    <r>
      <t xml:space="preserve">Modernizacja dróg na terenie Miasta Inowrocławia - wsparcie finansowe do 25 % wartości inwestycji przewidzianych do realizacji w ramach Funduszu Dróg Samorządowych </t>
    </r>
    <r>
      <rPr>
        <b/>
        <i/>
        <sz val="10"/>
        <color indexed="8"/>
        <rFont val="Times New Roman CE"/>
        <family val="0"/>
      </rPr>
      <t>(IW)</t>
    </r>
  </si>
  <si>
    <r>
      <t xml:space="preserve">Opracowanie dokumentacji Studium Techniczno-Ekonomiczno-Środowiskowego dla połączenia Miasta Bydgoszczy z węzłem drogowym na trasie szybkiego ruchu S5 i S10 w miejscowości Białe Błota - </t>
    </r>
    <r>
      <rPr>
        <b/>
        <i/>
        <sz val="10"/>
        <color indexed="8"/>
        <rFont val="Times New Roman CE"/>
        <family val="0"/>
      </rPr>
      <t>wsparcie finansowe</t>
    </r>
  </si>
  <si>
    <t>Rewitalizacja międzynarodowych dróg wodnych (E40 i E70) na terenie województwa kujawsko-pomorskiego</t>
  </si>
  <si>
    <r>
      <t>Zadania w zakresie turystyki i krajoznawstwa -</t>
    </r>
    <r>
      <rPr>
        <b/>
        <i/>
        <sz val="10"/>
        <color indexed="8"/>
        <rFont val="Times New Roman CE"/>
        <family val="0"/>
      </rPr>
      <t xml:space="preserve"> (GRANTY)</t>
    </r>
  </si>
  <si>
    <t>Laboratorium myśli św. Jana Pawła II</t>
  </si>
  <si>
    <t>Rozbudowa kampusu UTP w Bydgoszczy w Fordonie (partycypacja do 30% wysokości dotacji ministerialnej)</t>
  </si>
  <si>
    <r>
      <t>Działalność na rzecz organizacji pozarządowych -</t>
    </r>
    <r>
      <rPr>
        <b/>
        <i/>
        <sz val="10"/>
        <color indexed="8"/>
        <rFont val="Times New Roman CE"/>
        <family val="0"/>
      </rPr>
      <t xml:space="preserve"> (GRANTY)</t>
    </r>
  </si>
  <si>
    <r>
      <t xml:space="preserve">Podniesienie jakości usług zdrowotnych oraz zwiększenie dostępu do usług medycznych w WSS we Włocławku - modernizacja pomieszczeń w budynkach szpitalnych
</t>
    </r>
    <r>
      <rPr>
        <i/>
        <sz val="10"/>
        <color indexed="8"/>
        <rFont val="Times New Roman CE"/>
        <family val="0"/>
      </rPr>
      <t>Wojewódzki Szpital Specjalistyczny im. bł. ks. Jerzego Popiełuszki we Włocławku</t>
    </r>
  </si>
  <si>
    <r>
      <t xml:space="preserve">Podniesienie jakości usług zdrowotnych oraz zwiększenie dostępu do usług medycznych w WSS we Włocławku - zakup sprzętu i wyposażenia
</t>
    </r>
    <r>
      <rPr>
        <i/>
        <sz val="10"/>
        <color indexed="8"/>
        <rFont val="Times New Roman CE"/>
        <family val="0"/>
      </rPr>
      <t>Wojewódzki Szpital Specjalistyczny im. bł. ks. Jerzego Popiełuszki we Włocławku</t>
    </r>
  </si>
  <si>
    <r>
      <t xml:space="preserve">Zadania związane z zapobieganiem oraz zwalczaniem zakażenia wirusem SARS-CoV-2 i rozprzestrzenianiem się choroby zakaźnej wywołanej tym wirusem u ludzi
</t>
    </r>
    <r>
      <rPr>
        <i/>
        <sz val="10"/>
        <color indexed="8"/>
        <rFont val="Times New Roman CE"/>
        <family val="0"/>
      </rPr>
      <t xml:space="preserve">Kujawsko-Pomorskie Centrum Pulmonologii w Bydgoszczy
Wojewódzki Szpital Obserwacyjno-Zakaźny im. T. Browicza w Bydgoszczy
Wojewódzki Szpital Zespolony im. L. Rydgiera w Toruniu
</t>
    </r>
  </si>
  <si>
    <r>
      <t xml:space="preserve">Zadania związane ze zwalczaniem zakażenia, zapobieganiem rozprzestrzeniania się, profilaktyką oraz zwalczaniem skutków choroby zakaźnej wywołanej wirusem SARS-CoV-2 zwanej "COVID-19"
</t>
    </r>
    <r>
      <rPr>
        <i/>
        <sz val="10"/>
        <color indexed="8"/>
        <rFont val="Times New Roman CE"/>
        <family val="0"/>
      </rPr>
      <t xml:space="preserve">Kujawsko-Pomorskie Centrum Pulmonologii w Bydgoszczy
Wojewódzki Szpital Obserwacyjno-Zakaźny im. T. Browicza w Bydgoszczy
Wojewódzki Szpital Zespolony im. L. Rydgiera w Toruniu
</t>
    </r>
  </si>
  <si>
    <r>
      <t xml:space="preserve">Zapobieganie, przeciwdziałanie i zwalczanie zakażeń i choroby zakaźnej wywołanej wirusem SARS-CoV-2, zwanej "COVID-19"
</t>
    </r>
    <r>
      <rPr>
        <i/>
        <sz val="10"/>
        <color indexed="8"/>
        <rFont val="Times New Roman CE"/>
        <family val="0"/>
      </rPr>
      <t xml:space="preserve">Wojewódzki Szpital Obserwacyjno-Zakaźny im. T. Browicza w Bydgoszczy
</t>
    </r>
  </si>
  <si>
    <r>
      <t xml:space="preserve">Dostosowanie budynku do wymogów ppoż
</t>
    </r>
    <r>
      <rPr>
        <i/>
        <sz val="10"/>
        <color indexed="8"/>
        <rFont val="Times New Roman CE"/>
        <family val="0"/>
      </rPr>
      <t>Wojewódzki Szpital dla Nerwowo i Psychicznie Chorych w Świeciu</t>
    </r>
  </si>
  <si>
    <r>
      <t xml:space="preserve">Zakup ambulansów w formie leasingu przez Wojewódzką Stację Pogotowia Ratunkowego w Bydgoszczy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Wojewódzka Stacja Pogotowia Ratunkowego w Bydgoszczy</t>
    </r>
  </si>
  <si>
    <r>
      <t xml:space="preserve">Zadania związane z zapobieganiem oraz zwalczaniem zakażenia wirusem SARS-CoV-2 i rozprzestrzenianiem się choroby zakaźnej wywołanej tym wirusem u ludzi
</t>
    </r>
    <r>
      <rPr>
        <i/>
        <sz val="10"/>
        <color indexed="8"/>
        <rFont val="Times New Roman CE"/>
        <family val="0"/>
      </rPr>
      <t>Wojewódzki Szpital Specjalistyczny im. bł. ks. Jerzego Popiełuszki we Włocławku</t>
    </r>
  </si>
  <si>
    <r>
      <t xml:space="preserve">Termomodernizacja budynku WOMP w Bydgoszczy
</t>
    </r>
    <r>
      <rPr>
        <i/>
        <sz val="10"/>
        <color indexed="8"/>
        <rFont val="Times New Roman CE"/>
        <family val="0"/>
      </rPr>
      <t>Wojewódzki Ośrodek Medycyny Pracy w Bydgoszczy</t>
    </r>
  </si>
  <si>
    <r>
      <t>Ochrona i promocja zdrowia -</t>
    </r>
    <r>
      <rPr>
        <b/>
        <i/>
        <sz val="10"/>
        <color indexed="8"/>
        <rFont val="Times New Roman CE"/>
        <family val="0"/>
      </rPr>
      <t xml:space="preserve"> (GRANTY)</t>
    </r>
  </si>
  <si>
    <t>Województwo Promujące Zdrowie</t>
  </si>
  <si>
    <t>85153</t>
  </si>
  <si>
    <r>
      <t>Przeciwdziałanie narkomanii w województwie kujawsko-pomorskim -</t>
    </r>
    <r>
      <rPr>
        <b/>
        <i/>
        <sz val="10"/>
        <color indexed="8"/>
        <rFont val="Times New Roman CE"/>
        <family val="0"/>
      </rPr>
      <t xml:space="preserve"> (GRANTY)</t>
    </r>
  </si>
  <si>
    <t>85154</t>
  </si>
  <si>
    <t>Przeciwdziałanie alkoholizmowi i innym uzależnieniom</t>
  </si>
  <si>
    <r>
      <t>Program - Aktywizacja środowisk wiejskich w zakresie rozwiązywania problemów alkoholowych</t>
    </r>
    <r>
      <rPr>
        <b/>
        <i/>
        <sz val="10"/>
        <color indexed="8"/>
        <rFont val="Times New Roman CE"/>
        <family val="0"/>
      </rPr>
      <t xml:space="preserve"> (GRANTY)</t>
    </r>
  </si>
  <si>
    <r>
      <t>Rozwiązywanie problemów alkoholowych w województwie kujawsko-pomorskim -</t>
    </r>
    <r>
      <rPr>
        <b/>
        <i/>
        <sz val="10"/>
        <color indexed="8"/>
        <rFont val="Times New Roman CE"/>
        <family val="0"/>
      </rPr>
      <t xml:space="preserve"> (GRANTY)</t>
    </r>
  </si>
  <si>
    <t>85205</t>
  </si>
  <si>
    <t>Wojewódzki Program przeciwdziałania przemocy w rodzinie dla województwa kujawsko-pomorskiego do roku 2020 - Kujawsko-Pomorska Niebieska Linia</t>
  </si>
  <si>
    <t>85311</t>
  </si>
  <si>
    <t xml:space="preserve">Dofinansowanie kosztów działalności Zakładów Aktywności Zawodowej </t>
  </si>
  <si>
    <r>
      <t>Zwiększenie dostępu osób z niepełnosprawnością do lecznictwa specjalistycznego, terapii i rehabilitacji -</t>
    </r>
    <r>
      <rPr>
        <b/>
        <i/>
        <sz val="10"/>
        <color indexed="8"/>
        <rFont val="Times New Roman CE"/>
        <family val="0"/>
      </rPr>
      <t xml:space="preserve"> (GRANTY)</t>
    </r>
  </si>
  <si>
    <t>85415</t>
  </si>
  <si>
    <t xml:space="preserve">Stypendia dla uczniów </t>
  </si>
  <si>
    <t>85509</t>
  </si>
  <si>
    <r>
      <t>Wspieranie działań z zakresu opieki adopcyjno-wychowawczej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</si>
  <si>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Wspieranie aktywizacji i integracji społecznej seniorów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</si>
  <si>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Wsparcie działań z zakresu opieki nad osobami przewlekle chorymi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</si>
  <si>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Wspieranie rodzin w wypełnianiu funkcji rodzicielskich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</si>
  <si>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Wspieranie zajęć rozwojowych dla dzieci i młodzieży zagrożonych wykluczeniem społecznym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</si>
  <si>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Wspieranie prac wychowawczych z dziećmi i młodzieżą, realizowanych przez organizacje młodzieżowe -</t>
    </r>
    <r>
      <rPr>
        <b/>
        <i/>
        <sz val="10"/>
        <color indexed="8"/>
        <rFont val="Times New Roman CE"/>
        <family val="0"/>
      </rPr>
      <t xml:space="preserve"> (GRANTY)</t>
    </r>
  </si>
  <si>
    <r>
      <t xml:space="preserve">Edukacja społeczności zamieszkujących obszary chronione województwa kujawsko-pomorskiego: Lubię tu być na zielonym! </t>
    </r>
    <r>
      <rPr>
        <b/>
        <i/>
        <sz val="10"/>
        <color indexed="8"/>
        <rFont val="Times New Roman CE"/>
        <family val="0"/>
      </rPr>
      <t>(POIŚ)</t>
    </r>
  </si>
  <si>
    <t>92105</t>
  </si>
  <si>
    <r>
      <t xml:space="preserve">Bydgoski Festiwal Operowy
</t>
    </r>
    <r>
      <rPr>
        <i/>
        <sz val="10"/>
        <color indexed="8"/>
        <rFont val="Times New Roman CE"/>
        <family val="0"/>
      </rPr>
      <t>Opera NOVA w Bydgoszczy</t>
    </r>
  </si>
  <si>
    <r>
      <t xml:space="preserve">Bydgoski Festiwal Muzyczny
</t>
    </r>
    <r>
      <rPr>
        <i/>
        <sz val="10"/>
        <color indexed="8"/>
        <rFont val="Times New Roman CE"/>
        <family val="0"/>
      </rPr>
      <t>Filharmonia Pomorska w Bydgoszczy</t>
    </r>
  </si>
  <si>
    <r>
      <t xml:space="preserve">Kwartalnik Artystyczny, Kujawy i Pomorze
</t>
    </r>
    <r>
      <rPr>
        <i/>
        <sz val="10"/>
        <color indexed="8"/>
        <rFont val="Times New Roman CE"/>
        <family val="0"/>
      </rPr>
      <t>Kujawsko-Pomorskie Centrum Kultury w Bydgoszczy</t>
    </r>
  </si>
  <si>
    <r>
      <t xml:space="preserve">Festiwal Książki Obrazkowej dla dzieci "LiterObrazki"
</t>
    </r>
    <r>
      <rPr>
        <i/>
        <sz val="10"/>
        <color indexed="8"/>
        <rFont val="Times New Roman CE"/>
        <family val="0"/>
      </rPr>
      <t>Wojewódzka i Miejska Biblioteka Publiczna w Bydgoszczy</t>
    </r>
  </si>
  <si>
    <r>
      <rPr>
        <sz val="10"/>
        <color indexed="8"/>
        <rFont val="Times New Roman CE"/>
        <family val="0"/>
      </rPr>
      <t>Zakup zintegrowanego systemu finansowo-kadrowo-płacowego oraz oprogramowania do ewidencji środków trwałych</t>
    </r>
    <r>
      <rPr>
        <i/>
        <sz val="10"/>
        <color indexed="8"/>
        <rFont val="Times New Roman CE"/>
        <family val="0"/>
      </rPr>
      <t xml:space="preserve">
Opera NOVA w Bydgoszczy</t>
    </r>
  </si>
  <si>
    <r>
      <rPr>
        <sz val="10"/>
        <color indexed="8"/>
        <rFont val="Times New Roman CE"/>
        <family val="0"/>
      </rPr>
      <t>Rozbudowa Opery Nova w Bydgoszczy o IV krąg wraz z infrastrukturą parkingową-przygotowanie inwestycji</t>
    </r>
    <r>
      <rPr>
        <i/>
        <sz val="10"/>
        <color indexed="8"/>
        <rFont val="Times New Roman CE"/>
        <family val="0"/>
      </rPr>
      <t xml:space="preserve">
Opera NOVA w Bydgoszczy</t>
    </r>
  </si>
  <si>
    <r>
      <t xml:space="preserve">Modernizacja I i II balkonu w budynku głównym Teatru im. Wilama Horzycy w Toruniu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Teatr im. W. Horzycy w Toruniu</t>
    </r>
  </si>
  <si>
    <r>
      <rPr>
        <b/>
        <sz val="10"/>
        <color indexed="8"/>
        <rFont val="Times New Roman CE"/>
        <family val="0"/>
      </rPr>
      <t>zmiana nazwy zadania z:</t>
    </r>
    <r>
      <rPr>
        <sz val="10"/>
        <color indexed="8"/>
        <rFont val="Times New Roman CE"/>
        <family val="1"/>
      </rPr>
      <t xml:space="preserve">
Termomodernizacja oraz poprawa efektywności energetycznej w budynku zabytkowego Teatru im. Wilama Horzycy w Toruniu
</t>
    </r>
    <r>
      <rPr>
        <b/>
        <sz val="10"/>
        <color indexed="8"/>
        <rFont val="Times New Roman CE"/>
        <family val="0"/>
      </rPr>
      <t xml:space="preserve">na:
</t>
    </r>
    <r>
      <rPr>
        <sz val="10"/>
        <color indexed="8"/>
        <rFont val="Times New Roman CE"/>
        <family val="0"/>
      </rPr>
      <t>Wykonanie systemu wentylacji mechanicznej i klimatyzacji sali teatralnej, robót w zakresie termomodernizacji stolarki okiennej, drzwiowej i przegród zewnętrznych oraz modernizacji oświetlenia scenicznego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Teatr im. W. Horzycy w Toruniu</t>
    </r>
  </si>
  <si>
    <r>
      <t xml:space="preserve">Modernizacja parteru widowni dużej sceny Teatru im. Wilama Horzycy w Toruniu
</t>
    </r>
    <r>
      <rPr>
        <i/>
        <sz val="10"/>
        <color indexed="8"/>
        <rFont val="Times New Roman CE"/>
        <family val="0"/>
      </rPr>
      <t>Teatr im. W. Horzycy w Toruniu</t>
    </r>
  </si>
  <si>
    <r>
      <t xml:space="preserve">Edukacja kulturalna - Baśń - narzędzie pracy z dziećmi
</t>
    </r>
    <r>
      <rPr>
        <i/>
        <sz val="10"/>
        <color indexed="8"/>
        <rFont val="Times New Roman CE"/>
        <family val="0"/>
      </rPr>
      <t>Teatr im. W. Horzycy w Toruniu</t>
    </r>
  </si>
  <si>
    <r>
      <t xml:space="preserve">Edukacja kulturalna - Młody Teatr - laboratorium działań młodzieży i seniorów
</t>
    </r>
    <r>
      <rPr>
        <i/>
        <sz val="10"/>
        <color indexed="8"/>
        <rFont val="Times New Roman CE"/>
        <family val="0"/>
      </rPr>
      <t>Teatr im. W. Horzycy w Toruniu</t>
    </r>
  </si>
  <si>
    <r>
      <rPr>
        <sz val="10"/>
        <color indexed="8"/>
        <rFont val="Times New Roman CE"/>
        <family val="0"/>
      </rPr>
      <t>Przebudowa i remont konserwatorski budynku Pałacu Dąmbskich w Toruniu</t>
    </r>
    <r>
      <rPr>
        <b/>
        <i/>
        <sz val="10"/>
        <color indexed="8"/>
        <rFont val="Times New Roman CE"/>
        <family val="0"/>
      </rPr>
      <t xml:space="preserve"> 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Kujawsko-Pomorski Impresaryjny Teatr Muzyczny w Toruniu</t>
    </r>
  </si>
  <si>
    <r>
      <t>Nadbudowa i rozbudowa dawnego budynku kinoteatru Grunwald usytuowanego przy ul. Warszawskiej 11 w Toruniu z przeznaczeniem na teatr - Utworzenie "DUŻEJ SCENY" Kujawsko-Pomorskiego Impresaryjnego Teatru Muzycznego w Toruniu</t>
    </r>
    <r>
      <rPr>
        <b/>
        <i/>
        <sz val="10"/>
        <color indexed="8"/>
        <rFont val="Times New Roman CE"/>
        <family val="0"/>
      </rPr>
      <t xml:space="preserve"> 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Kujawsko-Pomorski Impresaryjny Teatr Muzyczny w Toruniu</t>
    </r>
  </si>
  <si>
    <r>
      <t xml:space="preserve">Wykonanie robót budowlanych polegających na remoncie, przebudowie i modernizacji istniejącego Zespołu Pałacowo-Parkowego w miejscowości Wieniec koło Włocławka wraz z infrastrukturą zewnętrzną i zagospodarowaniem terenu Parku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0"/>
      </rPr>
      <t xml:space="preserve">
</t>
    </r>
    <r>
      <rPr>
        <i/>
        <sz val="10"/>
        <color indexed="8"/>
        <rFont val="Times New Roman CE"/>
        <family val="0"/>
      </rPr>
      <t>Kujawsko-Pomorski Impresaryjny Teatr Muzyczny w Toruniu</t>
    </r>
  </si>
  <si>
    <r>
      <t xml:space="preserve">Zakup sprzętu i wyposażenia dla Filharmonii Pomorskiej im. Ignacego Jana Paderewskiego w Bydgoszczy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Filharmonia Pomorska w Bydgoszczy</t>
    </r>
  </si>
  <si>
    <r>
      <t xml:space="preserve">Rozbudowa i remont Filharmonii Pomorskiej w Bydgoszczy - przygotowanie dokumentacji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Filharmonia Pomorska w Bydgoszczy</t>
    </r>
  </si>
  <si>
    <r>
      <t xml:space="preserve">Kultura ludowa i tradycyjna - XIX Ogólnopolski Przegląd Amatorskiej Tkaniny Unikatowej
</t>
    </r>
    <r>
      <rPr>
        <i/>
        <sz val="10"/>
        <color indexed="8"/>
        <rFont val="Times New Roman CE"/>
        <family val="0"/>
      </rPr>
      <t>Wojewódzki Ośrodek Animacji Kultury w Toruniu</t>
    </r>
  </si>
  <si>
    <r>
      <t xml:space="preserve">Termomodernizacja zabytkowego budynku stajni-wozowni w Lubostroniu na potrzeby użytku publicznego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Pałac Lubostroń w Lubostroniu</t>
    </r>
  </si>
  <si>
    <r>
      <t xml:space="preserve">Zakupy inwestycyjne dla Pałacu Lubostroń w Lubostroniu
</t>
    </r>
    <r>
      <rPr>
        <i/>
        <sz val="10"/>
        <color indexed="8"/>
        <rFont val="Times New Roman CE"/>
        <family val="0"/>
      </rPr>
      <t>Pałac Lubostroń w Lubostroniu</t>
    </r>
  </si>
  <si>
    <r>
      <t xml:space="preserve">Dostosowanie istniejących pomieszczeń sanitarnych dla potrzeb osób niepełnosprawnych w Galerii i Ośrodku Plastycznej Twórczości Dziecka w Toruniu
</t>
    </r>
    <r>
      <rPr>
        <i/>
        <sz val="10"/>
        <color indexed="8"/>
        <rFont val="Times New Roman CE"/>
        <family val="0"/>
      </rPr>
      <t>Galeria i Ośrodek Plastycznej Twórczości Dziecka w Toruniu</t>
    </r>
  </si>
  <si>
    <r>
      <t xml:space="preserve">Wykonanie izolacji stropodachu w budynku Książnicy przy ul. Słowackiego 8
</t>
    </r>
    <r>
      <rPr>
        <i/>
        <sz val="10"/>
        <color indexed="8"/>
        <rFont val="Times New Roman CE"/>
        <family val="0"/>
      </rPr>
      <t>Wojewódzka Biblioteka Publiczna - Książnica Kopernikańska w Toruniu</t>
    </r>
  </si>
  <si>
    <r>
      <t xml:space="preserve">Dyskusyjne Kluby Książki w województwie kujawsko-pomorskim, w podregionie toruńsko-włocławskim
</t>
    </r>
    <r>
      <rPr>
        <i/>
        <sz val="10"/>
        <color indexed="8"/>
        <rFont val="Times New Roman CE"/>
        <family val="0"/>
      </rPr>
      <t>Wojewódzka Biblioteka Publiczna - Książnica Kopernikańska w Toruniu</t>
    </r>
  </si>
  <si>
    <r>
      <t xml:space="preserve">Partnerstwo dla książki - Literackie przygody młodych - gry wyobraźni w służbie książce
</t>
    </r>
    <r>
      <rPr>
        <i/>
        <sz val="10"/>
        <color indexed="8"/>
        <rFont val="Times New Roman CE"/>
        <family val="0"/>
      </rPr>
      <t>Wojewódzka Biblioteka Publiczna - Książnica Kopernikańska w Toruniu</t>
    </r>
  </si>
  <si>
    <r>
      <t xml:space="preserve">Wydanie tomów 20-22 punktowanego czasopisma naukowego "Folia Toruniensia"
</t>
    </r>
    <r>
      <rPr>
        <i/>
        <sz val="10"/>
        <color indexed="8"/>
        <rFont val="Times New Roman CE"/>
        <family val="0"/>
      </rPr>
      <t>Wojewódzka Biblioteka Publiczna - Książnica Kopernikańska w Toruniu</t>
    </r>
  </si>
  <si>
    <r>
      <t xml:space="preserve">Kultura cyfrowa - Kujawsko-pomorska prasa cyfrowa 1920
</t>
    </r>
    <r>
      <rPr>
        <i/>
        <sz val="10"/>
        <color indexed="8"/>
        <rFont val="Times New Roman CE"/>
        <family val="0"/>
      </rPr>
      <t>Wojewódzka Biblioteka Publiczna - Książnica Kopernikańska w Toruniu</t>
    </r>
  </si>
  <si>
    <r>
      <t xml:space="preserve">Dostosowanie wejścia dla potrzeb osób niepełnosprawnych w budynku Wojewódzkiej i Miejskiej Biblioteki Publicznej w Bydgoszczy
</t>
    </r>
    <r>
      <rPr>
        <i/>
        <sz val="10"/>
        <color indexed="8"/>
        <rFont val="Times New Roman CE"/>
        <family val="0"/>
      </rPr>
      <t>Wojewódzka i Miejska Biblioteka Publiczna w Bydgoszczy</t>
    </r>
  </si>
  <si>
    <r>
      <t xml:space="preserve">Zakupy inwestycyjne dla Wojewódzkiej i Miejskiej Biblioteki Publicznej 
w Bydgoszczy
</t>
    </r>
    <r>
      <rPr>
        <i/>
        <sz val="10"/>
        <color indexed="8"/>
        <rFont val="Times New Roman CE"/>
        <family val="0"/>
      </rPr>
      <t>Wojewódzka i Miejska Biblioteka Publiczna w Bydgoszczy</t>
    </r>
  </si>
  <si>
    <r>
      <t xml:space="preserve">Partnerstwo dla książki - Śladem bydgoskich legend
</t>
    </r>
    <r>
      <rPr>
        <i/>
        <sz val="10"/>
        <color indexed="8"/>
        <rFont val="Times New Roman CE"/>
        <family val="0"/>
      </rPr>
      <t>Wojewódzka i Miejska Biblioteka Publiczna w Bydgoszczy</t>
    </r>
  </si>
  <si>
    <r>
      <t xml:space="preserve">Kultura cyfrowa - Zabytki sztuki typograficznej europejskiego renesansu ze zbiorów Książnicy bydgoskiej
</t>
    </r>
    <r>
      <rPr>
        <i/>
        <sz val="10"/>
        <color indexed="8"/>
        <rFont val="Times New Roman CE"/>
        <family val="0"/>
      </rPr>
      <t>Wojewódzka i Miejska Biblioteka Publiczna w Bydgoszczy</t>
    </r>
  </si>
  <si>
    <t>Dofinansowanie Muzeum Ziemi Pałuckiej w Żninie - wsparcie finansowe</t>
  </si>
  <si>
    <r>
      <t xml:space="preserve">Rewaloryzacja i adaptacja zabytkowego spichlerza dworskiego w Kłóbce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Muzeum Ziemi Kujawskiej i Dobrzyńskiej we Włocławku</t>
    </r>
  </si>
  <si>
    <r>
      <t xml:space="preserve">Wymiana nieszczelnego pieca CO w Muzeum Stanisława Noakowskiego w Nieszawie
</t>
    </r>
    <r>
      <rPr>
        <i/>
        <sz val="10"/>
        <color indexed="8"/>
        <rFont val="Times New Roman CE"/>
        <family val="0"/>
      </rPr>
      <t>Muzeum Ziemi Kujawskiej i Dobrzyńskiej we Włocławku</t>
    </r>
  </si>
  <si>
    <r>
      <t xml:space="preserve">Wspieranie działań muzealnych - Barwne, posażne, ocalenia warte. Konserwacja zabytkowych skrzyń posagowych z Kujaw i ziemi dobrzyńskiej
</t>
    </r>
    <r>
      <rPr>
        <i/>
        <sz val="10"/>
        <color indexed="8"/>
        <rFont val="Times New Roman CE"/>
        <family val="0"/>
      </rPr>
      <t>Muzeum Ziemi Kujawskiej i Dobrzyńskiej we Włocławku</t>
    </r>
  </si>
  <si>
    <r>
      <t xml:space="preserve">Modernizacja sieci wodociągowej przeciwpożarowej na terenie Muzeum Etnograficznego w Toruniu
</t>
    </r>
    <r>
      <rPr>
        <i/>
        <sz val="10"/>
        <color indexed="8"/>
        <rFont val="Times New Roman CE"/>
        <family val="0"/>
      </rPr>
      <t>Muzeum Etnograficzne w Toruniu</t>
    </r>
  </si>
  <si>
    <r>
      <t xml:space="preserve">Kultura ludowa i tradycyjna - Wydanie książki pt. "Akwizytorzy szczęścia. O dawnych i współczesnych kolędnikach"
</t>
    </r>
    <r>
      <rPr>
        <i/>
        <sz val="10"/>
        <color indexed="8"/>
        <rFont val="Times New Roman CE"/>
        <family val="0"/>
      </rPr>
      <t>Muzeum Etnograficzne w Toruniu</t>
    </r>
  </si>
  <si>
    <r>
      <t xml:space="preserve">Odbudowa - modernizacja rekonstrukcji wału obronnego z wieżą oraz pomostem
</t>
    </r>
    <r>
      <rPr>
        <i/>
        <sz val="10"/>
        <color indexed="8"/>
        <rFont val="Times New Roman CE"/>
        <family val="0"/>
      </rPr>
      <t>Muzeum Archeologiczne w Biskupinie</t>
    </r>
  </si>
  <si>
    <r>
      <t xml:space="preserve">Ochrona zabytków archeologicznych - Gromadne znalezisko przedmiotów metalowych kultury łużyckiej z Brudzynia, pow. Żnin
</t>
    </r>
    <r>
      <rPr>
        <i/>
        <sz val="10"/>
        <color indexed="8"/>
        <rFont val="Times New Roman CE"/>
        <family val="0"/>
      </rPr>
      <t>Muzeum Archeologiczne w Biskupinie</t>
    </r>
  </si>
  <si>
    <t>Ochrona i zachowanie materialnego dziedzictwa kulturowego regionu</t>
  </si>
  <si>
    <r>
      <t>Zadania w zakresie kultury, sztuki, ochrony dóbr kultury i dziedzictwa narodowego -</t>
    </r>
    <r>
      <rPr>
        <b/>
        <i/>
        <sz val="10"/>
        <color indexed="8"/>
        <rFont val="Times New Roman CE"/>
        <family val="0"/>
      </rPr>
      <t xml:space="preserve"> (GRANTY)</t>
    </r>
  </si>
  <si>
    <t>Upowszechnianie kultury</t>
  </si>
  <si>
    <r>
      <t xml:space="preserve">"Park kulturowy Wietrzychowice" w Wietrzychowicach i Gaju - wsparcie działań gminy Izbica Kujawska - </t>
    </r>
    <r>
      <rPr>
        <b/>
        <i/>
        <sz val="10"/>
        <color indexed="8"/>
        <rFont val="Times New Roman CE"/>
        <family val="0"/>
      </rPr>
      <t>wsparcie finansowe</t>
    </r>
  </si>
  <si>
    <r>
      <t xml:space="preserve">Festiwale organizowane przez Teatr im. W. Horzycy w Toruniu
</t>
    </r>
    <r>
      <rPr>
        <i/>
        <sz val="10"/>
        <color indexed="8"/>
        <rFont val="Times New Roman CE"/>
        <family val="0"/>
      </rPr>
      <t>Teatr im. W. Horzycy w Toruniu</t>
    </r>
  </si>
  <si>
    <r>
      <t xml:space="preserve">Międzynarodowy Konkurs Pianistyczny im. Fryderyka Chopina dla Dzieci i Młodzieży w Szafarni 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Ośrodek Chopinowski w Szafarni</t>
    </r>
  </si>
  <si>
    <t xml:space="preserve">Budowa Pomnika Żołnierzy Wojsk Balonowych
</t>
  </si>
  <si>
    <r>
      <t>Zadania w zakresie upowszechniania kultury fizycznej i sportu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</si>
  <si>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Programy Sportu Powszechnego -</t>
    </r>
    <r>
      <rPr>
        <b/>
        <i/>
        <sz val="10"/>
        <color indexed="8"/>
        <rFont val="Times New Roman CE"/>
        <family val="0"/>
      </rPr>
      <t xml:space="preserve"> (GRANTY)</t>
    </r>
  </si>
  <si>
    <r>
      <t xml:space="preserve">Mała architektura i budowa infrastruktury sportowej przy obiektach edukacyjnych - </t>
    </r>
    <r>
      <rPr>
        <b/>
        <i/>
        <sz val="10"/>
        <color indexed="8"/>
        <rFont val="Times New Roman CE"/>
        <family val="0"/>
      </rPr>
      <t>wsparcie finansowe</t>
    </r>
  </si>
  <si>
    <t>Objaśnienia:</t>
  </si>
  <si>
    <t>IW - Inwestycje wieloletnie</t>
  </si>
  <si>
    <t xml:space="preserve">a </t>
  </si>
  <si>
    <t xml:space="preserve"> -</t>
  </si>
  <si>
    <t>plan przed zmianą</t>
  </si>
  <si>
    <t>zmiana</t>
  </si>
  <si>
    <t>plan po zmianie</t>
  </si>
  <si>
    <t xml:space="preserve">                                                                              </t>
  </si>
  <si>
    <t xml:space="preserve">                                                                                 </t>
  </si>
  <si>
    <t xml:space="preserve">Sejmiku Województwa z dnia   .05.2020 r.          </t>
  </si>
  <si>
    <t xml:space="preserve">                                                                                                </t>
  </si>
  <si>
    <r>
      <t xml:space="preserve">W załączniku nr 12 </t>
    </r>
    <r>
      <rPr>
        <b/>
        <sz val="10"/>
        <rFont val="Times New Roman CE"/>
        <family val="0"/>
      </rPr>
      <t>"Dochody i wydatki na zadania realizowane w drodze umów i porozumień między jednostkami samorządu terytorialnego. Plan na 2020 rok"</t>
    </r>
    <r>
      <rPr>
        <sz val="10"/>
        <rFont val="Times New Roman CE"/>
        <family val="1"/>
      </rPr>
      <t>do uchwały XII/262/19 Sejmiku Województwa Kujawsko-Pomorskiego z dnia 16 grudnia 2019 r. w sprawie budżetu województwa na rok 2020 (z późn. zm.), wprowadza się następujące zmiany:</t>
    </r>
  </si>
  <si>
    <t>Dochody od JST</t>
  </si>
  <si>
    <t>Wydatki ogółem</t>
  </si>
  <si>
    <t>Jednostka Samorządu Terytorialnego</t>
  </si>
  <si>
    <t xml:space="preserve"> Rodzaj zadania</t>
  </si>
  <si>
    <t>Województwo Mazowieckie</t>
  </si>
  <si>
    <t>Województwo Pomorskie</t>
  </si>
  <si>
    <t>Gmina Sępólno Krajeńskie</t>
  </si>
  <si>
    <t>Opracowanie dokumentacji projektowej dla rozbudowy skrzyżowania drogi woj. Nr 241 Tuchola-Sępólno Krajeńskie-Rogoźno (ul. Kościuszki) z ul. Odrodzenia i ul. Ks. Jerzego Popiełuszki w m. Sępólno Krajeńskie</t>
  </si>
  <si>
    <t>Gminy</t>
  </si>
  <si>
    <r>
      <t>Przebudowa wraz z rozbudową drogi wojewódzkiej nr 265 Brześć Kujawski-Gostynin od km 0+003 do km 19+117 w zakresie budowy ciągów pieszo-rowerowych -</t>
    </r>
    <r>
      <rPr>
        <b/>
        <i/>
        <sz val="10"/>
        <rFont val="Times New Roman CE"/>
        <family val="0"/>
      </rPr>
      <t xml:space="preserve"> RPO, Dz.3.4</t>
    </r>
  </si>
  <si>
    <t>Gminy
Powiaty</t>
  </si>
  <si>
    <r>
      <t xml:space="preserve">Ograniczenie emisji spalin poprzez rozbudowę dróg rowerowych znajdujących się w koncepcji rozwoju systemu transportu Bydgosko-Toruńskiego Obszaru Funkcjonalnego dla: Części nr 1 - Nawra-Kończewice-Chełmża-Zalesie-Kiełbasin-Mlewo-Mlewiec-Srebrniki-Sierakowo w ciągu dróg wojewódzkich nr 551, 649, 554 - </t>
    </r>
    <r>
      <rPr>
        <b/>
        <i/>
        <sz val="10"/>
        <rFont val="Times New Roman CE"/>
        <family val="0"/>
      </rPr>
      <t>RPO, Dz.3.5.2</t>
    </r>
  </si>
  <si>
    <r>
      <t xml:space="preserve">Ograniczenie emisji spalin poprzez rozbudowę dróg rowerowych znajdujących się w koncepcji rozwoju systemu transportu Bydgosko-Toruńskiego Obszaru Funkcjonalnego dla: Części nr 2 - Złotoria - Nowa Wieś - Lubicz Górny  w ciągu drogi wojewódzkiej nr 657 - </t>
    </r>
    <r>
      <rPr>
        <b/>
        <i/>
        <sz val="10"/>
        <rFont val="Times New Roman CE"/>
        <family val="0"/>
      </rPr>
      <t>RPO, Dz.3.5.2</t>
    </r>
  </si>
  <si>
    <r>
      <t xml:space="preserve">Ograniczenie emisji spalin poprzez rozbudowę dróg rowerowych znajdujących się w koncepcji rozwoju systemu transportu Bydgosko-Toruńskiego Obszaru Funkcjonalnego dla: Części nr 3 - Toruń - Mała Nieszawka - Wielka Nieszawka - Cierpice  w ciągu drogi wojewódzkiej nr 273 - </t>
    </r>
    <r>
      <rPr>
        <b/>
        <i/>
        <sz val="10"/>
        <rFont val="Times New Roman CE"/>
        <family val="0"/>
      </rPr>
      <t>RPO, Dz.3.5.2</t>
    </r>
  </si>
  <si>
    <r>
      <t>Rozbudowa drogi wojewódzkiej Nr 251 Kaliska-Inowrocław na odcinku od km 19+649 (od granicy województwa kujawsko-pomorskiego) do km 34+200 oraz od km 34+590,30 do km 35+290 wraz z przebudową mostu na rzece Gąsawka w miejscowości Żnin -</t>
    </r>
    <r>
      <rPr>
        <b/>
        <i/>
        <sz val="10"/>
        <rFont val="Times New Roman CE"/>
        <family val="0"/>
      </rPr>
      <t xml:space="preserve"> RPO, Dz.5.1</t>
    </r>
  </si>
  <si>
    <r>
      <t xml:space="preserve">Przebudowa drogi wojewódzkiej Nr 249 wraz z uruchomieniem przeprawy promowej przez Wisłę na wysokości Solca Kujawskiego i Czarnowa - </t>
    </r>
    <r>
      <rPr>
        <b/>
        <i/>
        <sz val="10"/>
        <rFont val="Times New Roman CE"/>
        <family val="0"/>
      </rPr>
      <t>RPO, Dz.5.1</t>
    </r>
  </si>
  <si>
    <r>
      <t>Rozbudowa drogi wojewódzkiej Nr 548 Stolno-Wąbrzeźno od km 0+005 do km 29+619 z wyłączeniem węzła autostradowego w m. Lisewo od km 14+144 do km 15+146 -</t>
    </r>
    <r>
      <rPr>
        <b/>
        <i/>
        <sz val="10"/>
        <rFont val="Times New Roman CE"/>
        <family val="0"/>
      </rPr>
      <t xml:space="preserve"> RPO, Dz.5.1</t>
    </r>
  </si>
  <si>
    <r>
      <t xml:space="preserve">Przebudowa i rozbudowa drogi wojewódzkiej Nr 559 na odcinku Lipno - Kamień Kotowy - granica województwa - </t>
    </r>
    <r>
      <rPr>
        <b/>
        <i/>
        <sz val="10"/>
        <rFont val="Times New Roman CE"/>
        <family val="0"/>
      </rPr>
      <t>RPO, Dz.5.1</t>
    </r>
  </si>
  <si>
    <t>Program "Przeciwdziałanie wykluczeniu cyfrowemu osób najuboższych oraz niepełnosprawnych"</t>
  </si>
  <si>
    <r>
      <t xml:space="preserve">Infostrada Kujaw i Pomorza 2.0 - </t>
    </r>
    <r>
      <rPr>
        <b/>
        <i/>
        <sz val="10"/>
        <rFont val="Times New Roman CE"/>
        <family val="0"/>
      </rPr>
      <t>RPO, Dz.2.1</t>
    </r>
  </si>
  <si>
    <r>
      <t xml:space="preserve">Invest in BiT CITY 2. Promocja potencjału gospodarczego oraz promocja atrakcyjności inwestycyjnej miast prezydenckich województwa kujawsko-pomorskiego - </t>
    </r>
    <r>
      <rPr>
        <b/>
        <i/>
        <sz val="10"/>
        <rFont val="Times New Roman CE"/>
        <family val="0"/>
      </rPr>
      <t>RPO, Dz.1.5.2</t>
    </r>
  </si>
  <si>
    <r>
      <t xml:space="preserve">Expressway - promocja terenów inwestycyjnych - </t>
    </r>
    <r>
      <rPr>
        <b/>
        <i/>
        <sz val="10"/>
        <rFont val="Times New Roman CE"/>
        <family val="0"/>
      </rPr>
      <t>RPO, Dz.1.5.2</t>
    </r>
  </si>
  <si>
    <r>
      <t xml:space="preserve">Dokształcanie uczniów
</t>
    </r>
    <r>
      <rPr>
        <i/>
        <sz val="10"/>
        <rFont val="Times New Roman CE"/>
        <family val="0"/>
      </rPr>
      <t xml:space="preserve">Kujawsko-Pomorskie Centrum Kształcenia Zawodowego w Bydgoszczy
</t>
    </r>
  </si>
  <si>
    <t xml:space="preserve">Gmina Osielsko
</t>
  </si>
  <si>
    <r>
      <t xml:space="preserve">Zapobieganie, przeciwdziałanie i zwalczanie zakażeń i choroby zakaźnej wywołanej wirusem SARS-CoV-2, zwanej "COVID-19"
</t>
    </r>
    <r>
      <rPr>
        <i/>
        <sz val="10"/>
        <rFont val="Times New Roman CE"/>
        <family val="0"/>
      </rPr>
      <t xml:space="preserve">Wojewódzki Szpital Obserwacyjno-Zakaźny im. T. Browicza w Bydgoszczy
</t>
    </r>
    <r>
      <rPr>
        <sz val="10"/>
        <rFont val="Times New Roman CE"/>
        <family val="0"/>
      </rPr>
      <t xml:space="preserve">
</t>
    </r>
  </si>
  <si>
    <t>Kujawsko-Pomorska Niebieska Linia - przeciwdziałanie przemocy w rodzinie</t>
  </si>
  <si>
    <t>92105
92195</t>
  </si>
  <si>
    <t>Miasto Bydgoszcz</t>
  </si>
  <si>
    <t>Bydgoski Festiwal Operowy
Opera NOVA w Bydgoszczy</t>
  </si>
  <si>
    <t>Bydgoski Festiwal Muzyczny
Filharmonia Pomorska w Bydgoszczy</t>
  </si>
  <si>
    <t>92105
92109</t>
  </si>
  <si>
    <t>Kwartalnik Artystyczny, Kujawy i Pomorze
Kujawsko-Pomorskie Centrum Kultury w Bydgoszczy</t>
  </si>
  <si>
    <t>92105
92116</t>
  </si>
  <si>
    <t>Festiwal Książki Obrazkowej dla Dzieci "LiterObrazki"
Wojewódzka i Miejska Biblioteka Publiczna w Bydgoszczy</t>
  </si>
  <si>
    <t>Gmina Radomin</t>
  </si>
  <si>
    <t>Dofinansowanie działalności statutowej Ośrodka Chopinowskiego w Szafarni</t>
  </si>
  <si>
    <t>Dofinansowanie działalności statutowej Wojewódzkiej i Miejskiej Biblioteki Publicznej w Bydgoszczy</t>
  </si>
  <si>
    <t>Miasto Toruń</t>
  </si>
  <si>
    <t>Dofinansowanie działalności statutowej Wojewódzkiej Biblioteki Publicznej - Książnicy Kopernikańskiej w Toruniu</t>
  </si>
  <si>
    <t>Miasto Grudziądz</t>
  </si>
  <si>
    <r>
      <t xml:space="preserve">Modernizacja zagrody wiejskiej w Dusocinie na potrzeby ośrodka edukacji ekologicznej na terenie Parku Krajobrazowego "Góry Łosiowe" wraz z czynną ochroną przyrody na obszarze Natura 2000 - </t>
    </r>
    <r>
      <rPr>
        <b/>
        <i/>
        <sz val="10"/>
        <rFont val="Times New Roman CE"/>
        <family val="0"/>
      </rPr>
      <t>RPO, Dz.4.5</t>
    </r>
  </si>
  <si>
    <t>RPO - Regionalny Program Operacyjny Województwa Kujawsko-Pomorskiego</t>
  </si>
  <si>
    <t>a - plan przed zmianą</t>
  </si>
  <si>
    <t>b - zmiana</t>
  </si>
  <si>
    <t>c - plan po zmianie</t>
  </si>
  <si>
    <t>Załącznik nr 9 do uchwały Nr    /     /20</t>
  </si>
  <si>
    <t>Załącznik nr 10 do uchwały Nr    /    /20</t>
  </si>
  <si>
    <t xml:space="preserve">Nr       /        /20 Sejmiku Województwa </t>
  </si>
  <si>
    <r>
      <t>W załączniku nr 13</t>
    </r>
    <r>
      <rPr>
        <b/>
        <sz val="10"/>
        <rFont val="Times New Roman"/>
        <family val="1"/>
      </rPr>
      <t xml:space="preserve"> "Dochody gromadzone na wydzielonych rachunkach oraz wydatki nimi finansowane. Plan na 2020 rok"</t>
    </r>
    <r>
      <rPr>
        <sz val="10"/>
        <rFont val="Times New Roman"/>
        <family val="1"/>
      </rPr>
      <t xml:space="preserve"> do uchwały Nr  XII/262/19 Sejmiku Województwa Kujawsko-Pomorskiego z dnia 16 grudnia 2019 r. w sprawie budżetu województwa na rok 2020 (z późn. zm.), wprowadza się następujące zmiany:</t>
    </r>
  </si>
  <si>
    <t>Jednostka</t>
  </si>
  <si>
    <t>Stan środków pieniężnych na początek okresu</t>
  </si>
  <si>
    <t>Stan środków pieniężnych na koniec 
okresu</t>
  </si>
  <si>
    <t xml:space="preserve">Biblioteka Pedagogiczna im. gen. bryg. prof. Elżbiety Zawackiej w Toruniu </t>
  </si>
  <si>
    <t>Kujawsko-Pomorskie Centrum Edukacji Nauczycieli w Toruniu</t>
  </si>
  <si>
    <t>Kujawsko-Pomorskie Centrum Edukacji Nauczycieli we Włocławku</t>
  </si>
  <si>
    <t>Kujawsko-Pomorskie Centrum Kształcenia Zawodowego w Bydgoszczy</t>
  </si>
  <si>
    <t>Kujawsko-Pomorski Specjalny Ośrodek Szkolno-Wychowawczy im. Janusza Korczaka w Toruniu</t>
  </si>
  <si>
    <t>Kujawsko-Pomorski Specjalny Ośrodek Szkolno-Wychowawczy nr 1 dla Dzieci i Młodzieży Słabo Widzącej i Niewidomej im. Louisa Braille'a w Bydgoszczy</t>
  </si>
  <si>
    <t>8.</t>
  </si>
  <si>
    <t>Kujawsko-Pomorski Specjalny Ośrodek Szkolno-Wychowawczy nr 2 dla Dzieci Młodzieży Słabo Słyszącej i Niesłyszącej im. gen. Stanisława Maczka w Bydgoszczy</t>
  </si>
  <si>
    <t>9.</t>
  </si>
  <si>
    <t>Medyczno-Społeczne Centrum Kształcenia Zawodowego 
i Ustawicznego w Inowrocławiu</t>
  </si>
  <si>
    <t>10.</t>
  </si>
  <si>
    <t>Medyczno-Społeczne Centrum Kształcenia Zawodowego 
i Ustawicznego w Toruniu</t>
  </si>
  <si>
    <t>11.</t>
  </si>
  <si>
    <t>Pedagogiczna Biblioteka Wojewódzka im. Mariana Rejewskiego w Bydgoszczy</t>
  </si>
  <si>
    <t>12.</t>
  </si>
  <si>
    <t>Zespół Szkół Nr 33 Specjalnych dla Dzieci i Młodzieży Przewlekle Chorej w Bydgoszczy</t>
  </si>
  <si>
    <t>a - plan na 2020 r.</t>
  </si>
  <si>
    <t>b - zmiany</t>
  </si>
  <si>
    <t>Załącznik nr 11 do uchwały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</si>
</sst>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0.0"/>
    <numFmt numFmtId="179" formatCode="#,##0.000"/>
    <numFmt numFmtId="180" formatCode="#,##0.0000"/>
    <numFmt numFmtId="181" formatCode="#,##0.00\ &quot;zł&quot;"/>
    <numFmt numFmtId="182" formatCode="#,##0;[Red]#,##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_-* #,##0.000\ _z_ł_-;\-* #,##0.000\ _z_ł_-;_-* &quot;-&quot;??\ _z_ł_-;_-@_-"/>
    <numFmt numFmtId="188" formatCode="_-* #,##0.0\ _z_ł_-;\-* #,##0.0\ _z_ł_-;_-* &quot;-&quot;??\ _z_ł_-;_-@_-"/>
    <numFmt numFmtId="189" formatCode="_-* #,##0\ _z_ł_-;\-* #,##0\ _z_ł_-;_-* &quot;-&quot;??\ _z_ł_-;_-@_-"/>
    <numFmt numFmtId="190" formatCode="#,##0_ ;\-#,##0\ "/>
    <numFmt numFmtId="191" formatCode="_-* #,##0.0000\ _z_ł_-;\-* #,##0.0000\ _z_ł_-;_-* &quot;-&quot;??\ _z_ł_-;_-@_-"/>
    <numFmt numFmtId="192" formatCode="[$-415]d\ mmmm\ yyyy"/>
    <numFmt numFmtId="193" formatCode="#,##0.00_ ;\-#,##0.00\ "/>
    <numFmt numFmtId="194" formatCode="_-* #,##0.000\ &quot;zł&quot;_-;\-* #,##0.000\ &quot;zł&quot;_-;_-* &quot;-&quot;???\ &quot;zł&quot;_-;_-@_-"/>
    <numFmt numFmtId="195" formatCode="0_ ;\-0\ "/>
    <numFmt numFmtId="196" formatCode="_-* #,##0.00\ _z_ł_-;\-* #,##0.00\ _z_ł_-;_-* \-??\ _z_ł_-;_-@_-"/>
    <numFmt numFmtId="197" formatCode="0.00000000"/>
    <numFmt numFmtId="198" formatCode="0.0000000"/>
    <numFmt numFmtId="199" formatCode="#,##0.0000000000000000000000000"/>
    <numFmt numFmtId="200" formatCode="0.000000000"/>
    <numFmt numFmtId="201" formatCode="0.000%"/>
    <numFmt numFmtId="202" formatCode="0.0000%"/>
    <numFmt numFmtId="203" formatCode="#,##0.0000\ &quot;zł&quot;;[Red]\-#,##0.0000\ &quot;zł&quot;"/>
    <numFmt numFmtId="204" formatCode="[$-F400]h:mm:ss\ AM/PM"/>
  </numFmts>
  <fonts count="10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 PL"/>
      <family val="0"/>
    </font>
    <font>
      <sz val="10"/>
      <color indexed="8"/>
      <name val="Times New Roman"/>
      <family val="1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sz val="13"/>
      <name val="Times New Roman CE"/>
      <family val="0"/>
    </font>
    <font>
      <sz val="12"/>
      <name val="Times New Roman CE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 CE"/>
      <family val="1"/>
    </font>
    <font>
      <b/>
      <i/>
      <sz val="11"/>
      <name val="Times New Roman CE"/>
      <family val="0"/>
    </font>
    <font>
      <b/>
      <i/>
      <sz val="10"/>
      <name val="Times New Roman CE"/>
      <family val="0"/>
    </font>
    <font>
      <i/>
      <sz val="11"/>
      <name val="Times New Roman CE"/>
      <family val="0"/>
    </font>
    <font>
      <b/>
      <i/>
      <u val="single"/>
      <sz val="10"/>
      <name val="Times New Roman CE"/>
      <family val="0"/>
    </font>
    <font>
      <sz val="12"/>
      <name val="Times New Roman"/>
      <family val="1"/>
    </font>
    <font>
      <b/>
      <sz val="16"/>
      <name val="Times New Roman CE"/>
      <family val="0"/>
    </font>
    <font>
      <sz val="16"/>
      <name val="Times New Roman CE"/>
      <family val="0"/>
    </font>
    <font>
      <sz val="11"/>
      <name val="Times New Roman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8"/>
      <name val="Arial CE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name val="Times New Roman CE"/>
      <family val="1"/>
    </font>
    <font>
      <b/>
      <sz val="11"/>
      <color indexed="8"/>
      <name val="Calibri"/>
      <family val="2"/>
    </font>
    <font>
      <b/>
      <sz val="18"/>
      <name val="Times New Roman CE"/>
      <family val="1"/>
    </font>
    <font>
      <b/>
      <sz val="12"/>
      <name val="Arial CE"/>
      <family val="0"/>
    </font>
    <font>
      <b/>
      <i/>
      <sz val="8"/>
      <name val="Times New Roman CE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 CE"/>
      <family val="1"/>
    </font>
    <font>
      <i/>
      <sz val="10"/>
      <color indexed="8"/>
      <name val="Times New Roman CE"/>
      <family val="0"/>
    </font>
    <font>
      <b/>
      <i/>
      <sz val="10"/>
      <color indexed="8"/>
      <name val="Times New Roman CE"/>
      <family val="0"/>
    </font>
    <font>
      <b/>
      <i/>
      <sz val="10"/>
      <color indexed="8"/>
      <name val="Times New Roman"/>
      <family val="1"/>
    </font>
    <font>
      <b/>
      <sz val="10"/>
      <color indexed="8"/>
      <name val="Times New Roman CE"/>
      <family val="0"/>
    </font>
    <font>
      <b/>
      <i/>
      <sz val="11"/>
      <color indexed="8"/>
      <name val="Times New Roman CE"/>
      <family val="0"/>
    </font>
    <font>
      <b/>
      <i/>
      <sz val="11"/>
      <color indexed="8"/>
      <name val="Times New Roman"/>
      <family val="1"/>
    </font>
    <font>
      <u val="single"/>
      <sz val="11"/>
      <name val="Times New Roman CE"/>
      <family val="1"/>
    </font>
    <font>
      <sz val="11"/>
      <name val="Times New Roman CE"/>
      <family val="1"/>
    </font>
    <font>
      <i/>
      <sz val="10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3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29" borderId="4" applyNumberFormat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9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93" fillId="27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94" fillId="0" borderId="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8" fillId="32" borderId="0" applyNumberFormat="0" applyBorder="0" applyAlignment="0" applyProtection="0"/>
  </cellStyleXfs>
  <cellXfs count="123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99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3" fontId="9" fillId="0" borderId="13" xfId="0" applyNumberFormat="1" applyFont="1" applyBorder="1" applyAlignment="1">
      <alignment horizontal="center" vertical="top" wrapText="1"/>
    </xf>
    <xf numFmtId="3" fontId="9" fillId="0" borderId="12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49" fontId="4" fillId="0" borderId="0" xfId="0" applyNumberFormat="1" applyFont="1" applyAlignment="1" applyProtection="1">
      <alignment horizontal="left"/>
      <protection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/>
    </xf>
    <xf numFmtId="4" fontId="4" fillId="0" borderId="0" xfId="0" applyNumberFormat="1" applyFont="1" applyAlignment="1">
      <alignment vertical="top"/>
    </xf>
    <xf numFmtId="4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top"/>
    </xf>
    <xf numFmtId="4" fontId="12" fillId="0" borderId="0" xfId="0" applyNumberFormat="1" applyFont="1" applyBorder="1" applyAlignment="1">
      <alignment vertical="center"/>
    </xf>
    <xf numFmtId="4" fontId="1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6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top"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vertical="top"/>
    </xf>
    <xf numFmtId="4" fontId="4" fillId="0" borderId="14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vertical="top" wrapText="1"/>
    </xf>
    <xf numFmtId="4" fontId="15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1" fontId="4" fillId="0" borderId="14" xfId="0" applyNumberFormat="1" applyFont="1" applyBorder="1" applyAlignment="1">
      <alignment horizontal="center" vertical="top"/>
    </xf>
    <xf numFmtId="1" fontId="4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/>
    </xf>
    <xf numFmtId="4" fontId="14" fillId="33" borderId="14" xfId="0" applyNumberFormat="1" applyFont="1" applyFill="1" applyBorder="1" applyAlignment="1">
      <alignment horizontal="center" wrapText="1"/>
    </xf>
    <xf numFmtId="4" fontId="4" fillId="0" borderId="14" xfId="0" applyNumberFormat="1" applyFont="1" applyBorder="1" applyAlignment="1">
      <alignment horizontal="center" wrapText="1"/>
    </xf>
    <xf numFmtId="4" fontId="15" fillId="0" borderId="14" xfId="0" applyNumberFormat="1" applyFont="1" applyBorder="1" applyAlignment="1">
      <alignment horizontal="center" wrapText="1"/>
    </xf>
    <xf numFmtId="4" fontId="4" fillId="0" borderId="14" xfId="0" applyNumberFormat="1" applyFont="1" applyFill="1" applyBorder="1" applyAlignment="1">
      <alignment horizontal="center" wrapText="1"/>
    </xf>
    <xf numFmtId="4" fontId="12" fillId="0" borderId="14" xfId="0" applyNumberFormat="1" applyFont="1" applyBorder="1" applyAlignment="1">
      <alignment horizontal="center" wrapText="1"/>
    </xf>
    <xf numFmtId="4" fontId="12" fillId="0" borderId="14" xfId="0" applyNumberFormat="1" applyFont="1" applyFill="1" applyBorder="1" applyAlignment="1">
      <alignment horizontal="center" wrapText="1"/>
    </xf>
    <xf numFmtId="4" fontId="14" fillId="33" borderId="14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4" fontId="15" fillId="0" borderId="14" xfId="0" applyNumberFormat="1" applyFont="1" applyFill="1" applyBorder="1" applyAlignment="1">
      <alignment horizontal="right" vertical="center"/>
    </xf>
    <xf numFmtId="4" fontId="15" fillId="0" borderId="14" xfId="0" applyNumberFormat="1" applyFont="1" applyFill="1" applyBorder="1" applyAlignment="1">
      <alignment vertical="center"/>
    </xf>
    <xf numFmtId="49" fontId="4" fillId="0" borderId="0" xfId="0" applyNumberFormat="1" applyFont="1" applyFill="1" applyAlignment="1" applyProtection="1">
      <alignment horizontal="left"/>
      <protection/>
    </xf>
    <xf numFmtId="4" fontId="4" fillId="33" borderId="14" xfId="0" applyNumberFormat="1" applyFont="1" applyFill="1" applyBorder="1" applyAlignment="1">
      <alignment vertical="top"/>
    </xf>
    <xf numFmtId="4" fontId="4" fillId="0" borderId="14" xfId="0" applyNumberFormat="1" applyFont="1" applyBorder="1" applyAlignment="1">
      <alignment vertical="top"/>
    </xf>
    <xf numFmtId="4" fontId="14" fillId="33" borderId="14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vertical="top"/>
    </xf>
    <xf numFmtId="4" fontId="15" fillId="33" borderId="14" xfId="0" applyNumberFormat="1" applyFont="1" applyFill="1" applyBorder="1" applyAlignment="1">
      <alignment vertical="center"/>
    </xf>
    <xf numFmtId="4" fontId="15" fillId="34" borderId="14" xfId="0" applyNumberFormat="1" applyFont="1" applyFill="1" applyBorder="1" applyAlignment="1">
      <alignment vertical="center"/>
    </xf>
    <xf numFmtId="4" fontId="15" fillId="33" borderId="14" xfId="0" applyNumberFormat="1" applyFont="1" applyFill="1" applyBorder="1" applyAlignment="1">
      <alignment horizontal="right" vertical="center"/>
    </xf>
    <xf numFmtId="4" fontId="15" fillId="34" borderId="14" xfId="0" applyNumberFormat="1" applyFont="1" applyFill="1" applyBorder="1" applyAlignment="1">
      <alignment horizontal="right" vertical="center"/>
    </xf>
    <xf numFmtId="4" fontId="4" fillId="33" borderId="14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15" fillId="33" borderId="14" xfId="0" applyNumberFormat="1" applyFont="1" applyFill="1" applyBorder="1" applyAlignment="1">
      <alignment vertical="top"/>
    </xf>
    <xf numFmtId="4" fontId="15" fillId="0" borderId="14" xfId="0" applyNumberFormat="1" applyFont="1" applyFill="1" applyBorder="1" applyAlignment="1">
      <alignment vertical="top"/>
    </xf>
    <xf numFmtId="4" fontId="14" fillId="33" borderId="14" xfId="0" applyNumberFormat="1" applyFont="1" applyFill="1" applyBorder="1" applyAlignment="1">
      <alignment vertical="top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6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/>
    </xf>
    <xf numFmtId="0" fontId="18" fillId="0" borderId="14" xfId="0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14" xfId="0" applyFont="1" applyFill="1" applyBorder="1" applyAlignment="1">
      <alignment/>
    </xf>
    <xf numFmtId="0" fontId="21" fillId="0" borderId="14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49" fontId="16" fillId="0" borderId="14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vertical="center"/>
    </xf>
    <xf numFmtId="49" fontId="16" fillId="0" borderId="14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 wrapText="1"/>
    </xf>
    <xf numFmtId="3" fontId="16" fillId="0" borderId="14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 wrapText="1"/>
    </xf>
    <xf numFmtId="3" fontId="18" fillId="0" borderId="14" xfId="0" applyNumberFormat="1" applyFont="1" applyFill="1" applyBorder="1" applyAlignment="1">
      <alignment horizontal="right" vertical="center"/>
    </xf>
    <xf numFmtId="3" fontId="16" fillId="0" borderId="14" xfId="0" applyNumberFormat="1" applyFont="1" applyFill="1" applyBorder="1" applyAlignment="1">
      <alignment horizontal="right" vertical="center"/>
    </xf>
    <xf numFmtId="3" fontId="19" fillId="0" borderId="14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4" fontId="11" fillId="0" borderId="14" xfId="0" applyNumberFormat="1" applyFont="1" applyBorder="1" applyAlignment="1">
      <alignment horizontal="right" vertical="top" wrapText="1"/>
    </xf>
    <xf numFmtId="4" fontId="11" fillId="0" borderId="15" xfId="0" applyNumberFormat="1" applyFont="1" applyBorder="1" applyAlignment="1">
      <alignment horizontal="right" vertical="top" wrapText="1"/>
    </xf>
    <xf numFmtId="0" fontId="11" fillId="0" borderId="15" xfId="0" applyFont="1" applyBorder="1" applyAlignment="1">
      <alignment horizontal="center" vertical="top" wrapText="1"/>
    </xf>
    <xf numFmtId="4" fontId="99" fillId="0" borderId="17" xfId="56" applyNumberFormat="1" applyFont="1" applyBorder="1" applyAlignment="1">
      <alignment vertical="top" wrapText="1"/>
      <protection/>
    </xf>
    <xf numFmtId="4" fontId="99" fillId="0" borderId="12" xfId="56" applyNumberFormat="1" applyFont="1" applyBorder="1" applyAlignment="1">
      <alignment vertical="top" wrapText="1"/>
      <protection/>
    </xf>
    <xf numFmtId="49" fontId="99" fillId="0" borderId="17" xfId="56" applyNumberFormat="1" applyFont="1" applyBorder="1" applyAlignment="1">
      <alignment horizontal="center" vertical="top" wrapText="1"/>
      <protection/>
    </xf>
    <xf numFmtId="49" fontId="99" fillId="0" borderId="12" xfId="56" applyNumberFormat="1" applyFont="1" applyBorder="1" applyAlignment="1">
      <alignment horizontal="center" vertical="top" wrapText="1"/>
      <protection/>
    </xf>
    <xf numFmtId="49" fontId="99" fillId="0" borderId="0" xfId="56" applyNumberFormat="1" applyFont="1" applyBorder="1" applyAlignment="1">
      <alignment horizontal="center" vertical="top" wrapText="1"/>
      <protection/>
    </xf>
    <xf numFmtId="4" fontId="99" fillId="0" borderId="0" xfId="56" applyNumberFormat="1" applyFont="1" applyBorder="1" applyAlignment="1">
      <alignment vertical="top" wrapText="1"/>
      <protection/>
    </xf>
    <xf numFmtId="49" fontId="99" fillId="0" borderId="13" xfId="56" applyNumberFormat="1" applyFont="1" applyBorder="1" applyAlignment="1">
      <alignment horizontal="center" vertical="top" wrapText="1"/>
      <protection/>
    </xf>
    <xf numFmtId="4" fontId="99" fillId="0" borderId="13" xfId="56" applyNumberFormat="1" applyFont="1" applyBorder="1" applyAlignment="1">
      <alignment vertical="top" wrapText="1"/>
      <protection/>
    </xf>
    <xf numFmtId="49" fontId="100" fillId="0" borderId="17" xfId="56" applyNumberFormat="1" applyFont="1" applyBorder="1" applyAlignment="1">
      <alignment horizontal="center" vertical="top" wrapText="1"/>
      <protection/>
    </xf>
    <xf numFmtId="49" fontId="100" fillId="0" borderId="0" xfId="56" applyNumberFormat="1" applyFont="1" applyBorder="1" applyAlignment="1">
      <alignment horizontal="center" vertical="top" wrapText="1"/>
      <protection/>
    </xf>
    <xf numFmtId="4" fontId="100" fillId="0" borderId="17" xfId="56" applyNumberFormat="1" applyFont="1" applyBorder="1" applyAlignment="1">
      <alignment vertical="top" wrapText="1"/>
      <protection/>
    </xf>
    <xf numFmtId="4" fontId="100" fillId="0" borderId="0" xfId="56" applyNumberFormat="1" applyFont="1" applyBorder="1" applyAlignment="1">
      <alignment vertical="top" wrapText="1"/>
      <protection/>
    </xf>
    <xf numFmtId="0" fontId="100" fillId="0" borderId="0" xfId="0" applyFont="1" applyAlignment="1">
      <alignment/>
    </xf>
    <xf numFmtId="49" fontId="100" fillId="0" borderId="14" xfId="56" applyNumberFormat="1" applyFont="1" applyBorder="1" applyAlignment="1">
      <alignment horizontal="center" vertical="top" wrapText="1"/>
      <protection/>
    </xf>
    <xf numFmtId="49" fontId="100" fillId="0" borderId="15" xfId="56" applyNumberFormat="1" applyFont="1" applyBorder="1" applyAlignment="1">
      <alignment horizontal="center" vertical="top" wrapText="1"/>
      <protection/>
    </xf>
    <xf numFmtId="4" fontId="100" fillId="0" borderId="14" xfId="56" applyNumberFormat="1" applyFont="1" applyBorder="1" applyAlignment="1">
      <alignment vertical="top" wrapText="1"/>
      <protection/>
    </xf>
    <xf numFmtId="4" fontId="100" fillId="0" borderId="15" xfId="56" applyNumberFormat="1" applyFont="1" applyBorder="1" applyAlignment="1">
      <alignment vertical="top" wrapText="1"/>
      <protection/>
    </xf>
    <xf numFmtId="49" fontId="99" fillId="0" borderId="18" xfId="56" applyNumberFormat="1" applyFont="1" applyBorder="1" applyAlignment="1">
      <alignment horizontal="center" vertical="top" wrapText="1"/>
      <protection/>
    </xf>
    <xf numFmtId="49" fontId="100" fillId="0" borderId="19" xfId="56" applyNumberFormat="1" applyFont="1" applyBorder="1" applyAlignment="1">
      <alignment horizontal="center" vertical="top" wrapText="1"/>
      <protection/>
    </xf>
    <xf numFmtId="49" fontId="100" fillId="0" borderId="18" xfId="56" applyNumberFormat="1" applyFont="1" applyBorder="1" applyAlignment="1">
      <alignment horizontal="center" vertical="top" wrapText="1"/>
      <protection/>
    </xf>
    <xf numFmtId="49" fontId="99" fillId="0" borderId="20" xfId="56" applyNumberFormat="1" applyFont="1" applyBorder="1" applyAlignment="1">
      <alignment horizontal="center" vertical="top" wrapText="1"/>
      <protection/>
    </xf>
    <xf numFmtId="49" fontId="9" fillId="0" borderId="0" xfId="72" applyNumberFormat="1" applyFont="1" applyFill="1" applyAlignment="1">
      <alignment horizontal="center" vertical="center"/>
      <protection/>
    </xf>
    <xf numFmtId="49" fontId="8" fillId="0" borderId="0" xfId="72" applyNumberFormat="1" applyFont="1" applyFill="1" applyAlignment="1">
      <alignment horizontal="center" vertical="center" wrapText="1"/>
      <protection/>
    </xf>
    <xf numFmtId="0" fontId="9" fillId="0" borderId="0" xfId="72" applyFont="1" applyFill="1" applyAlignment="1">
      <alignment vertical="center"/>
      <protection/>
    </xf>
    <xf numFmtId="0" fontId="8" fillId="0" borderId="0" xfId="72" applyFont="1" applyFill="1" applyAlignment="1">
      <alignment vertical="center"/>
      <protection/>
    </xf>
    <xf numFmtId="0" fontId="8" fillId="0" borderId="0" xfId="72" applyFont="1" applyAlignment="1">
      <alignment vertical="center"/>
      <protection/>
    </xf>
    <xf numFmtId="3" fontId="4" fillId="0" borderId="0" xfId="0" applyNumberFormat="1" applyFont="1" applyAlignment="1">
      <alignment/>
    </xf>
    <xf numFmtId="0" fontId="8" fillId="0" borderId="0" xfId="72" applyNumberFormat="1" applyFont="1" applyFill="1" applyAlignment="1">
      <alignment vertical="center"/>
      <protection/>
    </xf>
    <xf numFmtId="0" fontId="8" fillId="0" borderId="0" xfId="72" applyFont="1" applyFill="1" applyBorder="1" applyAlignment="1">
      <alignment horizontal="center" vertical="center"/>
      <protection/>
    </xf>
    <xf numFmtId="2" fontId="8" fillId="0" borderId="0" xfId="72" applyNumberFormat="1" applyFont="1" applyFill="1" applyBorder="1" applyAlignment="1">
      <alignment horizontal="center" vertical="center"/>
      <protection/>
    </xf>
    <xf numFmtId="2" fontId="9" fillId="0" borderId="0" xfId="72" applyNumberFormat="1" applyFont="1" applyFill="1" applyAlignment="1">
      <alignment horizontal="center" vertical="center" wrapText="1"/>
      <protection/>
    </xf>
    <xf numFmtId="49" fontId="9" fillId="0" borderId="18" xfId="72" applyNumberFormat="1" applyFont="1" applyFill="1" applyBorder="1" applyAlignment="1">
      <alignment horizontal="center" vertical="center" wrapText="1"/>
      <protection/>
    </xf>
    <xf numFmtId="49" fontId="9" fillId="0" borderId="20" xfId="72" applyNumberFormat="1" applyFont="1" applyFill="1" applyBorder="1" applyAlignment="1">
      <alignment horizontal="center" vertical="center" wrapText="1"/>
      <protection/>
    </xf>
    <xf numFmtId="2" fontId="8" fillId="0" borderId="14" xfId="72" applyNumberFormat="1" applyFont="1" applyFill="1" applyBorder="1" applyAlignment="1">
      <alignment horizontal="center" vertical="center" wrapText="1"/>
      <protection/>
    </xf>
    <xf numFmtId="2" fontId="8" fillId="0" borderId="16" xfId="72" applyNumberFormat="1" applyFont="1" applyFill="1" applyBorder="1" applyAlignment="1">
      <alignment horizontal="center" vertical="center" wrapText="1"/>
      <protection/>
    </xf>
    <xf numFmtId="49" fontId="10" fillId="0" borderId="19" xfId="72" applyNumberFormat="1" applyFont="1" applyFill="1" applyBorder="1" applyAlignment="1">
      <alignment horizontal="center" vertical="center" wrapText="1"/>
      <protection/>
    </xf>
    <xf numFmtId="49" fontId="25" fillId="0" borderId="14" xfId="72" applyNumberFormat="1" applyFont="1" applyFill="1" applyBorder="1" applyAlignment="1">
      <alignment horizontal="center" vertical="center" wrapText="1"/>
      <protection/>
    </xf>
    <xf numFmtId="49" fontId="25" fillId="0" borderId="19" xfId="72" applyNumberFormat="1" applyFont="1" applyFill="1" applyBorder="1" applyAlignment="1">
      <alignment horizontal="center" vertical="center" wrapText="1"/>
      <protection/>
    </xf>
    <xf numFmtId="49" fontId="25" fillId="0" borderId="16" xfId="72" applyNumberFormat="1" applyFont="1" applyFill="1" applyBorder="1" applyAlignment="1">
      <alignment horizontal="center" vertical="center" wrapText="1"/>
      <protection/>
    </xf>
    <xf numFmtId="49" fontId="25" fillId="0" borderId="0" xfId="72" applyNumberFormat="1" applyFont="1" applyFill="1" applyAlignment="1">
      <alignment horizontal="center" vertical="center" wrapText="1"/>
      <protection/>
    </xf>
    <xf numFmtId="49" fontId="26" fillId="0" borderId="11" xfId="72" applyNumberFormat="1" applyFont="1" applyFill="1" applyBorder="1" applyAlignment="1">
      <alignment horizontal="center" vertical="center" wrapText="1"/>
      <protection/>
    </xf>
    <xf numFmtId="49" fontId="27" fillId="0" borderId="11" xfId="72" applyNumberFormat="1" applyFont="1" applyFill="1" applyBorder="1" applyAlignment="1">
      <alignment horizontal="center" vertical="center" wrapText="1"/>
      <protection/>
    </xf>
    <xf numFmtId="49" fontId="25" fillId="0" borderId="11" xfId="72" applyNumberFormat="1" applyFont="1" applyFill="1" applyBorder="1" applyAlignment="1">
      <alignment horizontal="center" vertical="center" wrapText="1"/>
      <protection/>
    </xf>
    <xf numFmtId="49" fontId="25" fillId="0" borderId="10" xfId="72" applyNumberFormat="1" applyFont="1" applyFill="1" applyBorder="1" applyAlignment="1">
      <alignment horizontal="center" vertical="center" wrapText="1"/>
      <protection/>
    </xf>
    <xf numFmtId="49" fontId="25" fillId="0" borderId="0" xfId="72" applyNumberFormat="1" applyFont="1" applyAlignment="1">
      <alignment horizontal="center" vertical="center" wrapText="1"/>
      <protection/>
    </xf>
    <xf numFmtId="3" fontId="11" fillId="35" borderId="14" xfId="72" applyNumberFormat="1" applyFont="1" applyFill="1" applyBorder="1" applyAlignment="1">
      <alignment horizontal="center" vertical="center" wrapText="1"/>
      <protection/>
    </xf>
    <xf numFmtId="4" fontId="9" fillId="35" borderId="21" xfId="72" applyNumberFormat="1" applyFont="1" applyFill="1" applyBorder="1" applyAlignment="1">
      <alignment horizontal="right" vertical="center" wrapText="1"/>
      <protection/>
    </xf>
    <xf numFmtId="4" fontId="9" fillId="35" borderId="14" xfId="72" applyNumberFormat="1" applyFont="1" applyFill="1" applyBorder="1" applyAlignment="1">
      <alignment horizontal="right" vertical="center" wrapText="1"/>
      <protection/>
    </xf>
    <xf numFmtId="4" fontId="9" fillId="35" borderId="19" xfId="72" applyNumberFormat="1" applyFont="1" applyFill="1" applyBorder="1" applyAlignment="1">
      <alignment horizontal="right" vertical="center" wrapText="1"/>
      <protection/>
    </xf>
    <xf numFmtId="3" fontId="8" fillId="0" borderId="0" xfId="72" applyNumberFormat="1" applyFont="1" applyAlignment="1">
      <alignment vertical="center" wrapText="1"/>
      <protection/>
    </xf>
    <xf numFmtId="4" fontId="8" fillId="0" borderId="0" xfId="72" applyNumberFormat="1" applyFont="1" applyAlignment="1">
      <alignment vertical="center" wrapText="1"/>
      <protection/>
    </xf>
    <xf numFmtId="3" fontId="28" fillId="0" borderId="0" xfId="72" applyNumberFormat="1" applyFont="1" applyBorder="1" applyAlignment="1">
      <alignment horizontal="center" vertical="center" wrapText="1"/>
      <protection/>
    </xf>
    <xf numFmtId="4" fontId="9" fillId="0" borderId="0" xfId="72" applyNumberFormat="1" applyFont="1" applyFill="1" applyBorder="1" applyAlignment="1">
      <alignment vertical="center" wrapText="1"/>
      <protection/>
    </xf>
    <xf numFmtId="4" fontId="28" fillId="0" borderId="0" xfId="72" applyNumberFormat="1" applyFont="1" applyBorder="1" applyAlignment="1">
      <alignment vertical="center" wrapText="1"/>
      <protection/>
    </xf>
    <xf numFmtId="4" fontId="9" fillId="0" borderId="0" xfId="72" applyNumberFormat="1" applyFont="1" applyBorder="1" applyAlignment="1">
      <alignment horizontal="right" vertical="center" wrapText="1"/>
      <protection/>
    </xf>
    <xf numFmtId="4" fontId="9" fillId="0" borderId="17" xfId="72" applyNumberFormat="1" applyFont="1" applyBorder="1" applyAlignment="1">
      <alignment horizontal="right" vertical="center" wrapText="1"/>
      <protection/>
    </xf>
    <xf numFmtId="4" fontId="9" fillId="0" borderId="22" xfId="72" applyNumberFormat="1" applyFont="1" applyBorder="1" applyAlignment="1">
      <alignment horizontal="right" vertical="center" wrapText="1"/>
      <protection/>
    </xf>
    <xf numFmtId="3" fontId="8" fillId="0" borderId="0" xfId="72" applyNumberFormat="1" applyFont="1" applyAlignment="1">
      <alignment horizontal="center" vertical="center" wrapText="1"/>
      <protection/>
    </xf>
    <xf numFmtId="4" fontId="8" fillId="0" borderId="0" xfId="72" applyNumberFormat="1" applyFont="1" applyAlignment="1">
      <alignment horizontal="center" vertical="center" wrapText="1"/>
      <protection/>
    </xf>
    <xf numFmtId="3" fontId="8" fillId="0" borderId="14" xfId="72" applyNumberFormat="1" applyFont="1" applyFill="1" applyBorder="1" applyAlignment="1">
      <alignment horizontal="center" vertical="center" wrapText="1"/>
      <protection/>
    </xf>
    <xf numFmtId="4" fontId="9" fillId="0" borderId="14" xfId="72" applyNumberFormat="1" applyFont="1" applyFill="1" applyBorder="1" applyAlignment="1">
      <alignment horizontal="right" vertical="center" wrapText="1"/>
      <protection/>
    </xf>
    <xf numFmtId="4" fontId="8" fillId="0" borderId="14" xfId="72" applyNumberFormat="1" applyFont="1" applyFill="1" applyBorder="1" applyAlignment="1">
      <alignment horizontal="right" vertical="center" wrapText="1"/>
      <protection/>
    </xf>
    <xf numFmtId="4" fontId="8" fillId="0" borderId="19" xfId="72" applyNumberFormat="1" applyFont="1" applyFill="1" applyBorder="1" applyAlignment="1">
      <alignment horizontal="right" vertical="center" wrapText="1"/>
      <protection/>
    </xf>
    <xf numFmtId="4" fontId="8" fillId="0" borderId="15" xfId="72" applyNumberFormat="1" applyFont="1" applyFill="1" applyBorder="1" applyAlignment="1">
      <alignment horizontal="right" vertical="center" wrapText="1"/>
      <protection/>
    </xf>
    <xf numFmtId="4" fontId="8" fillId="0" borderId="16" xfId="72" applyNumberFormat="1" applyFont="1" applyFill="1" applyBorder="1" applyAlignment="1">
      <alignment horizontal="right" vertical="center" wrapText="1"/>
      <protection/>
    </xf>
    <xf numFmtId="3" fontId="8" fillId="0" borderId="0" xfId="72" applyNumberFormat="1" applyFont="1" applyFill="1" applyAlignment="1">
      <alignment vertical="center" wrapText="1"/>
      <protection/>
    </xf>
    <xf numFmtId="4" fontId="8" fillId="0" borderId="0" xfId="72" applyNumberFormat="1" applyFont="1" applyFill="1" applyAlignment="1">
      <alignment vertical="center" wrapText="1"/>
      <protection/>
    </xf>
    <xf numFmtId="4" fontId="8" fillId="0" borderId="12" xfId="72" applyNumberFormat="1" applyFont="1" applyFill="1" applyBorder="1" applyAlignment="1">
      <alignment horizontal="right" vertical="center" wrapText="1"/>
      <protection/>
    </xf>
    <xf numFmtId="4" fontId="8" fillId="0" borderId="13" xfId="72" applyNumberFormat="1" applyFont="1" applyFill="1" applyBorder="1" applyAlignment="1">
      <alignment horizontal="right" vertical="center" wrapText="1"/>
      <protection/>
    </xf>
    <xf numFmtId="4" fontId="8" fillId="0" borderId="23" xfId="72" applyNumberFormat="1" applyFont="1" applyFill="1" applyBorder="1" applyAlignment="1">
      <alignment horizontal="right" vertical="center" wrapText="1"/>
      <protection/>
    </xf>
    <xf numFmtId="4" fontId="8" fillId="0" borderId="20" xfId="72" applyNumberFormat="1" applyFont="1" applyFill="1" applyBorder="1" applyAlignment="1">
      <alignment horizontal="right" vertical="center" wrapText="1"/>
      <protection/>
    </xf>
    <xf numFmtId="3" fontId="8" fillId="0" borderId="15" xfId="72" applyNumberFormat="1" applyFont="1" applyFill="1" applyBorder="1" applyAlignment="1">
      <alignment horizontal="left" vertical="center" wrapText="1"/>
      <protection/>
    </xf>
    <xf numFmtId="3" fontId="8" fillId="0" borderId="11" xfId="72" applyNumberFormat="1" applyFont="1" applyFill="1" applyBorder="1" applyAlignment="1">
      <alignment horizontal="left" vertical="center" wrapText="1"/>
      <protection/>
    </xf>
    <xf numFmtId="4" fontId="9" fillId="0" borderId="15" xfId="72" applyNumberFormat="1" applyFont="1" applyFill="1" applyBorder="1" applyAlignment="1">
      <alignment horizontal="right" vertical="center" wrapText="1"/>
      <protection/>
    </xf>
    <xf numFmtId="4" fontId="8" fillId="0" borderId="14" xfId="72" applyNumberFormat="1" applyFont="1" applyFill="1" applyBorder="1" applyAlignment="1">
      <alignment vertical="center"/>
      <protection/>
    </xf>
    <xf numFmtId="4" fontId="8" fillId="0" borderId="15" xfId="72" applyNumberFormat="1" applyFont="1" applyFill="1" applyBorder="1" applyAlignment="1">
      <alignment vertical="center"/>
      <protection/>
    </xf>
    <xf numFmtId="4" fontId="8" fillId="0" borderId="16" xfId="72" applyNumberFormat="1" applyFont="1" applyFill="1" applyBorder="1" applyAlignment="1">
      <alignment vertical="center"/>
      <protection/>
    </xf>
    <xf numFmtId="0" fontId="9" fillId="0" borderId="0" xfId="72" applyFont="1" applyFill="1" applyAlignment="1">
      <alignment vertical="center"/>
      <protection/>
    </xf>
    <xf numFmtId="4" fontId="9" fillId="0" borderId="0" xfId="72" applyNumberFormat="1" applyFont="1" applyFill="1" applyAlignment="1">
      <alignment vertical="center"/>
      <protection/>
    </xf>
    <xf numFmtId="49" fontId="8" fillId="0" borderId="15" xfId="72" applyNumberFormat="1" applyFont="1" applyFill="1" applyBorder="1" applyAlignment="1">
      <alignment horizontal="left" vertical="center" wrapText="1"/>
      <protection/>
    </xf>
    <xf numFmtId="49" fontId="8" fillId="0" borderId="15" xfId="72" applyNumberFormat="1" applyFont="1" applyFill="1" applyBorder="1" applyAlignment="1">
      <alignment vertical="center"/>
      <protection/>
    </xf>
    <xf numFmtId="4" fontId="9" fillId="0" borderId="0" xfId="72" applyNumberFormat="1" applyFont="1" applyFill="1" applyAlignment="1">
      <alignment vertical="center"/>
      <protection/>
    </xf>
    <xf numFmtId="49" fontId="8" fillId="0" borderId="11" xfId="72" applyNumberFormat="1" applyFont="1" applyFill="1" applyBorder="1" applyAlignment="1">
      <alignment horizontal="center" vertical="center"/>
      <protection/>
    </xf>
    <xf numFmtId="49" fontId="8" fillId="0" borderId="15" xfId="72" applyNumberFormat="1" applyFont="1" applyFill="1" applyBorder="1" applyAlignment="1">
      <alignment horizontal="center" vertical="center"/>
      <protection/>
    </xf>
    <xf numFmtId="4" fontId="8" fillId="0" borderId="15" xfId="72" applyNumberFormat="1" applyFont="1" applyFill="1" applyBorder="1" applyAlignment="1">
      <alignment horizontal="center" vertical="center"/>
      <protection/>
    </xf>
    <xf numFmtId="4" fontId="8" fillId="0" borderId="19" xfId="72" applyNumberFormat="1" applyFont="1" applyFill="1" applyBorder="1" applyAlignment="1">
      <alignment vertical="center"/>
      <protection/>
    </xf>
    <xf numFmtId="49" fontId="8" fillId="0" borderId="11" xfId="72" applyNumberFormat="1" applyFont="1" applyFill="1" applyBorder="1" applyAlignment="1">
      <alignment horizontal="left" vertical="center" wrapText="1"/>
      <protection/>
    </xf>
    <xf numFmtId="3" fontId="11" fillId="35" borderId="16" xfId="72" applyNumberFormat="1" applyFont="1" applyFill="1" applyBorder="1" applyAlignment="1">
      <alignment horizontal="center" vertical="center" wrapText="1"/>
      <protection/>
    </xf>
    <xf numFmtId="4" fontId="9" fillId="35" borderId="10" xfId="72" applyNumberFormat="1" applyFont="1" applyFill="1" applyBorder="1" applyAlignment="1">
      <alignment horizontal="right" vertical="center" wrapText="1"/>
      <protection/>
    </xf>
    <xf numFmtId="4" fontId="9" fillId="0" borderId="13" xfId="72" applyNumberFormat="1" applyFont="1" applyFill="1" applyBorder="1" applyAlignment="1">
      <alignment vertical="center" wrapText="1"/>
      <protection/>
    </xf>
    <xf numFmtId="4" fontId="9" fillId="0" borderId="13" xfId="72" applyNumberFormat="1" applyFont="1" applyBorder="1" applyAlignment="1">
      <alignment horizontal="right" vertical="center" wrapText="1"/>
      <protection/>
    </xf>
    <xf numFmtId="4" fontId="8" fillId="0" borderId="0" xfId="72" applyNumberFormat="1" applyFont="1" applyFill="1" applyBorder="1" applyAlignment="1">
      <alignment vertical="center"/>
      <protection/>
    </xf>
    <xf numFmtId="4" fontId="8" fillId="0" borderId="10" xfId="72" applyNumberFormat="1" applyFont="1" applyFill="1" applyBorder="1" applyAlignment="1">
      <alignment vertical="center"/>
      <protection/>
    </xf>
    <xf numFmtId="4" fontId="8" fillId="0" borderId="24" xfId="72" applyNumberFormat="1" applyFont="1" applyFill="1" applyBorder="1" applyAlignment="1">
      <alignment vertical="center"/>
      <protection/>
    </xf>
    <xf numFmtId="4" fontId="8" fillId="0" borderId="11" xfId="72" applyNumberFormat="1" applyFont="1" applyFill="1" applyBorder="1" applyAlignment="1">
      <alignment vertical="center"/>
      <protection/>
    </xf>
    <xf numFmtId="4" fontId="8" fillId="0" borderId="21" xfId="72" applyNumberFormat="1" applyFont="1" applyFill="1" applyBorder="1" applyAlignment="1">
      <alignment vertical="center"/>
      <protection/>
    </xf>
    <xf numFmtId="4" fontId="9" fillId="0" borderId="11" xfId="72" applyNumberFormat="1" applyFont="1" applyFill="1" applyBorder="1" applyAlignment="1">
      <alignment horizontal="right" vertical="center" wrapText="1"/>
      <protection/>
    </xf>
    <xf numFmtId="49" fontId="29" fillId="35" borderId="14" xfId="72" applyNumberFormat="1" applyFont="1" applyFill="1" applyBorder="1" applyAlignment="1">
      <alignment horizontal="center" vertical="center"/>
      <protection/>
    </xf>
    <xf numFmtId="4" fontId="11" fillId="35" borderId="14" xfId="72" applyNumberFormat="1" applyFont="1" applyFill="1" applyBorder="1" applyAlignment="1">
      <alignment vertical="center"/>
      <protection/>
    </xf>
    <xf numFmtId="4" fontId="11" fillId="35" borderId="19" xfId="72" applyNumberFormat="1" applyFont="1" applyFill="1" applyBorder="1" applyAlignment="1">
      <alignment vertical="center"/>
      <protection/>
    </xf>
    <xf numFmtId="0" fontId="29" fillId="36" borderId="0" xfId="72" applyFont="1" applyFill="1" applyAlignment="1">
      <alignment vertical="center"/>
      <protection/>
    </xf>
    <xf numFmtId="4" fontId="29" fillId="36" borderId="0" xfId="72" applyNumberFormat="1" applyFont="1" applyFill="1" applyAlignment="1">
      <alignment vertical="center"/>
      <protection/>
    </xf>
    <xf numFmtId="49" fontId="29" fillId="0" borderId="0" xfId="72" applyNumberFormat="1" applyFont="1" applyFill="1" applyBorder="1" applyAlignment="1">
      <alignment horizontal="center" vertical="center"/>
      <protection/>
    </xf>
    <xf numFmtId="3" fontId="11" fillId="0" borderId="0" xfId="72" applyNumberFormat="1" applyFont="1" applyFill="1" applyBorder="1" applyAlignment="1">
      <alignment vertical="center"/>
      <protection/>
    </xf>
    <xf numFmtId="49" fontId="8" fillId="0" borderId="0" xfId="72" applyNumberFormat="1" applyFont="1" applyFill="1" applyBorder="1" applyAlignment="1">
      <alignment horizontal="right" vertical="center"/>
      <protection/>
    </xf>
    <xf numFmtId="49" fontId="8" fillId="0" borderId="0" xfId="72" applyNumberFormat="1" applyFont="1" applyFill="1" applyBorder="1" applyAlignment="1">
      <alignment horizontal="left" vertical="center"/>
      <protection/>
    </xf>
    <xf numFmtId="49" fontId="8" fillId="0" borderId="0" xfId="72" applyNumberFormat="1" applyFont="1" applyFill="1" applyBorder="1" applyAlignment="1">
      <alignment horizontal="center" vertical="center"/>
      <protection/>
    </xf>
    <xf numFmtId="3" fontId="8" fillId="0" borderId="0" xfId="72" applyNumberFormat="1" applyFont="1" applyFill="1" applyBorder="1" applyAlignment="1">
      <alignment vertical="center"/>
      <protection/>
    </xf>
    <xf numFmtId="0" fontId="8" fillId="0" borderId="0" xfId="72" applyFont="1" applyFill="1" applyAlignment="1">
      <alignment vertical="center"/>
      <protection/>
    </xf>
    <xf numFmtId="4" fontId="9" fillId="37" borderId="0" xfId="72" applyNumberFormat="1" applyFont="1" applyFill="1" applyAlignment="1">
      <alignment vertical="center"/>
      <protection/>
    </xf>
    <xf numFmtId="4" fontId="8" fillId="0" borderId="0" xfId="72" applyNumberFormat="1" applyFont="1" applyAlignment="1">
      <alignment vertical="center"/>
      <protection/>
    </xf>
    <xf numFmtId="49" fontId="9" fillId="0" borderId="0" xfId="72" applyNumberFormat="1" applyFont="1" applyAlignment="1">
      <alignment horizontal="center" vertical="center"/>
      <protection/>
    </xf>
    <xf numFmtId="49" fontId="8" fillId="0" borderId="0" xfId="72" applyNumberFormat="1" applyFont="1" applyAlignment="1">
      <alignment horizontal="center" vertical="center" wrapText="1"/>
      <protection/>
    </xf>
    <xf numFmtId="0" fontId="9" fillId="37" borderId="0" xfId="72" applyFont="1" applyFill="1" applyAlignment="1">
      <alignment vertical="center"/>
      <protection/>
    </xf>
    <xf numFmtId="49" fontId="9" fillId="0" borderId="24" xfId="72" applyNumberFormat="1" applyFont="1" applyFill="1" applyBorder="1" applyAlignment="1">
      <alignment horizontal="center" vertical="center" wrapText="1"/>
      <protection/>
    </xf>
    <xf numFmtId="49" fontId="25" fillId="0" borderId="24" xfId="72" applyNumberFormat="1" applyFont="1" applyFill="1" applyBorder="1" applyAlignment="1">
      <alignment horizontal="center" vertical="center" wrapText="1"/>
      <protection/>
    </xf>
    <xf numFmtId="49" fontId="9" fillId="0" borderId="18" xfId="72" applyNumberFormat="1" applyFont="1" applyBorder="1" applyAlignment="1">
      <alignment horizontal="center" vertical="center" wrapText="1"/>
      <protection/>
    </xf>
    <xf numFmtId="49" fontId="8" fillId="0" borderId="19" xfId="72" applyNumberFormat="1" applyFont="1" applyFill="1" applyBorder="1" applyAlignment="1">
      <alignment horizontal="center" vertical="center" wrapText="1"/>
      <protection/>
    </xf>
    <xf numFmtId="49" fontId="8" fillId="0" borderId="24" xfId="72" applyNumberFormat="1" applyFont="1" applyFill="1" applyBorder="1" applyAlignment="1">
      <alignment horizontal="center" vertical="center" wrapText="1"/>
      <protection/>
    </xf>
    <xf numFmtId="49" fontId="8" fillId="0" borderId="19" xfId="72" applyNumberFormat="1" applyFont="1" applyFill="1" applyBorder="1" applyAlignment="1">
      <alignment horizontal="center" vertical="center"/>
      <protection/>
    </xf>
    <xf numFmtId="49" fontId="8" fillId="0" borderId="19" xfId="72" applyNumberFormat="1" applyFont="1" applyFill="1" applyBorder="1" applyAlignment="1">
      <alignment vertical="center"/>
      <protection/>
    </xf>
    <xf numFmtId="4" fontId="9" fillId="0" borderId="17" xfId="72" applyNumberFormat="1" applyFont="1" applyFill="1" applyBorder="1" applyAlignment="1">
      <alignment vertical="center"/>
      <protection/>
    </xf>
    <xf numFmtId="49" fontId="8" fillId="0" borderId="24" xfId="72" applyNumberFormat="1" applyFont="1" applyFill="1" applyBorder="1" applyAlignment="1">
      <alignment horizontal="center" vertical="center"/>
      <protection/>
    </xf>
    <xf numFmtId="4" fontId="8" fillId="0" borderId="14" xfId="72" applyNumberFormat="1" applyFont="1" applyFill="1" applyBorder="1" applyAlignment="1">
      <alignment horizontal="center" vertical="center"/>
      <protection/>
    </xf>
    <xf numFmtId="4" fontId="8" fillId="0" borderId="17" xfId="72" applyNumberFormat="1" applyFont="1" applyFill="1" applyBorder="1" applyAlignment="1">
      <alignment vertical="center"/>
      <protection/>
    </xf>
    <xf numFmtId="49" fontId="9" fillId="0" borderId="19" xfId="72" applyNumberFormat="1" applyFont="1" applyBorder="1" applyAlignment="1">
      <alignment horizontal="center" vertical="center" wrapText="1"/>
      <protection/>
    </xf>
    <xf numFmtId="3" fontId="28" fillId="0" borderId="15" xfId="72" applyNumberFormat="1" applyFont="1" applyBorder="1" applyAlignment="1">
      <alignment horizontal="center" vertical="center" wrapText="1"/>
      <protection/>
    </xf>
    <xf numFmtId="4" fontId="9" fillId="0" borderId="15" xfId="72" applyNumberFormat="1" applyFont="1" applyFill="1" applyBorder="1" applyAlignment="1">
      <alignment vertical="center" wrapText="1"/>
      <protection/>
    </xf>
    <xf numFmtId="4" fontId="28" fillId="0" borderId="15" xfId="72" applyNumberFormat="1" applyFont="1" applyBorder="1" applyAlignment="1">
      <alignment vertical="center" wrapText="1"/>
      <protection/>
    </xf>
    <xf numFmtId="4" fontId="9" fillId="0" borderId="15" xfId="72" applyNumberFormat="1" applyFont="1" applyBorder="1" applyAlignment="1">
      <alignment horizontal="right" vertical="center" wrapText="1"/>
      <protection/>
    </xf>
    <xf numFmtId="4" fontId="9" fillId="0" borderId="14" xfId="72" applyNumberFormat="1" applyFont="1" applyBorder="1" applyAlignment="1">
      <alignment horizontal="right" vertical="center" wrapText="1"/>
      <protection/>
    </xf>
    <xf numFmtId="4" fontId="9" fillId="0" borderId="16" xfId="72" applyNumberFormat="1" applyFont="1" applyBorder="1" applyAlignment="1">
      <alignment horizontal="right" vertical="center" wrapText="1"/>
      <protection/>
    </xf>
    <xf numFmtId="49" fontId="12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 wrapText="1"/>
    </xf>
    <xf numFmtId="49" fontId="12" fillId="0" borderId="14" xfId="0" applyNumberFormat="1" applyFont="1" applyBorder="1" applyAlignment="1">
      <alignment horizontal="center" vertical="top" wrapText="1"/>
    </xf>
    <xf numFmtId="3" fontId="12" fillId="0" borderId="1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3" fontId="13" fillId="0" borderId="14" xfId="0" applyNumberFormat="1" applyFont="1" applyBorder="1" applyAlignment="1">
      <alignment horizontal="center" wrapText="1"/>
    </xf>
    <xf numFmtId="4" fontId="4" fillId="0" borderId="0" xfId="0" applyNumberFormat="1" applyFont="1" applyAlignment="1">
      <alignment wrapText="1"/>
    </xf>
    <xf numFmtId="49" fontId="12" fillId="0" borderId="16" xfId="0" applyNumberFormat="1" applyFont="1" applyBorder="1" applyAlignment="1">
      <alignment horizontal="center" vertical="top" wrapText="1"/>
    </xf>
    <xf numFmtId="2" fontId="12" fillId="0" borderId="14" xfId="0" applyNumberFormat="1" applyFont="1" applyBorder="1" applyAlignment="1">
      <alignment vertical="top" wrapText="1"/>
    </xf>
    <xf numFmtId="4" fontId="12" fillId="0" borderId="19" xfId="0" applyNumberFormat="1" applyFont="1" applyBorder="1" applyAlignment="1">
      <alignment vertical="top" wrapText="1"/>
    </xf>
    <xf numFmtId="4" fontId="12" fillId="0" borderId="14" xfId="0" applyNumberFormat="1" applyFont="1" applyBorder="1" applyAlignment="1">
      <alignment horizontal="right" vertical="top" wrapText="1"/>
    </xf>
    <xf numFmtId="4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49" fontId="100" fillId="0" borderId="14" xfId="0" applyNumberFormat="1" applyFont="1" applyBorder="1" applyAlignment="1">
      <alignment horizontal="center" vertical="top"/>
    </xf>
    <xf numFmtId="0" fontId="100" fillId="0" borderId="14" xfId="0" applyFont="1" applyBorder="1" applyAlignment="1">
      <alignment vertical="top" wrapText="1"/>
    </xf>
    <xf numFmtId="4" fontId="100" fillId="0" borderId="14" xfId="0" applyNumberFormat="1" applyFont="1" applyBorder="1" applyAlignment="1">
      <alignment vertical="top"/>
    </xf>
    <xf numFmtId="49" fontId="100" fillId="0" borderId="17" xfId="0" applyNumberFormat="1" applyFont="1" applyBorder="1" applyAlignment="1">
      <alignment horizontal="center" vertical="top"/>
    </xf>
    <xf numFmtId="0" fontId="100" fillId="0" borderId="17" xfId="0" applyFont="1" applyBorder="1" applyAlignment="1">
      <alignment vertical="top" wrapText="1"/>
    </xf>
    <xf numFmtId="4" fontId="100" fillId="0" borderId="17" xfId="0" applyNumberFormat="1" applyFont="1" applyBorder="1" applyAlignment="1">
      <alignment vertical="top"/>
    </xf>
    <xf numFmtId="49" fontId="99" fillId="0" borderId="17" xfId="0" applyNumberFormat="1" applyFont="1" applyBorder="1" applyAlignment="1">
      <alignment horizontal="center" vertical="top"/>
    </xf>
    <xf numFmtId="0" fontId="99" fillId="0" borderId="17" xfId="0" applyFont="1" applyBorder="1" applyAlignment="1">
      <alignment vertical="top" wrapText="1"/>
    </xf>
    <xf numFmtId="4" fontId="99" fillId="0" borderId="17" xfId="0" applyNumberFormat="1" applyFont="1" applyBorder="1" applyAlignment="1">
      <alignment vertical="top"/>
    </xf>
    <xf numFmtId="49" fontId="99" fillId="0" borderId="12" xfId="0" applyNumberFormat="1" applyFont="1" applyBorder="1" applyAlignment="1">
      <alignment horizontal="center" vertical="top"/>
    </xf>
    <xf numFmtId="0" fontId="99" fillId="0" borderId="12" xfId="0" applyFont="1" applyBorder="1" applyAlignment="1">
      <alignment vertical="top" wrapText="1"/>
    </xf>
    <xf numFmtId="4" fontId="99" fillId="0" borderId="12" xfId="0" applyNumberFormat="1" applyFont="1" applyBorder="1" applyAlignment="1">
      <alignment vertical="top"/>
    </xf>
    <xf numFmtId="49" fontId="100" fillId="0" borderId="10" xfId="0" applyNumberFormat="1" applyFont="1" applyBorder="1" applyAlignment="1">
      <alignment horizontal="center" vertical="top"/>
    </xf>
    <xf numFmtId="0" fontId="100" fillId="0" borderId="10" xfId="0" applyFont="1" applyBorder="1" applyAlignment="1">
      <alignment vertical="top" wrapText="1"/>
    </xf>
    <xf numFmtId="4" fontId="100" fillId="0" borderId="10" xfId="0" applyNumberFormat="1" applyFont="1" applyBorder="1" applyAlignment="1">
      <alignment vertical="top"/>
    </xf>
    <xf numFmtId="49" fontId="99" fillId="0" borderId="10" xfId="0" applyNumberFormat="1" applyFont="1" applyBorder="1" applyAlignment="1">
      <alignment horizontal="center" vertical="top"/>
    </xf>
    <xf numFmtId="0" fontId="99" fillId="0" borderId="10" xfId="0" applyFont="1" applyBorder="1" applyAlignment="1">
      <alignment vertical="top" wrapText="1"/>
    </xf>
    <xf numFmtId="4" fontId="99" fillId="0" borderId="10" xfId="0" applyNumberFormat="1" applyFont="1" applyBorder="1" applyAlignment="1">
      <alignment vertical="top"/>
    </xf>
    <xf numFmtId="0" fontId="101" fillId="0" borderId="14" xfId="0" applyFont="1" applyBorder="1" applyAlignment="1">
      <alignment vertical="top" wrapText="1"/>
    </xf>
    <xf numFmtId="49" fontId="99" fillId="0" borderId="0" xfId="0" applyNumberFormat="1" applyFont="1" applyAlignment="1">
      <alignment horizontal="center" vertical="top"/>
    </xf>
    <xf numFmtId="0" fontId="99" fillId="0" borderId="0" xfId="0" applyFont="1" applyAlignment="1">
      <alignment vertical="top"/>
    </xf>
    <xf numFmtId="4" fontId="99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 wrapText="1"/>
    </xf>
    <xf numFmtId="49" fontId="99" fillId="0" borderId="10" xfId="56" applyNumberFormat="1" applyFont="1" applyBorder="1" applyAlignment="1">
      <alignment horizontal="center" vertical="top" wrapText="1"/>
      <protection/>
    </xf>
    <xf numFmtId="49" fontId="99" fillId="0" borderId="11" xfId="56" applyNumberFormat="1" applyFont="1" applyBorder="1" applyAlignment="1">
      <alignment horizontal="center" vertical="top" wrapText="1"/>
      <protection/>
    </xf>
    <xf numFmtId="4" fontId="99" fillId="0" borderId="10" xfId="56" applyNumberFormat="1" applyFont="1" applyBorder="1" applyAlignment="1">
      <alignment vertical="top" wrapText="1"/>
      <protection/>
    </xf>
    <xf numFmtId="4" fontId="99" fillId="0" borderId="11" xfId="56" applyNumberFormat="1" applyFont="1" applyBorder="1" applyAlignment="1">
      <alignment vertical="top" wrapText="1"/>
      <protection/>
    </xf>
    <xf numFmtId="49" fontId="99" fillId="0" borderId="24" xfId="56" applyNumberFormat="1" applyFont="1" applyBorder="1" applyAlignment="1">
      <alignment horizontal="center" vertical="top" wrapText="1"/>
      <protection/>
    </xf>
    <xf numFmtId="0" fontId="99" fillId="0" borderId="0" xfId="0" applyFont="1" applyBorder="1" applyAlignment="1">
      <alignment/>
    </xf>
    <xf numFmtId="0" fontId="16" fillId="0" borderId="0" xfId="77" applyFont="1" applyAlignment="1">
      <alignment wrapText="1"/>
      <protection/>
    </xf>
    <xf numFmtId="0" fontId="16" fillId="0" borderId="0" xfId="77" applyFont="1" applyAlignment="1">
      <alignment horizontal="left" wrapText="1"/>
      <protection/>
    </xf>
    <xf numFmtId="0" fontId="16" fillId="0" borderId="0" xfId="73" applyFont="1" applyAlignment="1">
      <alignment horizontal="left" vertical="center" wrapText="1"/>
      <protection/>
    </xf>
    <xf numFmtId="0" fontId="17" fillId="0" borderId="0" xfId="77" applyFont="1" applyAlignment="1">
      <alignment horizontal="center" wrapText="1"/>
      <protection/>
    </xf>
    <xf numFmtId="0" fontId="16" fillId="0" borderId="0" xfId="73" applyFont="1" applyAlignment="1">
      <alignment horizontal="left" vertical="center" wrapText="1"/>
      <protection/>
    </xf>
    <xf numFmtId="0" fontId="16" fillId="0" borderId="0" xfId="73" applyFont="1" applyAlignment="1">
      <alignment wrapText="1"/>
      <protection/>
    </xf>
    <xf numFmtId="0" fontId="16" fillId="0" borderId="0" xfId="73" applyFont="1" applyFill="1" applyAlignment="1">
      <alignment horizontal="center" vertical="center" wrapText="1"/>
      <protection/>
    </xf>
    <xf numFmtId="0" fontId="19" fillId="0" borderId="0" xfId="77" applyFont="1" applyAlignment="1">
      <alignment wrapText="1"/>
      <protection/>
    </xf>
    <xf numFmtId="0" fontId="19" fillId="0" borderId="0" xfId="77" applyFont="1" applyAlignment="1">
      <alignment horizontal="center" vertical="center" wrapText="1"/>
      <protection/>
    </xf>
    <xf numFmtId="0" fontId="20" fillId="0" borderId="14" xfId="77" applyFont="1" applyFill="1" applyBorder="1" applyAlignment="1">
      <alignment horizontal="center" vertical="center" wrapText="1"/>
      <protection/>
    </xf>
    <xf numFmtId="0" fontId="20" fillId="0" borderId="14" xfId="77" applyFont="1" applyBorder="1" applyAlignment="1">
      <alignment horizontal="center" vertical="center" wrapText="1"/>
      <protection/>
    </xf>
    <xf numFmtId="0" fontId="20" fillId="0" borderId="16" xfId="77" applyFont="1" applyBorder="1" applyAlignment="1">
      <alignment horizontal="center" vertical="center" wrapText="1"/>
      <protection/>
    </xf>
    <xf numFmtId="0" fontId="20" fillId="0" borderId="0" xfId="77" applyFont="1" applyAlignment="1">
      <alignment wrapText="1"/>
      <protection/>
    </xf>
    <xf numFmtId="0" fontId="20" fillId="0" borderId="12" xfId="77" applyFont="1" applyFill="1" applyBorder="1" applyAlignment="1">
      <alignment wrapText="1"/>
      <protection/>
    </xf>
    <xf numFmtId="0" fontId="20" fillId="0" borderId="14" xfId="77" applyFont="1" applyBorder="1" applyAlignment="1">
      <alignment wrapText="1"/>
      <protection/>
    </xf>
    <xf numFmtId="0" fontId="20" fillId="0" borderId="16" xfId="77" applyFont="1" applyBorder="1" applyAlignment="1">
      <alignment wrapText="1"/>
      <protection/>
    </xf>
    <xf numFmtId="0" fontId="30" fillId="0" borderId="14" xfId="77" applyFont="1" applyFill="1" applyBorder="1" applyAlignment="1">
      <alignment horizontal="center" vertical="center" wrapText="1"/>
      <protection/>
    </xf>
    <xf numFmtId="0" fontId="30" fillId="0" borderId="14" xfId="77" applyFont="1" applyFill="1" applyBorder="1" applyAlignment="1">
      <alignment vertical="center" wrapText="1"/>
      <protection/>
    </xf>
    <xf numFmtId="4" fontId="30" fillId="0" borderId="14" xfId="77" applyNumberFormat="1" applyFont="1" applyFill="1" applyBorder="1" applyAlignment="1">
      <alignment vertical="center" wrapText="1"/>
      <protection/>
    </xf>
    <xf numFmtId="4" fontId="30" fillId="0" borderId="16" xfId="77" applyNumberFormat="1" applyFont="1" applyFill="1" applyBorder="1" applyAlignment="1">
      <alignment vertical="center" wrapText="1"/>
      <protection/>
    </xf>
    <xf numFmtId="0" fontId="30" fillId="0" borderId="0" xfId="77" applyFont="1" applyAlignment="1">
      <alignment wrapText="1"/>
      <protection/>
    </xf>
    <xf numFmtId="0" fontId="31" fillId="0" borderId="14" xfId="77" applyFont="1" applyFill="1" applyBorder="1" applyAlignment="1">
      <alignment horizontal="center" vertical="center" wrapText="1"/>
      <protection/>
    </xf>
    <xf numFmtId="0" fontId="31" fillId="0" borderId="14" xfId="77" applyFont="1" applyFill="1" applyBorder="1" applyAlignment="1">
      <alignment vertical="center" wrapText="1"/>
      <protection/>
    </xf>
    <xf numFmtId="4" fontId="31" fillId="0" borderId="14" xfId="77" applyNumberFormat="1" applyFont="1" applyFill="1" applyBorder="1" applyAlignment="1">
      <alignment vertical="center" wrapText="1"/>
      <protection/>
    </xf>
    <xf numFmtId="4" fontId="31" fillId="0" borderId="16" xfId="77" applyNumberFormat="1" applyFont="1" applyFill="1" applyBorder="1" applyAlignment="1">
      <alignment vertical="center" wrapText="1"/>
      <protection/>
    </xf>
    <xf numFmtId="0" fontId="31" fillId="0" borderId="0" xfId="77" applyFont="1" applyAlignment="1">
      <alignment wrapText="1"/>
      <protection/>
    </xf>
    <xf numFmtId="0" fontId="16" fillId="0" borderId="14" xfId="77" applyFont="1" applyFill="1" applyBorder="1" applyAlignment="1">
      <alignment horizontal="center" vertical="center" wrapText="1"/>
      <protection/>
    </xf>
    <xf numFmtId="0" fontId="16" fillId="0" borderId="14" xfId="77" applyFont="1" applyFill="1" applyBorder="1" applyAlignment="1">
      <alignment vertical="center" wrapText="1"/>
      <protection/>
    </xf>
    <xf numFmtId="4" fontId="16" fillId="0" borderId="14" xfId="77" applyNumberFormat="1" applyFont="1" applyFill="1" applyBorder="1" applyAlignment="1">
      <alignment vertical="center" wrapText="1"/>
      <protection/>
    </xf>
    <xf numFmtId="4" fontId="16" fillId="0" borderId="14" xfId="77" applyNumberFormat="1" applyFont="1" applyBorder="1" applyAlignment="1">
      <alignment vertical="center" wrapText="1"/>
      <protection/>
    </xf>
    <xf numFmtId="4" fontId="16" fillId="0" borderId="16" xfId="77" applyNumberFormat="1" applyFont="1" applyBorder="1" applyAlignment="1">
      <alignment vertical="center" wrapText="1"/>
      <protection/>
    </xf>
    <xf numFmtId="0" fontId="16" fillId="0" borderId="0" xfId="77" applyFont="1" applyAlignment="1">
      <alignment vertical="top" wrapText="1"/>
      <protection/>
    </xf>
    <xf numFmtId="0" fontId="20" fillId="0" borderId="14" xfId="77" applyFont="1" applyFill="1" applyBorder="1" applyAlignment="1">
      <alignment vertical="center" wrapText="1"/>
      <protection/>
    </xf>
    <xf numFmtId="4" fontId="20" fillId="0" borderId="14" xfId="77" applyNumberFormat="1" applyFont="1" applyFill="1" applyBorder="1" applyAlignment="1">
      <alignment vertical="center" wrapText="1"/>
      <protection/>
    </xf>
    <xf numFmtId="4" fontId="20" fillId="0" borderId="14" xfId="77" applyNumberFormat="1" applyFont="1" applyBorder="1" applyAlignment="1">
      <alignment vertical="center" wrapText="1"/>
      <protection/>
    </xf>
    <xf numFmtId="4" fontId="20" fillId="0" borderId="16" xfId="77" applyNumberFormat="1" applyFont="1" applyBorder="1" applyAlignment="1">
      <alignment vertical="center" wrapText="1"/>
      <protection/>
    </xf>
    <xf numFmtId="4" fontId="20" fillId="0" borderId="16" xfId="77" applyNumberFormat="1" applyFont="1" applyFill="1" applyBorder="1" applyAlignment="1">
      <alignment vertical="center" wrapText="1"/>
      <protection/>
    </xf>
    <xf numFmtId="0" fontId="32" fillId="0" borderId="14" xfId="77" applyFont="1" applyFill="1" applyBorder="1" applyAlignment="1">
      <alignment horizontal="center" vertical="center" wrapText="1"/>
      <protection/>
    </xf>
    <xf numFmtId="0" fontId="32" fillId="0" borderId="14" xfId="77" applyFont="1" applyFill="1" applyBorder="1" applyAlignment="1">
      <alignment vertical="center" wrapText="1"/>
      <protection/>
    </xf>
    <xf numFmtId="4" fontId="30" fillId="0" borderId="14" xfId="77" applyNumberFormat="1" applyFont="1" applyFill="1" applyBorder="1" applyAlignment="1">
      <alignment vertical="center" wrapText="1"/>
      <protection/>
    </xf>
    <xf numFmtId="4" fontId="30" fillId="0" borderId="14" xfId="77" applyNumberFormat="1" applyFont="1" applyBorder="1" applyAlignment="1">
      <alignment vertical="center" wrapText="1"/>
      <protection/>
    </xf>
    <xf numFmtId="4" fontId="30" fillId="0" borderId="16" xfId="77" applyNumberFormat="1" applyFont="1" applyBorder="1" applyAlignment="1">
      <alignment vertical="center" wrapText="1"/>
      <protection/>
    </xf>
    <xf numFmtId="0" fontId="32" fillId="0" borderId="0" xfId="77" applyFont="1" applyAlignment="1">
      <alignment wrapText="1"/>
      <protection/>
    </xf>
    <xf numFmtId="0" fontId="16" fillId="0" borderId="18" xfId="77" applyFont="1" applyFill="1" applyBorder="1" applyAlignment="1">
      <alignment horizontal="center" vertical="center" wrapText="1"/>
      <protection/>
    </xf>
    <xf numFmtId="0" fontId="16" fillId="0" borderId="0" xfId="77" applyFont="1" applyFill="1" applyBorder="1" applyAlignment="1">
      <alignment horizontal="center" vertical="center" wrapText="1"/>
      <protection/>
    </xf>
    <xf numFmtId="0" fontId="16" fillId="0" borderId="21" xfId="77" applyFont="1" applyFill="1" applyBorder="1" applyAlignment="1">
      <alignment vertical="center" wrapText="1"/>
      <protection/>
    </xf>
    <xf numFmtId="4" fontId="20" fillId="0" borderId="22" xfId="77" applyNumberFormat="1" applyFont="1" applyFill="1" applyBorder="1" applyAlignment="1">
      <alignment vertical="center" wrapText="1"/>
      <protection/>
    </xf>
    <xf numFmtId="4" fontId="20" fillId="0" borderId="14" xfId="77" applyNumberFormat="1" applyFont="1" applyBorder="1" applyAlignment="1">
      <alignment vertical="center" wrapText="1"/>
      <protection/>
    </xf>
    <xf numFmtId="4" fontId="20" fillId="0" borderId="16" xfId="77" applyNumberFormat="1" applyFont="1" applyBorder="1" applyAlignment="1">
      <alignment vertical="center" wrapText="1"/>
      <protection/>
    </xf>
    <xf numFmtId="0" fontId="30" fillId="0" borderId="14" xfId="77" applyFont="1" applyFill="1" applyBorder="1" applyAlignment="1">
      <alignment horizontal="center" vertical="center" wrapText="1"/>
      <protection/>
    </xf>
    <xf numFmtId="0" fontId="30" fillId="0" borderId="14" xfId="77" applyFont="1" applyFill="1" applyBorder="1" applyAlignment="1">
      <alignment vertical="center" wrapText="1"/>
      <protection/>
    </xf>
    <xf numFmtId="0" fontId="30" fillId="0" borderId="0" xfId="77" applyFont="1" applyAlignment="1">
      <alignment wrapText="1"/>
      <protection/>
    </xf>
    <xf numFmtId="0" fontId="33" fillId="0" borderId="14" xfId="77" applyFont="1" applyFill="1" applyBorder="1" applyAlignment="1">
      <alignment horizontal="center" vertical="center" wrapText="1"/>
      <protection/>
    </xf>
    <xf numFmtId="0" fontId="33" fillId="0" borderId="14" xfId="77" applyFont="1" applyFill="1" applyBorder="1" applyAlignment="1">
      <alignment vertical="center" wrapText="1"/>
      <protection/>
    </xf>
    <xf numFmtId="4" fontId="33" fillId="0" borderId="14" xfId="77" applyNumberFormat="1" applyFont="1" applyFill="1" applyBorder="1" applyAlignment="1">
      <alignment vertical="center" wrapText="1"/>
      <protection/>
    </xf>
    <xf numFmtId="4" fontId="33" fillId="0" borderId="16" xfId="77" applyNumberFormat="1" applyFont="1" applyFill="1" applyBorder="1" applyAlignment="1">
      <alignment vertical="center" wrapText="1"/>
      <protection/>
    </xf>
    <xf numFmtId="0" fontId="33" fillId="0" borderId="0" xfId="77" applyFont="1" applyAlignment="1">
      <alignment wrapText="1"/>
      <protection/>
    </xf>
    <xf numFmtId="4" fontId="30" fillId="0" borderId="14" xfId="77" applyNumberFormat="1" applyFont="1" applyBorder="1" applyAlignment="1">
      <alignment vertical="center" wrapText="1"/>
      <protection/>
    </xf>
    <xf numFmtId="4" fontId="30" fillId="0" borderId="16" xfId="77" applyNumberFormat="1" applyFont="1" applyBorder="1" applyAlignment="1">
      <alignment vertical="center" wrapText="1"/>
      <protection/>
    </xf>
    <xf numFmtId="0" fontId="16" fillId="0" borderId="14" xfId="77" applyFont="1" applyFill="1" applyBorder="1" applyAlignment="1">
      <alignment horizontal="center" vertical="center" wrapText="1"/>
      <protection/>
    </xf>
    <xf numFmtId="0" fontId="16" fillId="0" borderId="14" xfId="77" applyFont="1" applyFill="1" applyBorder="1" applyAlignment="1">
      <alignment vertical="center" wrapText="1"/>
      <protection/>
    </xf>
    <xf numFmtId="0" fontId="32" fillId="0" borderId="18" xfId="77" applyFont="1" applyFill="1" applyBorder="1" applyAlignment="1">
      <alignment horizontal="center" vertical="center" wrapText="1"/>
      <protection/>
    </xf>
    <xf numFmtId="0" fontId="32" fillId="0" borderId="0" xfId="77" applyFont="1" applyFill="1" applyBorder="1" applyAlignment="1">
      <alignment horizontal="center" vertical="center" wrapText="1"/>
      <protection/>
    </xf>
    <xf numFmtId="0" fontId="32" fillId="0" borderId="21" xfId="77" applyFont="1" applyFill="1" applyBorder="1" applyAlignment="1">
      <alignment vertical="center" wrapText="1"/>
      <protection/>
    </xf>
    <xf numFmtId="4" fontId="30" fillId="0" borderId="22" xfId="77" applyNumberFormat="1" applyFont="1" applyFill="1" applyBorder="1" applyAlignment="1">
      <alignment vertical="center" wrapText="1"/>
      <protection/>
    </xf>
    <xf numFmtId="4" fontId="20" fillId="0" borderId="14" xfId="77" applyNumberFormat="1" applyFont="1" applyFill="1" applyBorder="1" applyAlignment="1">
      <alignment vertical="center" wrapText="1"/>
      <protection/>
    </xf>
    <xf numFmtId="0" fontId="30" fillId="0" borderId="10" xfId="77" applyFont="1" applyFill="1" applyBorder="1" applyAlignment="1">
      <alignment horizontal="center" vertical="center" wrapText="1"/>
      <protection/>
    </xf>
    <xf numFmtId="0" fontId="30" fillId="0" borderId="10" xfId="77" applyFont="1" applyFill="1" applyBorder="1" applyAlignment="1">
      <alignment vertical="center" wrapText="1"/>
      <protection/>
    </xf>
    <xf numFmtId="4" fontId="20" fillId="0" borderId="10" xfId="77" applyNumberFormat="1" applyFont="1" applyFill="1" applyBorder="1" applyAlignment="1">
      <alignment vertical="center" wrapText="1"/>
      <protection/>
    </xf>
    <xf numFmtId="0" fontId="16" fillId="0" borderId="17" xfId="77" applyFont="1" applyFill="1" applyBorder="1" applyAlignment="1">
      <alignment horizontal="center" vertical="center" wrapText="1"/>
      <protection/>
    </xf>
    <xf numFmtId="0" fontId="16" fillId="0" borderId="18" xfId="77" applyFont="1" applyFill="1" applyBorder="1" applyAlignment="1">
      <alignment vertical="center" wrapText="1"/>
      <protection/>
    </xf>
    <xf numFmtId="4" fontId="20" fillId="0" borderId="25" xfId="77" applyNumberFormat="1" applyFont="1" applyFill="1" applyBorder="1" applyAlignment="1">
      <alignment vertical="center" wrapText="1"/>
      <protection/>
    </xf>
    <xf numFmtId="4" fontId="16" fillId="0" borderId="0" xfId="77" applyNumberFormat="1" applyFont="1" applyAlignment="1">
      <alignment wrapText="1"/>
      <protection/>
    </xf>
    <xf numFmtId="0" fontId="16" fillId="0" borderId="24" xfId="77" applyFont="1" applyFill="1" applyBorder="1" applyAlignment="1">
      <alignment wrapText="1"/>
      <protection/>
    </xf>
    <xf numFmtId="0" fontId="16" fillId="0" borderId="11" xfId="77" applyFont="1" applyFill="1" applyBorder="1" applyAlignment="1">
      <alignment wrapText="1"/>
      <protection/>
    </xf>
    <xf numFmtId="0" fontId="16" fillId="0" borderId="21" xfId="77" applyFont="1" applyFill="1" applyBorder="1" applyAlignment="1">
      <alignment wrapText="1"/>
      <protection/>
    </xf>
    <xf numFmtId="4" fontId="16" fillId="0" borderId="21" xfId="77" applyNumberFormat="1" applyFont="1" applyFill="1" applyBorder="1" applyAlignment="1">
      <alignment wrapText="1"/>
      <protection/>
    </xf>
    <xf numFmtId="4" fontId="16" fillId="0" borderId="17" xfId="77" applyNumberFormat="1" applyFont="1" applyBorder="1" applyAlignment="1">
      <alignment wrapText="1"/>
      <protection/>
    </xf>
    <xf numFmtId="4" fontId="32" fillId="0" borderId="17" xfId="77" applyNumberFormat="1" applyFont="1" applyFill="1" applyBorder="1" applyAlignment="1">
      <alignment wrapText="1"/>
      <protection/>
    </xf>
    <xf numFmtId="4" fontId="32" fillId="0" borderId="17" xfId="77" applyNumberFormat="1" applyFont="1" applyBorder="1" applyAlignment="1">
      <alignment wrapText="1"/>
      <protection/>
    </xf>
    <xf numFmtId="4" fontId="32" fillId="0" borderId="22" xfId="77" applyNumberFormat="1" applyFont="1" applyBorder="1" applyAlignment="1">
      <alignment wrapText="1"/>
      <protection/>
    </xf>
    <xf numFmtId="4" fontId="16" fillId="0" borderId="17" xfId="77" applyNumberFormat="1" applyFont="1" applyFill="1" applyBorder="1" applyAlignment="1">
      <alignment wrapText="1"/>
      <protection/>
    </xf>
    <xf numFmtId="0" fontId="32" fillId="0" borderId="20" xfId="77" applyFont="1" applyFill="1" applyBorder="1" applyAlignment="1">
      <alignment wrapText="1"/>
      <protection/>
    </xf>
    <xf numFmtId="0" fontId="32" fillId="0" borderId="13" xfId="77" applyFont="1" applyFill="1" applyBorder="1" applyAlignment="1">
      <alignment wrapText="1"/>
      <protection/>
    </xf>
    <xf numFmtId="4" fontId="32" fillId="0" borderId="12" xfId="77" applyNumberFormat="1" applyFont="1" applyFill="1" applyBorder="1" applyAlignment="1">
      <alignment wrapText="1"/>
      <protection/>
    </xf>
    <xf numFmtId="4" fontId="32" fillId="0" borderId="12" xfId="77" applyNumberFormat="1" applyFont="1" applyBorder="1" applyAlignment="1">
      <alignment wrapText="1"/>
      <protection/>
    </xf>
    <xf numFmtId="4" fontId="32" fillId="0" borderId="23" xfId="77" applyNumberFormat="1" applyFont="1" applyBorder="1" applyAlignment="1">
      <alignment wrapText="1"/>
      <protection/>
    </xf>
    <xf numFmtId="0" fontId="19" fillId="0" borderId="24" xfId="77" applyFont="1" applyFill="1" applyBorder="1" applyAlignment="1">
      <alignment wrapText="1"/>
      <protection/>
    </xf>
    <xf numFmtId="0" fontId="19" fillId="0" borderId="11" xfId="77" applyFont="1" applyFill="1" applyBorder="1" applyAlignment="1">
      <alignment wrapText="1"/>
      <protection/>
    </xf>
    <xf numFmtId="4" fontId="19" fillId="0" borderId="10" xfId="77" applyNumberFormat="1" applyFont="1" applyFill="1" applyBorder="1" applyAlignment="1">
      <alignment wrapText="1"/>
      <protection/>
    </xf>
    <xf numFmtId="4" fontId="19" fillId="0" borderId="10" xfId="77" applyNumberFormat="1" applyFont="1" applyBorder="1" applyAlignment="1">
      <alignment wrapText="1"/>
      <protection/>
    </xf>
    <xf numFmtId="4" fontId="19" fillId="0" borderId="21" xfId="77" applyNumberFormat="1" applyFont="1" applyBorder="1" applyAlignment="1">
      <alignment wrapText="1"/>
      <protection/>
    </xf>
    <xf numFmtId="4" fontId="19" fillId="0" borderId="17" xfId="77" applyNumberFormat="1" applyFont="1" applyFill="1" applyBorder="1" applyAlignment="1">
      <alignment wrapText="1"/>
      <protection/>
    </xf>
    <xf numFmtId="4" fontId="19" fillId="0" borderId="17" xfId="77" applyNumberFormat="1" applyFont="1" applyBorder="1" applyAlignment="1">
      <alignment wrapText="1"/>
      <protection/>
    </xf>
    <xf numFmtId="4" fontId="16" fillId="0" borderId="22" xfId="77" applyNumberFormat="1" applyFont="1" applyBorder="1" applyAlignment="1">
      <alignment wrapText="1"/>
      <protection/>
    </xf>
    <xf numFmtId="4" fontId="16" fillId="0" borderId="12" xfId="77" applyNumberFormat="1" applyFont="1" applyFill="1" applyBorder="1" applyAlignment="1">
      <alignment wrapText="1"/>
      <protection/>
    </xf>
    <xf numFmtId="4" fontId="16" fillId="0" borderId="12" xfId="77" applyNumberFormat="1" applyFont="1" applyBorder="1" applyAlignment="1">
      <alignment wrapText="1"/>
      <protection/>
    </xf>
    <xf numFmtId="4" fontId="16" fillId="0" borderId="23" xfId="77" applyNumberFormat="1" applyFont="1" applyBorder="1" applyAlignment="1">
      <alignment wrapText="1"/>
      <protection/>
    </xf>
    <xf numFmtId="0" fontId="16" fillId="0" borderId="26" xfId="77" applyFont="1" applyBorder="1" applyAlignment="1">
      <alignment wrapText="1"/>
      <protection/>
    </xf>
    <xf numFmtId="0" fontId="16" fillId="0" borderId="27" xfId="77" applyFont="1" applyBorder="1" applyAlignment="1">
      <alignment wrapText="1"/>
      <protection/>
    </xf>
    <xf numFmtId="0" fontId="16" fillId="0" borderId="28" xfId="77" applyFont="1" applyBorder="1" applyAlignment="1">
      <alignment wrapText="1"/>
      <protection/>
    </xf>
    <xf numFmtId="0" fontId="16" fillId="0" borderId="29" xfId="77" applyFont="1" applyFill="1" applyBorder="1" applyAlignment="1">
      <alignment wrapText="1"/>
      <protection/>
    </xf>
    <xf numFmtId="0" fontId="16" fillId="0" borderId="0" xfId="77" applyFont="1" applyFill="1" applyAlignment="1">
      <alignment wrapText="1"/>
      <protection/>
    </xf>
    <xf numFmtId="0" fontId="2" fillId="0" borderId="0" xfId="71" applyFill="1" applyAlignment="1">
      <alignment horizontal="center"/>
      <protection/>
    </xf>
    <xf numFmtId="0" fontId="2" fillId="0" borderId="0" xfId="71" applyFill="1">
      <alignment/>
      <protection/>
    </xf>
    <xf numFmtId="0" fontId="35" fillId="0" borderId="0" xfId="71" applyFont="1" applyFill="1">
      <alignment/>
      <protection/>
    </xf>
    <xf numFmtId="0" fontId="17" fillId="0" borderId="0" xfId="71" applyFont="1" applyFill="1" applyAlignment="1">
      <alignment horizontal="center"/>
      <protection/>
    </xf>
    <xf numFmtId="0" fontId="38" fillId="0" borderId="0" xfId="71" applyFont="1" applyFill="1" applyAlignment="1">
      <alignment horizontal="center"/>
      <protection/>
    </xf>
    <xf numFmtId="0" fontId="16" fillId="0" borderId="0" xfId="71" applyFont="1" applyFill="1">
      <alignment/>
      <protection/>
    </xf>
    <xf numFmtId="0" fontId="19" fillId="0" borderId="14" xfId="71" applyFont="1" applyFill="1" applyBorder="1" applyAlignment="1">
      <alignment horizontal="center" vertical="center" wrapText="1"/>
      <protection/>
    </xf>
    <xf numFmtId="0" fontId="41" fillId="0" borderId="14" xfId="71" applyFont="1" applyFill="1" applyBorder="1" applyAlignment="1">
      <alignment horizontal="center"/>
      <protection/>
    </xf>
    <xf numFmtId="0" fontId="41" fillId="0" borderId="0" xfId="71" applyFont="1" applyFill="1" applyAlignment="1">
      <alignment horizontal="center"/>
      <protection/>
    </xf>
    <xf numFmtId="0" fontId="24" fillId="0" borderId="0" xfId="71" applyFont="1" applyFill="1" applyBorder="1" applyAlignment="1">
      <alignment/>
      <protection/>
    </xf>
    <xf numFmtId="0" fontId="24" fillId="0" borderId="0" xfId="71" applyFont="1" applyFill="1" applyBorder="1" applyAlignment="1">
      <alignment horizontal="center"/>
      <protection/>
    </xf>
    <xf numFmtId="3" fontId="16" fillId="0" borderId="14" xfId="71" applyNumberFormat="1" applyFont="1" applyFill="1" applyBorder="1" applyAlignment="1">
      <alignment horizontal="center" vertical="center" wrapText="1"/>
      <protection/>
    </xf>
    <xf numFmtId="0" fontId="23" fillId="0" borderId="0" xfId="70" applyAlignment="1">
      <alignment vertical="center"/>
      <protection/>
    </xf>
    <xf numFmtId="3" fontId="42" fillId="2" borderId="14" xfId="67" applyNumberFormat="1" applyFont="1" applyFill="1" applyBorder="1" applyAlignment="1">
      <alignment vertical="center"/>
      <protection/>
    </xf>
    <xf numFmtId="3" fontId="43" fillId="0" borderId="14" xfId="67" applyNumberFormat="1" applyFont="1" applyFill="1" applyBorder="1" applyAlignment="1">
      <alignment vertical="center"/>
      <protection/>
    </xf>
    <xf numFmtId="3" fontId="4" fillId="0" borderId="14" xfId="0" applyNumberFormat="1" applyFont="1" applyFill="1" applyBorder="1" applyAlignment="1">
      <alignment horizontal="center"/>
    </xf>
    <xf numFmtId="3" fontId="19" fillId="0" borderId="14" xfId="71" applyNumberFormat="1" applyFont="1" applyFill="1" applyBorder="1" applyAlignment="1">
      <alignment horizontal="center" vertical="center"/>
      <protection/>
    </xf>
    <xf numFmtId="0" fontId="45" fillId="0" borderId="0" xfId="70" applyFont="1" applyAlignment="1">
      <alignment vertical="center"/>
      <protection/>
    </xf>
    <xf numFmtId="3" fontId="15" fillId="2" borderId="14" xfId="67" applyNumberFormat="1" applyFont="1" applyFill="1" applyBorder="1" applyAlignment="1">
      <alignment vertical="center"/>
      <protection/>
    </xf>
    <xf numFmtId="0" fontId="23" fillId="0" borderId="19" xfId="70" applyBorder="1" applyAlignment="1">
      <alignment horizontal="center"/>
      <protection/>
    </xf>
    <xf numFmtId="0" fontId="23" fillId="0" borderId="15" xfId="70" applyBorder="1" applyAlignment="1">
      <alignment horizontal="center"/>
      <protection/>
    </xf>
    <xf numFmtId="0" fontId="23" fillId="0" borderId="16" xfId="70" applyBorder="1" applyAlignment="1">
      <alignment horizontal="center"/>
      <protection/>
    </xf>
    <xf numFmtId="0" fontId="23" fillId="0" borderId="0" xfId="70">
      <alignment/>
      <protection/>
    </xf>
    <xf numFmtId="3" fontId="15" fillId="0" borderId="14" xfId="70" applyNumberFormat="1" applyFont="1" applyBorder="1" applyAlignment="1">
      <alignment horizontal="right" vertical="center"/>
      <protection/>
    </xf>
    <xf numFmtId="0" fontId="16" fillId="0" borderId="0" xfId="71" applyFont="1" applyFill="1" applyBorder="1" applyAlignment="1">
      <alignment vertical="center"/>
      <protection/>
    </xf>
    <xf numFmtId="0" fontId="16" fillId="0" borderId="0" xfId="71" applyFont="1" applyFill="1" applyAlignment="1">
      <alignment vertical="center"/>
      <protection/>
    </xf>
    <xf numFmtId="3" fontId="19" fillId="0" borderId="14" xfId="71" applyNumberFormat="1" applyFont="1" applyFill="1" applyBorder="1" applyAlignment="1">
      <alignment horizontal="center" vertical="center" wrapText="1"/>
      <protection/>
    </xf>
    <xf numFmtId="0" fontId="19" fillId="0" borderId="0" xfId="71" applyFont="1" applyFill="1" applyAlignment="1">
      <alignment horizontal="right" vertical="center"/>
      <protection/>
    </xf>
    <xf numFmtId="0" fontId="2" fillId="0" borderId="0" xfId="71" applyFill="1" applyAlignment="1">
      <alignment horizontal="right"/>
      <protection/>
    </xf>
    <xf numFmtId="3" fontId="18" fillId="0" borderId="14" xfId="71" applyNumberFormat="1" applyFont="1" applyFill="1" applyBorder="1" applyAlignment="1">
      <alignment horizontal="center" vertical="center" wrapText="1"/>
      <protection/>
    </xf>
    <xf numFmtId="0" fontId="18" fillId="0" borderId="0" xfId="71" applyFont="1" applyFill="1" applyAlignment="1">
      <alignment horizontal="right" vertical="center"/>
      <protection/>
    </xf>
    <xf numFmtId="0" fontId="47" fillId="0" borderId="0" xfId="71" applyFont="1" applyFill="1" applyAlignment="1">
      <alignment horizontal="right"/>
      <protection/>
    </xf>
    <xf numFmtId="0" fontId="37" fillId="0" borderId="0" xfId="71" applyNumberFormat="1" applyFont="1" applyFill="1" applyAlignment="1">
      <alignment wrapText="1"/>
      <protection/>
    </xf>
    <xf numFmtId="3" fontId="16" fillId="0" borderId="14" xfId="71" applyNumberFormat="1" applyFont="1" applyFill="1" applyBorder="1" applyAlignment="1">
      <alignment horizontal="right" vertical="center" wrapText="1"/>
      <protection/>
    </xf>
    <xf numFmtId="0" fontId="23" fillId="0" borderId="0" xfId="67" applyAlignment="1">
      <alignment vertical="center"/>
      <protection/>
    </xf>
    <xf numFmtId="3" fontId="42" fillId="7" borderId="14" xfId="67" applyNumberFormat="1" applyFont="1" applyFill="1" applyBorder="1" applyAlignment="1">
      <alignment vertical="center"/>
      <protection/>
    </xf>
    <xf numFmtId="3" fontId="19" fillId="0" borderId="14" xfId="71" applyNumberFormat="1" applyFont="1" applyFill="1" applyBorder="1" applyAlignment="1">
      <alignment horizontal="right" vertical="center"/>
      <protection/>
    </xf>
    <xf numFmtId="0" fontId="45" fillId="0" borderId="0" xfId="67" applyFont="1" applyAlignment="1">
      <alignment vertical="center"/>
      <protection/>
    </xf>
    <xf numFmtId="3" fontId="15" fillId="7" borderId="14" xfId="67" applyNumberFormat="1" applyFont="1" applyFill="1" applyBorder="1" applyAlignment="1">
      <alignment vertical="center"/>
      <protection/>
    </xf>
    <xf numFmtId="0" fontId="23" fillId="0" borderId="0" xfId="67">
      <alignment/>
      <protection/>
    </xf>
    <xf numFmtId="0" fontId="16" fillId="0" borderId="0" xfId="76" applyFont="1" applyFill="1" applyAlignment="1">
      <alignment vertical="center"/>
      <protection/>
    </xf>
    <xf numFmtId="3" fontId="16" fillId="0" borderId="0" xfId="76" applyNumberFormat="1" applyFont="1" applyFill="1" applyAlignment="1">
      <alignment horizontal="center" vertical="center" wrapText="1"/>
      <protection/>
    </xf>
    <xf numFmtId="3" fontId="16" fillId="0" borderId="0" xfId="76" applyNumberFormat="1" applyFont="1" applyFill="1" applyAlignment="1">
      <alignment horizontal="center" vertical="center"/>
      <protection/>
    </xf>
    <xf numFmtId="3" fontId="16" fillId="0" borderId="0" xfId="76" applyNumberFormat="1" applyFont="1" applyFill="1" applyAlignment="1">
      <alignment horizontal="left" vertical="center"/>
      <protection/>
    </xf>
    <xf numFmtId="3" fontId="38" fillId="0" borderId="0" xfId="76" applyNumberFormat="1" applyFont="1" applyFill="1" applyAlignment="1">
      <alignment horizontal="left" vertical="center"/>
      <protection/>
    </xf>
    <xf numFmtId="3" fontId="16" fillId="0" borderId="0" xfId="76" applyNumberFormat="1" applyFont="1" applyFill="1" applyAlignment="1">
      <alignment horizontal="left" vertical="center" wrapText="1"/>
      <protection/>
    </xf>
    <xf numFmtId="0" fontId="16" fillId="0" borderId="0" xfId="76" applyFont="1" applyFill="1" applyAlignment="1">
      <alignment vertical="center" wrapText="1"/>
      <protection/>
    </xf>
    <xf numFmtId="0" fontId="16" fillId="0" borderId="0" xfId="76" applyFont="1" applyFill="1" applyAlignment="1">
      <alignment horizontal="center" vertical="center"/>
      <protection/>
    </xf>
    <xf numFmtId="0" fontId="16" fillId="0" borderId="0" xfId="76" applyFont="1" applyFill="1" applyAlignment="1">
      <alignment horizontal="center" vertical="center" wrapText="1"/>
      <protection/>
    </xf>
    <xf numFmtId="0" fontId="8" fillId="0" borderId="0" xfId="76" applyFont="1" applyFill="1" applyAlignment="1">
      <alignment horizontal="center" vertical="center" wrapText="1"/>
      <protection/>
    </xf>
    <xf numFmtId="0" fontId="38" fillId="0" borderId="0" xfId="76" applyFont="1" applyFill="1" applyAlignment="1">
      <alignment vertical="center" wrapText="1"/>
      <protection/>
    </xf>
    <xf numFmtId="3" fontId="30" fillId="0" borderId="15" xfId="76" applyNumberFormat="1" applyFont="1" applyFill="1" applyBorder="1" applyAlignment="1">
      <alignment horizontal="center" vertical="top" wrapText="1"/>
      <protection/>
    </xf>
    <xf numFmtId="3" fontId="30" fillId="0" borderId="16" xfId="76" applyNumberFormat="1" applyFont="1" applyFill="1" applyBorder="1" applyAlignment="1">
      <alignment horizontal="center" vertical="top" wrapText="1"/>
      <protection/>
    </xf>
    <xf numFmtId="0" fontId="19" fillId="0" borderId="0" xfId="76" applyFont="1" applyFill="1" applyAlignment="1">
      <alignment vertical="center"/>
      <protection/>
    </xf>
    <xf numFmtId="0" fontId="30" fillId="0" borderId="10" xfId="76" applyFont="1" applyFill="1" applyBorder="1" applyAlignment="1">
      <alignment horizontal="center" vertical="top" wrapText="1"/>
      <protection/>
    </xf>
    <xf numFmtId="0" fontId="30" fillId="0" borderId="12" xfId="76" applyFont="1" applyFill="1" applyBorder="1" applyAlignment="1">
      <alignment horizontal="center" vertical="top" wrapText="1"/>
      <protection/>
    </xf>
    <xf numFmtId="3" fontId="30" fillId="0" borderId="14" xfId="76" applyNumberFormat="1" applyFont="1" applyFill="1" applyBorder="1" applyAlignment="1">
      <alignment horizontal="center" vertical="top" wrapText="1"/>
      <protection/>
    </xf>
    <xf numFmtId="0" fontId="25" fillId="0" borderId="14" xfId="76" applyFont="1" applyFill="1" applyBorder="1" applyAlignment="1">
      <alignment horizontal="center" vertical="center" wrapText="1"/>
      <protection/>
    </xf>
    <xf numFmtId="0" fontId="8" fillId="0" borderId="12" xfId="78" applyFont="1" applyFill="1" applyBorder="1" applyAlignment="1">
      <alignment horizontal="center" vertical="top"/>
      <protection/>
    </xf>
    <xf numFmtId="3" fontId="25" fillId="0" borderId="14" xfId="76" applyNumberFormat="1" applyFont="1" applyFill="1" applyBorder="1" applyAlignment="1">
      <alignment horizontal="center" vertical="center" wrapText="1"/>
      <protection/>
    </xf>
    <xf numFmtId="0" fontId="25" fillId="0" borderId="0" xfId="76" applyFont="1" applyFill="1" applyAlignment="1">
      <alignment horizontal="center" vertical="center"/>
      <protection/>
    </xf>
    <xf numFmtId="0" fontId="48" fillId="0" borderId="18" xfId="76" applyFont="1" applyFill="1" applyBorder="1" applyAlignment="1">
      <alignment horizontal="center" vertical="center"/>
      <protection/>
    </xf>
    <xf numFmtId="0" fontId="48" fillId="0" borderId="11" xfId="76" applyFont="1" applyFill="1" applyBorder="1" applyAlignment="1">
      <alignment horizontal="center" vertical="center"/>
      <protection/>
    </xf>
    <xf numFmtId="0" fontId="48" fillId="0" borderId="11" xfId="76" applyFont="1" applyFill="1" applyBorder="1" applyAlignment="1">
      <alignment horizontal="center" vertical="center" wrapText="1"/>
      <protection/>
    </xf>
    <xf numFmtId="0" fontId="25" fillId="0" borderId="11" xfId="76" applyFont="1" applyFill="1" applyBorder="1" applyAlignment="1">
      <alignment horizontal="center" vertical="center" wrapText="1"/>
      <protection/>
    </xf>
    <xf numFmtId="0" fontId="49" fillId="0" borderId="11" xfId="76" applyFont="1" applyFill="1" applyBorder="1" applyAlignment="1">
      <alignment horizontal="center" vertical="center" wrapText="1"/>
      <protection/>
    </xf>
    <xf numFmtId="3" fontId="48" fillId="0" borderId="11" xfId="76" applyNumberFormat="1" applyFont="1" applyFill="1" applyBorder="1" applyAlignment="1">
      <alignment horizontal="center" vertical="center" wrapText="1"/>
      <protection/>
    </xf>
    <xf numFmtId="3" fontId="48" fillId="0" borderId="21" xfId="76" applyNumberFormat="1" applyFont="1" applyFill="1" applyBorder="1" applyAlignment="1">
      <alignment horizontal="center" vertical="center" wrapText="1"/>
      <protection/>
    </xf>
    <xf numFmtId="0" fontId="48" fillId="0" borderId="0" xfId="76" applyFont="1" applyFill="1" applyAlignment="1">
      <alignment horizontal="center" vertical="center"/>
      <protection/>
    </xf>
    <xf numFmtId="0" fontId="50" fillId="0" borderId="21" xfId="76" applyFont="1" applyFill="1" applyBorder="1" applyAlignment="1">
      <alignment horizontal="center" vertical="center" wrapText="1"/>
      <protection/>
    </xf>
    <xf numFmtId="3" fontId="50" fillId="0" borderId="16" xfId="76" applyNumberFormat="1" applyFont="1" applyFill="1" applyBorder="1" applyAlignment="1">
      <alignment horizontal="right" vertical="center" wrapText="1"/>
      <protection/>
    </xf>
    <xf numFmtId="3" fontId="50" fillId="0" borderId="14" xfId="76" applyNumberFormat="1" applyFont="1" applyFill="1" applyBorder="1" applyAlignment="1">
      <alignment horizontal="right" vertical="center" wrapText="1"/>
      <protection/>
    </xf>
    <xf numFmtId="0" fontId="50" fillId="0" borderId="0" xfId="76" applyFont="1" applyFill="1" applyAlignment="1">
      <alignment horizontal="center" vertical="center"/>
      <protection/>
    </xf>
    <xf numFmtId="0" fontId="102" fillId="0" borderId="14" xfId="0" applyFont="1" applyFill="1" applyBorder="1" applyAlignment="1">
      <alignment horizontal="center" vertical="center" wrapText="1"/>
    </xf>
    <xf numFmtId="0" fontId="102" fillId="0" borderId="23" xfId="0" applyFont="1" applyFill="1" applyBorder="1" applyAlignment="1">
      <alignment horizontal="center" vertical="center" wrapText="1"/>
    </xf>
    <xf numFmtId="0" fontId="48" fillId="0" borderId="18" xfId="76" applyFont="1" applyFill="1" applyBorder="1" applyAlignment="1">
      <alignment horizontal="center"/>
      <protection/>
    </xf>
    <xf numFmtId="0" fontId="48" fillId="0" borderId="0" xfId="76" applyFont="1" applyFill="1" applyBorder="1" applyAlignment="1">
      <alignment horizontal="center"/>
      <protection/>
    </xf>
    <xf numFmtId="0" fontId="48" fillId="0" borderId="0" xfId="76" applyFont="1" applyFill="1" applyBorder="1" applyAlignment="1">
      <alignment horizontal="center" wrapText="1"/>
      <protection/>
    </xf>
    <xf numFmtId="0" fontId="48" fillId="0" borderId="0" xfId="76" applyFont="1" applyFill="1" applyBorder="1" applyAlignment="1">
      <alignment horizontal="left" wrapText="1"/>
      <protection/>
    </xf>
    <xf numFmtId="0" fontId="25" fillId="0" borderId="0" xfId="76" applyFont="1" applyFill="1" applyBorder="1" applyAlignment="1">
      <alignment horizontal="center" vertical="center" wrapText="1"/>
      <protection/>
    </xf>
    <xf numFmtId="0" fontId="49" fillId="0" borderId="0" xfId="76" applyFont="1" applyFill="1" applyBorder="1" applyAlignment="1">
      <alignment horizontal="center" vertical="center" wrapText="1"/>
      <protection/>
    </xf>
    <xf numFmtId="3" fontId="48" fillId="0" borderId="0" xfId="76" applyNumberFormat="1" applyFont="1" applyFill="1" applyBorder="1" applyAlignment="1">
      <alignment horizontal="center" vertical="center" wrapText="1"/>
      <protection/>
    </xf>
    <xf numFmtId="3" fontId="48" fillId="0" borderId="22" xfId="76" applyNumberFormat="1" applyFont="1" applyFill="1" applyBorder="1" applyAlignment="1">
      <alignment horizontal="center" vertical="center" wrapText="1"/>
      <protection/>
    </xf>
    <xf numFmtId="0" fontId="48" fillId="0" borderId="0" xfId="76" applyFont="1" applyFill="1" applyAlignment="1">
      <alignment horizontal="center"/>
      <protection/>
    </xf>
    <xf numFmtId="0" fontId="50" fillId="0" borderId="21" xfId="76" applyFont="1" applyFill="1" applyBorder="1" applyAlignment="1">
      <alignment horizontal="center" vertical="center"/>
      <protection/>
    </xf>
    <xf numFmtId="3" fontId="21" fillId="0" borderId="14" xfId="76" applyNumberFormat="1" applyFont="1" applyFill="1" applyBorder="1" applyAlignment="1">
      <alignment horizontal="right" vertical="center"/>
      <protection/>
    </xf>
    <xf numFmtId="0" fontId="21" fillId="0" borderId="14" xfId="76" applyFont="1" applyFill="1" applyBorder="1" applyAlignment="1">
      <alignment horizontal="right" vertical="center"/>
      <protection/>
    </xf>
    <xf numFmtId="0" fontId="21" fillId="0" borderId="0" xfId="76" applyFont="1" applyFill="1" applyAlignment="1">
      <alignment vertical="center"/>
      <protection/>
    </xf>
    <xf numFmtId="0" fontId="101" fillId="0" borderId="14" xfId="0" applyFont="1" applyFill="1" applyBorder="1" applyAlignment="1">
      <alignment horizontal="center" vertical="center"/>
    </xf>
    <xf numFmtId="0" fontId="101" fillId="0" borderId="23" xfId="0" applyFont="1" applyFill="1" applyBorder="1" applyAlignment="1">
      <alignment horizontal="center" vertical="center"/>
    </xf>
    <xf numFmtId="0" fontId="48" fillId="0" borderId="20" xfId="76" applyFont="1" applyFill="1" applyBorder="1" applyAlignment="1">
      <alignment horizontal="center"/>
      <protection/>
    </xf>
    <xf numFmtId="0" fontId="48" fillId="0" borderId="13" xfId="76" applyFont="1" applyFill="1" applyBorder="1" applyAlignment="1">
      <alignment horizontal="center"/>
      <protection/>
    </xf>
    <xf numFmtId="0" fontId="48" fillId="0" borderId="13" xfId="76" applyFont="1" applyFill="1" applyBorder="1" applyAlignment="1">
      <alignment horizontal="center" wrapText="1"/>
      <protection/>
    </xf>
    <xf numFmtId="0" fontId="25" fillId="0" borderId="13" xfId="76" applyFont="1" applyFill="1" applyBorder="1" applyAlignment="1">
      <alignment horizontal="center" vertical="center" wrapText="1"/>
      <protection/>
    </xf>
    <xf numFmtId="0" fontId="49" fillId="0" borderId="13" xfId="76" applyFont="1" applyFill="1" applyBorder="1" applyAlignment="1">
      <alignment horizontal="center" vertical="center" wrapText="1"/>
      <protection/>
    </xf>
    <xf numFmtId="3" fontId="48" fillId="0" borderId="13" xfId="76" applyNumberFormat="1" applyFont="1" applyFill="1" applyBorder="1" applyAlignment="1">
      <alignment horizontal="center" vertical="center" wrapText="1"/>
      <protection/>
    </xf>
    <xf numFmtId="3" fontId="48" fillId="0" borderId="23" xfId="76" applyNumberFormat="1" applyFont="1" applyFill="1" applyBorder="1" applyAlignment="1">
      <alignment horizontal="center" vertical="center" wrapText="1"/>
      <protection/>
    </xf>
    <xf numFmtId="0" fontId="4" fillId="0" borderId="21" xfId="76" applyFont="1" applyFill="1" applyBorder="1" applyAlignment="1">
      <alignment horizontal="center" vertical="center" wrapText="1"/>
      <protection/>
    </xf>
    <xf numFmtId="3" fontId="4" fillId="0" borderId="14" xfId="76" applyNumberFormat="1" applyFont="1" applyFill="1" applyBorder="1" applyAlignment="1">
      <alignment vertical="center" wrapText="1"/>
      <protection/>
    </xf>
    <xf numFmtId="3" fontId="51" fillId="0" borderId="14" xfId="76" applyNumberFormat="1" applyFont="1" applyFill="1" applyBorder="1" applyAlignment="1">
      <alignment vertical="center" wrapText="1"/>
      <protection/>
    </xf>
    <xf numFmtId="0" fontId="30" fillId="0" borderId="0" xfId="76" applyFont="1" applyFill="1" applyAlignment="1">
      <alignment vertical="top"/>
      <protection/>
    </xf>
    <xf numFmtId="0" fontId="103" fillId="0" borderId="14" xfId="0" applyFont="1" applyFill="1" applyBorder="1" applyAlignment="1">
      <alignment horizontal="center" vertical="center" wrapText="1"/>
    </xf>
    <xf numFmtId="0" fontId="103" fillId="0" borderId="23" xfId="0" applyFont="1" applyFill="1" applyBorder="1" applyAlignment="1">
      <alignment horizontal="center" vertical="center" wrapText="1"/>
    </xf>
    <xf numFmtId="0" fontId="48" fillId="0" borderId="24" xfId="76" applyFont="1" applyFill="1" applyBorder="1" applyAlignment="1">
      <alignment horizontal="center"/>
      <protection/>
    </xf>
    <xf numFmtId="0" fontId="48" fillId="0" borderId="11" xfId="76" applyFont="1" applyFill="1" applyBorder="1" applyAlignment="1">
      <alignment horizontal="center"/>
      <protection/>
    </xf>
    <xf numFmtId="0" fontId="48" fillId="0" borderId="11" xfId="76" applyFont="1" applyFill="1" applyBorder="1" applyAlignment="1">
      <alignment horizontal="center" wrapText="1"/>
      <protection/>
    </xf>
    <xf numFmtId="0" fontId="48" fillId="0" borderId="11" xfId="76" applyFont="1" applyFill="1" applyBorder="1" applyAlignment="1">
      <alignment horizontal="left" wrapText="1"/>
      <protection/>
    </xf>
    <xf numFmtId="3" fontId="50" fillId="0" borderId="14" xfId="76" applyNumberFormat="1" applyFont="1" applyFill="1" applyBorder="1" applyAlignment="1">
      <alignment vertical="center"/>
      <protection/>
    </xf>
    <xf numFmtId="3" fontId="21" fillId="0" borderId="14" xfId="76" applyNumberFormat="1" applyFont="1" applyFill="1" applyBorder="1" applyAlignment="1">
      <alignment vertical="center"/>
      <protection/>
    </xf>
    <xf numFmtId="49" fontId="54" fillId="0" borderId="21" xfId="76" applyNumberFormat="1" applyFont="1" applyFill="1" applyBorder="1" applyAlignment="1">
      <alignment horizontal="center" vertical="center"/>
      <protection/>
    </xf>
    <xf numFmtId="3" fontId="54" fillId="0" borderId="14" xfId="76" applyNumberFormat="1" applyFont="1" applyFill="1" applyBorder="1" applyAlignment="1">
      <alignment vertical="center" wrapText="1"/>
      <protection/>
    </xf>
    <xf numFmtId="3" fontId="53" fillId="0" borderId="14" xfId="76" applyNumberFormat="1" applyFont="1" applyFill="1" applyBorder="1" applyAlignment="1">
      <alignment vertical="center" wrapText="1"/>
      <protection/>
    </xf>
    <xf numFmtId="0" fontId="32" fillId="0" borderId="0" xfId="76" applyFont="1" applyFill="1" applyAlignment="1">
      <alignment vertical="center"/>
      <protection/>
    </xf>
    <xf numFmtId="0" fontId="104" fillId="0" borderId="14" xfId="0" applyFont="1" applyFill="1" applyBorder="1" applyAlignment="1">
      <alignment horizontal="center" vertical="center"/>
    </xf>
    <xf numFmtId="0" fontId="104" fillId="0" borderId="23" xfId="0" applyFont="1" applyFill="1" applyBorder="1" applyAlignment="1">
      <alignment horizontal="center" vertical="center"/>
    </xf>
    <xf numFmtId="49" fontId="55" fillId="0" borderId="19" xfId="76" applyNumberFormat="1" applyFont="1" applyFill="1" applyBorder="1" applyAlignment="1">
      <alignment horizontal="left" vertical="center"/>
      <protection/>
    </xf>
    <xf numFmtId="49" fontId="55" fillId="0" borderId="15" xfId="76" applyNumberFormat="1" applyFont="1" applyFill="1" applyBorder="1" applyAlignment="1">
      <alignment horizontal="left" vertical="center"/>
      <protection/>
    </xf>
    <xf numFmtId="49" fontId="4" fillId="0" borderId="15" xfId="76" applyNumberFormat="1" applyFont="1" applyFill="1" applyBorder="1" applyAlignment="1">
      <alignment horizontal="center" vertical="center"/>
      <protection/>
    </xf>
    <xf numFmtId="0" fontId="42" fillId="0" borderId="15" xfId="76" applyFont="1" applyFill="1" applyBorder="1" applyAlignment="1">
      <alignment vertical="center" wrapText="1"/>
      <protection/>
    </xf>
    <xf numFmtId="3" fontId="51" fillId="0" borderId="15" xfId="76" applyNumberFormat="1" applyFont="1" applyFill="1" applyBorder="1" applyAlignment="1">
      <alignment vertical="center" wrapText="1"/>
      <protection/>
    </xf>
    <xf numFmtId="3" fontId="51" fillId="0" borderId="16" xfId="76" applyNumberFormat="1" applyFont="1" applyFill="1" applyBorder="1" applyAlignment="1">
      <alignment vertical="center" wrapText="1"/>
      <protection/>
    </xf>
    <xf numFmtId="0" fontId="30" fillId="0" borderId="0" xfId="76" applyFont="1" applyFill="1" applyAlignment="1">
      <alignment vertical="center"/>
      <protection/>
    </xf>
    <xf numFmtId="0" fontId="100" fillId="0" borderId="21" xfId="0" applyFont="1" applyFill="1" applyBorder="1" applyAlignment="1">
      <alignment horizontal="center" vertical="center"/>
    </xf>
    <xf numFmtId="3" fontId="12" fillId="0" borderId="14" xfId="76" applyNumberFormat="1" applyFont="1" applyFill="1" applyBorder="1" applyAlignment="1">
      <alignment vertical="center" wrapText="1"/>
      <protection/>
    </xf>
    <xf numFmtId="3" fontId="55" fillId="0" borderId="14" xfId="76" applyNumberFormat="1" applyFont="1" applyFill="1" applyBorder="1" applyAlignment="1">
      <alignment vertical="center" wrapText="1"/>
      <protection/>
    </xf>
    <xf numFmtId="0" fontId="100" fillId="0" borderId="14" xfId="0" applyFont="1" applyFill="1" applyBorder="1" applyAlignment="1">
      <alignment horizontal="center" vertical="center"/>
    </xf>
    <xf numFmtId="0" fontId="100" fillId="0" borderId="23" xfId="0" applyFont="1" applyFill="1" applyBorder="1" applyAlignment="1">
      <alignment horizontal="center" vertical="center"/>
    </xf>
    <xf numFmtId="3" fontId="4" fillId="0" borderId="10" xfId="76" applyNumberFormat="1" applyFont="1" applyFill="1" applyBorder="1" applyAlignment="1">
      <alignment vertical="center" wrapText="1"/>
      <protection/>
    </xf>
    <xf numFmtId="3" fontId="51" fillId="0" borderId="10" xfId="76" applyNumberFormat="1" applyFont="1" applyFill="1" applyBorder="1" applyAlignment="1">
      <alignment vertical="center" wrapText="1"/>
      <protection/>
    </xf>
    <xf numFmtId="0" fontId="99" fillId="0" borderId="14" xfId="0" applyFont="1" applyFill="1" applyBorder="1" applyAlignment="1">
      <alignment horizontal="center" vertical="center" wrapText="1"/>
    </xf>
    <xf numFmtId="0" fontId="99" fillId="0" borderId="22" xfId="0" applyFont="1" applyFill="1" applyBorder="1" applyAlignment="1">
      <alignment horizontal="center" vertical="center" wrapText="1"/>
    </xf>
    <xf numFmtId="0" fontId="16" fillId="0" borderId="0" xfId="76" applyFont="1" applyFill="1" applyAlignment="1">
      <alignment vertical="top"/>
      <protection/>
    </xf>
    <xf numFmtId="0" fontId="4" fillId="0" borderId="14" xfId="76" applyFont="1" applyFill="1" applyBorder="1" applyAlignment="1">
      <alignment horizontal="center" vertical="center" wrapText="1"/>
      <protection/>
    </xf>
    <xf numFmtId="0" fontId="12" fillId="0" borderId="21" xfId="76" applyFont="1" applyFill="1" applyBorder="1" applyAlignment="1">
      <alignment horizontal="center" vertical="center" wrapText="1"/>
      <protection/>
    </xf>
    <xf numFmtId="0" fontId="12" fillId="0" borderId="14" xfId="76" applyFont="1" applyFill="1" applyBorder="1" applyAlignment="1">
      <alignment horizontal="center" vertical="center" wrapText="1"/>
      <protection/>
    </xf>
    <xf numFmtId="0" fontId="12" fillId="0" borderId="23" xfId="76" applyFont="1" applyFill="1" applyBorder="1" applyAlignment="1">
      <alignment horizontal="center" vertical="center" wrapText="1"/>
      <protection/>
    </xf>
    <xf numFmtId="0" fontId="13" fillId="0" borderId="14" xfId="76" applyFont="1" applyFill="1" applyBorder="1" applyAlignment="1">
      <alignment horizontal="center" vertical="center" wrapText="1"/>
      <protection/>
    </xf>
    <xf numFmtId="3" fontId="13" fillId="0" borderId="10" xfId="76" applyNumberFormat="1" applyFont="1" applyFill="1" applyBorder="1" applyAlignment="1">
      <alignment vertical="center" wrapText="1"/>
      <protection/>
    </xf>
    <xf numFmtId="3" fontId="52" fillId="0" borderId="10" xfId="76" applyNumberFormat="1" applyFont="1" applyFill="1" applyBorder="1" applyAlignment="1">
      <alignment vertical="center" wrapText="1"/>
      <protection/>
    </xf>
    <xf numFmtId="0" fontId="20" fillId="0" borderId="0" xfId="76" applyFont="1" applyFill="1" applyAlignment="1">
      <alignment vertical="center"/>
      <protection/>
    </xf>
    <xf numFmtId="0" fontId="105" fillId="0" borderId="14" xfId="0" applyFont="1" applyFill="1" applyBorder="1" applyAlignment="1">
      <alignment horizontal="center" vertical="center" wrapText="1"/>
    </xf>
    <xf numFmtId="3" fontId="13" fillId="0" borderId="14" xfId="76" applyNumberFormat="1" applyFont="1" applyFill="1" applyBorder="1" applyAlignment="1">
      <alignment vertical="center" wrapText="1"/>
      <protection/>
    </xf>
    <xf numFmtId="3" fontId="52" fillId="0" borderId="14" xfId="76" applyNumberFormat="1" applyFont="1" applyFill="1" applyBorder="1" applyAlignment="1">
      <alignment vertical="center" wrapText="1"/>
      <protection/>
    </xf>
    <xf numFmtId="0" fontId="50" fillId="0" borderId="14" xfId="76" applyFont="1" applyFill="1" applyBorder="1" applyAlignment="1">
      <alignment horizontal="center" vertical="center"/>
      <protection/>
    </xf>
    <xf numFmtId="0" fontId="50" fillId="0" borderId="23" xfId="76" applyFont="1" applyFill="1" applyBorder="1" applyAlignment="1">
      <alignment horizontal="center" vertical="center"/>
      <protection/>
    </xf>
    <xf numFmtId="49" fontId="57" fillId="0" borderId="21" xfId="76" applyNumberFormat="1" applyFont="1" applyFill="1" applyBorder="1" applyAlignment="1">
      <alignment horizontal="center" vertical="center" wrapText="1"/>
      <protection/>
    </xf>
    <xf numFmtId="3" fontId="57" fillId="0" borderId="14" xfId="76" applyNumberFormat="1" applyFont="1" applyFill="1" applyBorder="1" applyAlignment="1">
      <alignment vertical="center" wrapText="1"/>
      <protection/>
    </xf>
    <xf numFmtId="3" fontId="56" fillId="0" borderId="14" xfId="76" applyNumberFormat="1" applyFont="1" applyFill="1" applyBorder="1" applyAlignment="1">
      <alignment vertical="center" wrapText="1"/>
      <protection/>
    </xf>
    <xf numFmtId="0" fontId="31" fillId="0" borderId="0" xfId="76" applyFont="1" applyFill="1" applyAlignment="1">
      <alignment vertical="center"/>
      <protection/>
    </xf>
    <xf numFmtId="49" fontId="57" fillId="0" borderId="14" xfId="76" applyNumberFormat="1" applyFont="1" applyFill="1" applyBorder="1" applyAlignment="1">
      <alignment horizontal="center" vertical="center" wrapText="1"/>
      <protection/>
    </xf>
    <xf numFmtId="49" fontId="57" fillId="0" borderId="23" xfId="76" applyNumberFormat="1" applyFont="1" applyFill="1" applyBorder="1" applyAlignment="1">
      <alignment horizontal="center" vertical="center" wrapText="1"/>
      <protection/>
    </xf>
    <xf numFmtId="0" fontId="51" fillId="0" borderId="10" xfId="76" applyFont="1" applyFill="1" applyBorder="1" applyAlignment="1">
      <alignment horizontal="center" vertical="center" wrapText="1"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0" fontId="51" fillId="0" borderId="17" xfId="76" applyFont="1" applyFill="1" applyBorder="1" applyAlignment="1">
      <alignment horizontal="center" vertical="center" wrapText="1"/>
      <protection/>
    </xf>
    <xf numFmtId="0" fontId="51" fillId="0" borderId="17" xfId="76" applyFont="1" applyFill="1" applyBorder="1" applyAlignment="1">
      <alignment horizontal="center" vertical="top" wrapText="1"/>
      <protection/>
    </xf>
    <xf numFmtId="0" fontId="51" fillId="0" borderId="12" xfId="76" applyFont="1" applyFill="1" applyBorder="1" applyAlignment="1">
      <alignment horizontal="center" vertical="top" wrapText="1"/>
      <protection/>
    </xf>
    <xf numFmtId="0" fontId="51" fillId="0" borderId="10" xfId="76" applyFont="1" applyFill="1" applyBorder="1" applyAlignment="1">
      <alignment horizontal="center" vertical="top" wrapText="1"/>
      <protection/>
    </xf>
    <xf numFmtId="0" fontId="99" fillId="0" borderId="23" xfId="0" applyFont="1" applyFill="1" applyBorder="1" applyAlignment="1">
      <alignment horizontal="center" vertical="center" wrapText="1"/>
    </xf>
    <xf numFmtId="0" fontId="4" fillId="0" borderId="12" xfId="76" applyFont="1" applyFill="1" applyBorder="1" applyAlignment="1">
      <alignment horizontal="center" vertical="center" wrapText="1"/>
      <protection/>
    </xf>
    <xf numFmtId="3" fontId="4" fillId="0" borderId="12" xfId="76" applyNumberFormat="1" applyFont="1" applyFill="1" applyBorder="1" applyAlignment="1">
      <alignment vertical="center" wrapText="1"/>
      <protection/>
    </xf>
    <xf numFmtId="3" fontId="51" fillId="0" borderId="12" xfId="76" applyNumberFormat="1" applyFont="1" applyFill="1" applyBorder="1" applyAlignment="1">
      <alignment vertical="center" wrapText="1"/>
      <protection/>
    </xf>
    <xf numFmtId="0" fontId="51" fillId="0" borderId="21" xfId="76" applyFont="1" applyFill="1" applyBorder="1" applyAlignment="1">
      <alignment horizontal="center" vertical="top" wrapText="1"/>
      <protection/>
    </xf>
    <xf numFmtId="0" fontId="51" fillId="0" borderId="22" xfId="76" applyFont="1" applyFill="1" applyBorder="1" applyAlignment="1">
      <alignment horizontal="center" vertical="top" wrapText="1"/>
      <protection/>
    </xf>
    <xf numFmtId="0" fontId="51" fillId="0" borderId="19" xfId="76" applyFont="1" applyFill="1" applyBorder="1" applyAlignment="1">
      <alignment horizontal="center" vertical="center" wrapText="1"/>
      <protection/>
    </xf>
    <xf numFmtId="49" fontId="57" fillId="0" borderId="16" xfId="76" applyNumberFormat="1" applyFont="1" applyFill="1" applyBorder="1" applyAlignment="1">
      <alignment horizontal="center" vertical="center"/>
      <protection/>
    </xf>
    <xf numFmtId="49" fontId="55" fillId="0" borderId="24" xfId="76" applyNumberFormat="1" applyFont="1" applyFill="1" applyBorder="1" applyAlignment="1">
      <alignment horizontal="left" vertical="center"/>
      <protection/>
    </xf>
    <xf numFmtId="0" fontId="4" fillId="0" borderId="16" xfId="76" applyFont="1" applyFill="1" applyBorder="1" applyAlignment="1">
      <alignment horizontal="center" vertical="center" wrapText="1"/>
      <protection/>
    </xf>
    <xf numFmtId="49" fontId="54" fillId="0" borderId="16" xfId="76" applyNumberFormat="1" applyFont="1" applyFill="1" applyBorder="1" applyAlignment="1">
      <alignment horizontal="center" vertical="center"/>
      <protection/>
    </xf>
    <xf numFmtId="0" fontId="51" fillId="0" borderId="21" xfId="76" applyFont="1" applyFill="1" applyBorder="1" applyAlignment="1">
      <alignment horizontal="center" vertical="center" wrapText="1"/>
      <protection/>
    </xf>
    <xf numFmtId="3" fontId="4" fillId="0" borderId="14" xfId="76" applyNumberFormat="1" applyFont="1" applyFill="1" applyBorder="1" applyAlignment="1">
      <alignment horizontal="center" vertical="center" wrapText="1"/>
      <protection/>
    </xf>
    <xf numFmtId="0" fontId="51" fillId="0" borderId="16" xfId="76" applyFont="1" applyFill="1" applyBorder="1" applyAlignment="1">
      <alignment horizontal="center" vertical="center" wrapText="1"/>
      <protection/>
    </xf>
    <xf numFmtId="3" fontId="4" fillId="0" borderId="10" xfId="76" applyNumberFormat="1" applyFont="1" applyFill="1" applyBorder="1" applyAlignment="1">
      <alignment horizontal="center" vertical="center" wrapText="1"/>
      <protection/>
    </xf>
    <xf numFmtId="0" fontId="4" fillId="0" borderId="23" xfId="76" applyFont="1" applyFill="1" applyBorder="1" applyAlignment="1">
      <alignment horizontal="center" vertical="center" wrapText="1"/>
      <protection/>
    </xf>
    <xf numFmtId="49" fontId="55" fillId="0" borderId="11" xfId="76" applyNumberFormat="1" applyFont="1" applyFill="1" applyBorder="1" applyAlignment="1">
      <alignment horizontal="left" vertical="center"/>
      <protection/>
    </xf>
    <xf numFmtId="49" fontId="4" fillId="0" borderId="11" xfId="76" applyNumberFormat="1" applyFont="1" applyFill="1" applyBorder="1" applyAlignment="1">
      <alignment horizontal="center" vertical="center"/>
      <protection/>
    </xf>
    <xf numFmtId="0" fontId="42" fillId="0" borderId="11" xfId="76" applyFont="1" applyFill="1" applyBorder="1" applyAlignment="1">
      <alignment vertical="center" wrapText="1"/>
      <protection/>
    </xf>
    <xf numFmtId="3" fontId="51" fillId="0" borderId="11" xfId="76" applyNumberFormat="1" applyFont="1" applyFill="1" applyBorder="1" applyAlignment="1">
      <alignment vertical="center" wrapText="1"/>
      <protection/>
    </xf>
    <xf numFmtId="3" fontId="51" fillId="0" borderId="21" xfId="76" applyNumberFormat="1" applyFont="1" applyFill="1" applyBorder="1" applyAlignment="1">
      <alignment vertical="center" wrapText="1"/>
      <protection/>
    </xf>
    <xf numFmtId="0" fontId="50" fillId="0" borderId="19" xfId="76" applyFont="1" applyFill="1" applyBorder="1" applyAlignment="1">
      <alignment horizontal="center" vertical="center" wrapText="1"/>
      <protection/>
    </xf>
    <xf numFmtId="0" fontId="21" fillId="0" borderId="0" xfId="76" applyFont="1" applyFill="1" applyAlignment="1">
      <alignment horizontal="center" vertical="center"/>
      <protection/>
    </xf>
    <xf numFmtId="0" fontId="102" fillId="0" borderId="19" xfId="0" applyFont="1" applyFill="1" applyBorder="1" applyAlignment="1">
      <alignment horizontal="center" vertical="center"/>
    </xf>
    <xf numFmtId="0" fontId="16" fillId="0" borderId="0" xfId="76" applyFont="1" applyFill="1" applyBorder="1" applyAlignment="1">
      <alignment horizontal="center" vertical="center"/>
      <protection/>
    </xf>
    <xf numFmtId="0" fontId="16" fillId="0" borderId="0" xfId="76" applyFont="1" applyFill="1" applyBorder="1" applyAlignment="1">
      <alignment horizontal="center" vertical="center" wrapText="1"/>
      <protection/>
    </xf>
    <xf numFmtId="0" fontId="16" fillId="0" borderId="0" xfId="76" applyFont="1" applyFill="1" applyBorder="1" applyAlignment="1">
      <alignment vertical="center" wrapText="1"/>
      <protection/>
    </xf>
    <xf numFmtId="0" fontId="8" fillId="0" borderId="0" xfId="76" applyFont="1" applyFill="1" applyBorder="1" applyAlignment="1">
      <alignment horizontal="center" vertical="center" wrapText="1"/>
      <protection/>
    </xf>
    <xf numFmtId="0" fontId="38" fillId="0" borderId="0" xfId="76" applyFont="1" applyFill="1" applyBorder="1" applyAlignment="1">
      <alignment vertical="center" wrapText="1"/>
      <protection/>
    </xf>
    <xf numFmtId="3" fontId="16" fillId="0" borderId="0" xfId="76" applyNumberFormat="1" applyFont="1" applyFill="1" applyBorder="1" applyAlignment="1">
      <alignment vertical="center" wrapText="1"/>
      <protection/>
    </xf>
    <xf numFmtId="0" fontId="58" fillId="0" borderId="0" xfId="76" applyFont="1" applyFill="1" applyAlignment="1">
      <alignment horizontal="left"/>
      <protection/>
    </xf>
    <xf numFmtId="0" fontId="58" fillId="0" borderId="0" xfId="76" applyFont="1" applyFill="1" applyAlignment="1">
      <alignment horizontal="center"/>
      <protection/>
    </xf>
    <xf numFmtId="0" fontId="59" fillId="0" borderId="0" xfId="76" applyFont="1" applyFill="1" applyAlignment="1">
      <alignment wrapText="1"/>
      <protection/>
    </xf>
    <xf numFmtId="0" fontId="16" fillId="0" borderId="0" xfId="76" applyFont="1" applyFill="1" applyAlignment="1">
      <alignment wrapText="1"/>
      <protection/>
    </xf>
    <xf numFmtId="0" fontId="8" fillId="0" borderId="0" xfId="76" applyFont="1" applyFill="1" applyAlignment="1">
      <alignment horizontal="center" wrapText="1"/>
      <protection/>
    </xf>
    <xf numFmtId="0" fontId="38" fillId="0" borderId="0" xfId="76" applyFont="1" applyFill="1" applyAlignment="1">
      <alignment wrapText="1"/>
      <protection/>
    </xf>
    <xf numFmtId="3" fontId="16" fillId="0" borderId="0" xfId="76" applyNumberFormat="1" applyFont="1" applyFill="1" applyAlignment="1">
      <alignment wrapText="1"/>
      <protection/>
    </xf>
    <xf numFmtId="0" fontId="59" fillId="0" borderId="0" xfId="76" applyFont="1" applyFill="1" applyAlignment="1">
      <alignment horizontal="left" vertical="center"/>
      <protection/>
    </xf>
    <xf numFmtId="0" fontId="59" fillId="0" borderId="0" xfId="76" applyFont="1" applyFill="1" applyAlignment="1">
      <alignment horizontal="center" vertical="center"/>
      <protection/>
    </xf>
    <xf numFmtId="0" fontId="59" fillId="0" borderId="0" xfId="76" applyFont="1" applyFill="1" applyAlignment="1">
      <alignment vertical="center" wrapText="1"/>
      <protection/>
    </xf>
    <xf numFmtId="0" fontId="16" fillId="0" borderId="0" xfId="76" applyFont="1" applyFill="1" applyAlignment="1">
      <alignment horizontal="center"/>
      <protection/>
    </xf>
    <xf numFmtId="0" fontId="16" fillId="0" borderId="0" xfId="76" applyFont="1" applyFill="1" applyAlignment="1">
      <alignment horizontal="left"/>
      <protection/>
    </xf>
    <xf numFmtId="0" fontId="16" fillId="0" borderId="0" xfId="76" applyFont="1" applyFill="1" applyAlignment="1">
      <alignment horizontal="center" wrapText="1"/>
      <protection/>
    </xf>
    <xf numFmtId="0" fontId="16" fillId="0" borderId="0" xfId="76" applyFont="1" applyFill="1">
      <alignment/>
      <protection/>
    </xf>
    <xf numFmtId="0" fontId="16" fillId="0" borderId="0" xfId="76" applyFont="1" applyFill="1" applyAlignment="1" applyProtection="1">
      <alignment horizontal="center"/>
      <protection/>
    </xf>
    <xf numFmtId="3" fontId="16" fillId="0" borderId="0" xfId="76" applyNumberFormat="1" applyFont="1" applyFill="1" applyAlignment="1" applyProtection="1">
      <alignment horizontal="left" wrapText="1"/>
      <protection/>
    </xf>
    <xf numFmtId="3" fontId="16" fillId="0" borderId="0" xfId="76" applyNumberFormat="1" applyFont="1" applyFill="1" applyAlignment="1" applyProtection="1">
      <alignment/>
      <protection/>
    </xf>
    <xf numFmtId="0" fontId="16" fillId="0" borderId="0" xfId="76" applyFont="1" applyFill="1" applyAlignment="1" applyProtection="1">
      <alignment wrapText="1"/>
      <protection/>
    </xf>
    <xf numFmtId="0" fontId="16" fillId="0" borderId="0" xfId="76" applyFont="1" applyFill="1" applyProtection="1">
      <alignment/>
      <protection/>
    </xf>
    <xf numFmtId="3" fontId="16" fillId="0" borderId="0" xfId="76" applyNumberFormat="1" applyFont="1" applyFill="1" applyAlignment="1">
      <alignment horizontal="left" wrapText="1"/>
      <protection/>
    </xf>
    <xf numFmtId="3" fontId="16" fillId="0" borderId="0" xfId="76" applyNumberFormat="1" applyFont="1" applyFill="1" applyAlignment="1">
      <alignment horizontal="center" wrapText="1"/>
      <protection/>
    </xf>
    <xf numFmtId="0" fontId="19" fillId="0" borderId="10" xfId="76" applyFont="1" applyFill="1" applyBorder="1" applyAlignment="1">
      <alignment horizontal="center" vertical="top" wrapText="1"/>
      <protection/>
    </xf>
    <xf numFmtId="0" fontId="19" fillId="0" borderId="0" xfId="76" applyFont="1" applyFill="1" applyAlignment="1">
      <alignment vertical="center" wrapText="1"/>
      <protection/>
    </xf>
    <xf numFmtId="0" fontId="48" fillId="0" borderId="14" xfId="76" applyFont="1" applyFill="1" applyBorder="1" applyAlignment="1">
      <alignment horizontal="center"/>
      <protection/>
    </xf>
    <xf numFmtId="0" fontId="48" fillId="0" borderId="14" xfId="76" applyFont="1" applyFill="1" applyBorder="1" applyAlignment="1">
      <alignment horizontal="center" wrapText="1"/>
      <protection/>
    </xf>
    <xf numFmtId="3" fontId="48" fillId="0" borderId="14" xfId="76" applyNumberFormat="1" applyFont="1" applyFill="1" applyBorder="1" applyAlignment="1">
      <alignment horizontal="center" wrapText="1"/>
      <protection/>
    </xf>
    <xf numFmtId="0" fontId="48" fillId="0" borderId="0" xfId="76" applyFont="1" applyFill="1" applyAlignment="1">
      <alignment horizontal="center" wrapText="1"/>
      <protection/>
    </xf>
    <xf numFmtId="0" fontId="18" fillId="0" borderId="21" xfId="76" applyFont="1" applyFill="1" applyBorder="1" applyAlignment="1">
      <alignment horizontal="center" vertical="center" wrapText="1"/>
      <protection/>
    </xf>
    <xf numFmtId="3" fontId="18" fillId="0" borderId="14" xfId="76" applyNumberFormat="1" applyFont="1" applyFill="1" applyBorder="1" applyAlignment="1">
      <alignment horizontal="right" vertical="center" wrapText="1"/>
      <protection/>
    </xf>
    <xf numFmtId="0" fontId="18" fillId="0" borderId="0" xfId="76" applyFont="1" applyFill="1" applyAlignment="1">
      <alignment horizontal="center" vertical="center"/>
      <protection/>
    </xf>
    <xf numFmtId="0" fontId="18" fillId="0" borderId="14" xfId="76" applyFont="1" applyFill="1" applyBorder="1" applyAlignment="1">
      <alignment horizontal="center" vertical="center" wrapText="1"/>
      <protection/>
    </xf>
    <xf numFmtId="0" fontId="18" fillId="0" borderId="23" xfId="76" applyFont="1" applyFill="1" applyBorder="1" applyAlignment="1">
      <alignment horizontal="center" vertical="center" wrapText="1"/>
      <protection/>
    </xf>
    <xf numFmtId="49" fontId="16" fillId="0" borderId="10" xfId="76" applyNumberFormat="1" applyFont="1" applyFill="1" applyBorder="1" applyAlignment="1">
      <alignment horizontal="center" vertical="top"/>
      <protection/>
    </xf>
    <xf numFmtId="0" fontId="8" fillId="0" borderId="10" xfId="76" applyFont="1" applyFill="1" applyBorder="1" applyAlignment="1">
      <alignment horizontal="center" vertical="center" wrapText="1"/>
      <protection/>
    </xf>
    <xf numFmtId="3" fontId="16" fillId="0" borderId="14" xfId="76" applyNumberFormat="1" applyFont="1" applyFill="1" applyBorder="1" applyAlignment="1">
      <alignment horizontal="right" vertical="center"/>
      <protection/>
    </xf>
    <xf numFmtId="3" fontId="16" fillId="0" borderId="14" xfId="76" applyNumberFormat="1" applyFont="1" applyFill="1" applyBorder="1" applyAlignment="1">
      <alignment vertical="center" wrapText="1"/>
      <protection/>
    </xf>
    <xf numFmtId="0" fontId="16" fillId="0" borderId="0" xfId="76" applyFont="1" applyFill="1" applyAlignment="1">
      <alignment vertical="top" wrapText="1"/>
      <protection/>
    </xf>
    <xf numFmtId="49" fontId="16" fillId="0" borderId="17" xfId="76" applyNumberFormat="1" applyFont="1" applyFill="1" applyBorder="1" applyAlignment="1">
      <alignment horizontal="center" vertical="top"/>
      <protection/>
    </xf>
    <xf numFmtId="0" fontId="8" fillId="0" borderId="14" xfId="76" applyFont="1" applyFill="1" applyBorder="1" applyAlignment="1">
      <alignment horizontal="center" vertical="center" wrapText="1"/>
      <protection/>
    </xf>
    <xf numFmtId="49" fontId="16" fillId="0" borderId="12" xfId="76" applyNumberFormat="1" applyFont="1" applyFill="1" applyBorder="1" applyAlignment="1">
      <alignment horizontal="center" vertical="top"/>
      <protection/>
    </xf>
    <xf numFmtId="0" fontId="16" fillId="0" borderId="10" xfId="82" applyNumberFormat="1" applyFont="1" applyFill="1" applyBorder="1" applyAlignment="1">
      <alignment horizontal="center" vertical="top"/>
    </xf>
    <xf numFmtId="1" fontId="16" fillId="0" borderId="17" xfId="82" applyNumberFormat="1" applyFont="1" applyFill="1" applyBorder="1" applyAlignment="1">
      <alignment horizontal="center" vertical="top"/>
    </xf>
    <xf numFmtId="9" fontId="8" fillId="0" borderId="14" xfId="82" applyFont="1" applyFill="1" applyBorder="1" applyAlignment="1">
      <alignment horizontal="center" vertical="center" wrapText="1"/>
    </xf>
    <xf numFmtId="3" fontId="16" fillId="0" borderId="14" xfId="82" applyNumberFormat="1" applyFont="1" applyFill="1" applyBorder="1" applyAlignment="1">
      <alignment horizontal="right" vertical="center"/>
    </xf>
    <xf numFmtId="3" fontId="16" fillId="0" borderId="14" xfId="82" applyNumberFormat="1" applyFont="1" applyFill="1" applyBorder="1" applyAlignment="1">
      <alignment vertical="center" wrapText="1"/>
    </xf>
    <xf numFmtId="9" fontId="16" fillId="0" borderId="0" xfId="82" applyFont="1" applyFill="1" applyAlignment="1">
      <alignment vertical="top" wrapText="1"/>
    </xf>
    <xf numFmtId="9" fontId="16" fillId="0" borderId="0" xfId="82" applyFont="1" applyFill="1" applyAlignment="1">
      <alignment vertical="top"/>
    </xf>
    <xf numFmtId="9" fontId="16" fillId="0" borderId="17" xfId="82" applyFont="1" applyFill="1" applyBorder="1" applyAlignment="1">
      <alignment horizontal="center" vertical="top"/>
    </xf>
    <xf numFmtId="3" fontId="16" fillId="0" borderId="0" xfId="76" applyNumberFormat="1" applyFont="1" applyFill="1" applyAlignment="1">
      <alignment vertical="center" wrapText="1"/>
      <protection/>
    </xf>
    <xf numFmtId="0" fontId="59" fillId="0" borderId="0" xfId="76" applyFont="1" applyFill="1">
      <alignment/>
      <protection/>
    </xf>
    <xf numFmtId="0" fontId="59" fillId="0" borderId="0" xfId="76" applyFont="1" applyFill="1" applyAlignment="1">
      <alignment vertical="center"/>
      <protection/>
    </xf>
    <xf numFmtId="0" fontId="30" fillId="0" borderId="0" xfId="76" applyFont="1" applyFill="1">
      <alignment/>
      <protection/>
    </xf>
    <xf numFmtId="0" fontId="19" fillId="0" borderId="0" xfId="76" applyFont="1" applyFill="1">
      <alignment/>
      <protection/>
    </xf>
    <xf numFmtId="0" fontId="8" fillId="0" borderId="0" xfId="57" applyFont="1" applyFill="1" applyAlignment="1">
      <alignment horizontal="center"/>
      <protection/>
    </xf>
    <xf numFmtId="0" fontId="8" fillId="0" borderId="0" xfId="57" applyFont="1" applyFill="1" applyAlignment="1">
      <alignment horizontal="center" wrapText="1"/>
      <protection/>
    </xf>
    <xf numFmtId="0" fontId="8" fillId="0" borderId="0" xfId="57" applyFont="1" applyFill="1" applyAlignment="1">
      <alignment horizontal="center" vertical="center" wrapText="1"/>
      <protection/>
    </xf>
    <xf numFmtId="0" fontId="8" fillId="0" borderId="0" xfId="57" applyFont="1" applyFill="1" applyAlignment="1">
      <alignment/>
      <protection/>
    </xf>
    <xf numFmtId="0" fontId="2" fillId="0" borderId="0" xfId="57" applyFill="1">
      <alignment/>
      <protection/>
    </xf>
    <xf numFmtId="0" fontId="8" fillId="0" borderId="0" xfId="57" applyFont="1" applyFill="1" applyAlignment="1">
      <alignment horizontal="left"/>
      <protection/>
    </xf>
    <xf numFmtId="0" fontId="8" fillId="0" borderId="0" xfId="57" applyFont="1" applyFill="1">
      <alignment/>
      <protection/>
    </xf>
    <xf numFmtId="0" fontId="8" fillId="0" borderId="0" xfId="69" applyFont="1" applyFill="1" applyAlignment="1">
      <alignment horizontal="center"/>
      <protection/>
    </xf>
    <xf numFmtId="0" fontId="8" fillId="0" borderId="0" xfId="69" applyFont="1" applyFill="1" applyAlignment="1">
      <alignment horizontal="center" wrapText="1"/>
      <protection/>
    </xf>
    <xf numFmtId="0" fontId="8" fillId="0" borderId="0" xfId="69" applyFont="1" applyFill="1" applyAlignment="1">
      <alignment horizontal="center" vertical="center" wrapText="1"/>
      <protection/>
    </xf>
    <xf numFmtId="0" fontId="8" fillId="0" borderId="0" xfId="69" applyFont="1" applyFill="1">
      <alignment/>
      <protection/>
    </xf>
    <xf numFmtId="0" fontId="6" fillId="0" borderId="0" xfId="69" applyFill="1">
      <alignment/>
      <protection/>
    </xf>
    <xf numFmtId="0" fontId="9" fillId="0" borderId="14" xfId="69" applyFont="1" applyFill="1" applyBorder="1" applyAlignment="1">
      <alignment horizontal="center" vertical="top" wrapText="1"/>
      <protection/>
    </xf>
    <xf numFmtId="0" fontId="6" fillId="0" borderId="0" xfId="69" applyFill="1" applyAlignment="1">
      <alignment horizontal="center" vertical="top" wrapText="1"/>
      <protection/>
    </xf>
    <xf numFmtId="0" fontId="26" fillId="0" borderId="14" xfId="69" applyFont="1" applyFill="1" applyBorder="1" applyAlignment="1">
      <alignment horizontal="center" wrapText="1"/>
      <protection/>
    </xf>
    <xf numFmtId="0" fontId="60" fillId="0" borderId="0" xfId="69" applyFont="1" applyFill="1" applyAlignment="1">
      <alignment horizontal="center"/>
      <protection/>
    </xf>
    <xf numFmtId="0" fontId="61" fillId="0" borderId="16" xfId="69" applyFont="1" applyFill="1" applyBorder="1" applyAlignment="1">
      <alignment horizontal="center" vertical="center" wrapText="1"/>
      <protection/>
    </xf>
    <xf numFmtId="3" fontId="38" fillId="0" borderId="14" xfId="69" applyNumberFormat="1" applyFont="1" applyFill="1" applyBorder="1" applyAlignment="1">
      <alignment vertical="center"/>
      <protection/>
    </xf>
    <xf numFmtId="3" fontId="38" fillId="0" borderId="14" xfId="69" applyNumberFormat="1" applyFont="1" applyBorder="1" applyAlignment="1">
      <alignment vertical="center"/>
      <protection/>
    </xf>
    <xf numFmtId="0" fontId="62" fillId="0" borderId="0" xfId="69" applyFont="1" applyFill="1" applyAlignment="1">
      <alignment vertical="center"/>
      <protection/>
    </xf>
    <xf numFmtId="0" fontId="38" fillId="0" borderId="17" xfId="69" applyFont="1" applyFill="1" applyBorder="1" applyAlignment="1">
      <alignment horizontal="center" vertical="top"/>
      <protection/>
    </xf>
    <xf numFmtId="0" fontId="38" fillId="0" borderId="18" xfId="69" applyFont="1" applyFill="1" applyBorder="1" applyAlignment="1">
      <alignment horizontal="left" vertical="top" wrapText="1"/>
      <protection/>
    </xf>
    <xf numFmtId="0" fontId="38" fillId="0" borderId="12" xfId="69" applyFont="1" applyFill="1" applyBorder="1" applyAlignment="1">
      <alignment horizontal="center" vertical="top"/>
      <protection/>
    </xf>
    <xf numFmtId="0" fontId="26" fillId="0" borderId="16" xfId="69" applyFont="1" applyFill="1" applyBorder="1" applyAlignment="1">
      <alignment horizontal="center" vertical="center" wrapText="1"/>
      <protection/>
    </xf>
    <xf numFmtId="3" fontId="26" fillId="0" borderId="14" xfId="69" applyNumberFormat="1" applyFont="1" applyFill="1" applyBorder="1" applyAlignment="1">
      <alignment vertical="center"/>
      <protection/>
    </xf>
    <xf numFmtId="0" fontId="63" fillId="0" borderId="0" xfId="69" applyFont="1" applyFill="1" applyAlignment="1">
      <alignment vertical="center"/>
      <protection/>
    </xf>
    <xf numFmtId="0" fontId="8" fillId="0" borderId="17" xfId="69" applyFont="1" applyFill="1" applyBorder="1" applyAlignment="1">
      <alignment horizontal="left" vertical="top" wrapText="1"/>
      <protection/>
    </xf>
    <xf numFmtId="0" fontId="8" fillId="0" borderId="18" xfId="69" applyFont="1" applyFill="1" applyBorder="1" applyAlignment="1">
      <alignment horizontal="left" vertical="top" wrapText="1"/>
      <protection/>
    </xf>
    <xf numFmtId="0" fontId="10" fillId="0" borderId="16" xfId="69" applyFont="1" applyFill="1" applyBorder="1" applyAlignment="1">
      <alignment horizontal="center" vertical="center" wrapText="1"/>
      <protection/>
    </xf>
    <xf numFmtId="0" fontId="62" fillId="0" borderId="0" xfId="69" applyFont="1" applyFill="1" applyAlignment="1">
      <alignment/>
      <protection/>
    </xf>
    <xf numFmtId="0" fontId="62" fillId="0" borderId="0" xfId="69" applyFont="1" applyFill="1">
      <alignment/>
      <protection/>
    </xf>
    <xf numFmtId="0" fontId="8" fillId="0" borderId="14" xfId="69" applyFont="1" applyFill="1" applyBorder="1" applyAlignment="1">
      <alignment horizontal="center" vertical="center" wrapText="1"/>
      <protection/>
    </xf>
    <xf numFmtId="0" fontId="9" fillId="0" borderId="16" xfId="57" applyFont="1" applyFill="1" applyBorder="1" applyAlignment="1">
      <alignment horizontal="center" vertical="center" wrapText="1"/>
      <protection/>
    </xf>
    <xf numFmtId="3" fontId="11" fillId="0" borderId="14" xfId="57" applyNumberFormat="1" applyFont="1" applyFill="1" applyBorder="1" applyAlignment="1">
      <alignment vertical="center"/>
      <protection/>
    </xf>
    <xf numFmtId="0" fontId="64" fillId="0" borderId="0" xfId="57" applyFont="1" applyFill="1" applyAlignment="1">
      <alignment vertical="center"/>
      <protection/>
    </xf>
    <xf numFmtId="0" fontId="8" fillId="0" borderId="0" xfId="58" applyFont="1" applyFill="1" applyBorder="1" applyAlignment="1">
      <alignment horizontal="center" vertical="center" wrapText="1"/>
      <protection/>
    </xf>
    <xf numFmtId="0" fontId="8" fillId="0" borderId="0" xfId="68" applyFont="1" applyFill="1" applyAlignment="1">
      <alignment horizontal="left" vertical="center"/>
      <protection/>
    </xf>
    <xf numFmtId="0" fontId="8" fillId="0" borderId="0" xfId="58" applyFont="1" applyFill="1" applyBorder="1" applyAlignment="1">
      <alignment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6" fillId="0" borderId="0" xfId="57" applyFont="1" applyFill="1">
      <alignment/>
      <protection/>
    </xf>
    <xf numFmtId="49" fontId="8" fillId="0" borderId="10" xfId="72" applyNumberFormat="1" applyFont="1" applyFill="1" applyBorder="1" applyAlignment="1">
      <alignment horizontal="center" vertical="center"/>
      <protection/>
    </xf>
    <xf numFmtId="49" fontId="8" fillId="0" borderId="17" xfId="72" applyNumberFormat="1" applyFont="1" applyFill="1" applyBorder="1" applyAlignment="1">
      <alignment horizontal="center" vertical="center"/>
      <protection/>
    </xf>
    <xf numFmtId="49" fontId="8" fillId="0" borderId="12" xfId="72" applyNumberFormat="1" applyFont="1" applyFill="1" applyBorder="1" applyAlignment="1">
      <alignment horizontal="center" vertical="center"/>
      <protection/>
    </xf>
    <xf numFmtId="49" fontId="8" fillId="0" borderId="10" xfId="72" applyNumberFormat="1" applyFont="1" applyFill="1" applyBorder="1" applyAlignment="1">
      <alignment horizontal="left" vertical="center" wrapText="1"/>
      <protection/>
    </xf>
    <xf numFmtId="49" fontId="8" fillId="0" borderId="17" xfId="72" applyNumberFormat="1" applyFont="1" applyFill="1" applyBorder="1" applyAlignment="1">
      <alignment horizontal="left" vertical="center" wrapText="1"/>
      <protection/>
    </xf>
    <xf numFmtId="49" fontId="8" fillId="0" borderId="12" xfId="72" applyNumberFormat="1" applyFont="1" applyFill="1" applyBorder="1" applyAlignment="1">
      <alignment horizontal="left" vertical="center" wrapText="1"/>
      <protection/>
    </xf>
    <xf numFmtId="49" fontId="29" fillId="35" borderId="24" xfId="72" applyNumberFormat="1" applyFont="1" applyFill="1" applyBorder="1" applyAlignment="1">
      <alignment horizontal="center" vertical="center"/>
      <protection/>
    </xf>
    <xf numFmtId="49" fontId="29" fillId="35" borderId="21" xfId="72" applyNumberFormat="1" applyFont="1" applyFill="1" applyBorder="1" applyAlignment="1">
      <alignment horizontal="center" vertical="center"/>
      <protection/>
    </xf>
    <xf numFmtId="49" fontId="29" fillId="35" borderId="18" xfId="72" applyNumberFormat="1" applyFont="1" applyFill="1" applyBorder="1" applyAlignment="1">
      <alignment horizontal="center" vertical="center"/>
      <protection/>
    </xf>
    <xf numFmtId="49" fontId="29" fillId="35" borderId="22" xfId="72" applyNumberFormat="1" applyFont="1" applyFill="1" applyBorder="1" applyAlignment="1">
      <alignment horizontal="center" vertical="center"/>
      <protection/>
    </xf>
    <xf numFmtId="49" fontId="29" fillId="35" borderId="20" xfId="72" applyNumberFormat="1" applyFont="1" applyFill="1" applyBorder="1" applyAlignment="1">
      <alignment horizontal="center" vertical="center"/>
      <protection/>
    </xf>
    <xf numFmtId="49" fontId="29" fillId="35" borderId="23" xfId="72" applyNumberFormat="1" applyFont="1" applyFill="1" applyBorder="1" applyAlignment="1">
      <alignment horizontal="center" vertical="center"/>
      <protection/>
    </xf>
    <xf numFmtId="49" fontId="8" fillId="0" borderId="10" xfId="72" applyNumberFormat="1" applyFont="1" applyFill="1" applyBorder="1" applyAlignment="1">
      <alignment horizontal="center" vertical="center" wrapText="1"/>
      <protection/>
    </xf>
    <xf numFmtId="49" fontId="8" fillId="0" borderId="17" xfId="72" applyNumberFormat="1" applyFont="1" applyFill="1" applyBorder="1" applyAlignment="1">
      <alignment horizontal="center" vertical="center" wrapText="1"/>
      <protection/>
    </xf>
    <xf numFmtId="49" fontId="8" fillId="0" borderId="12" xfId="72" applyNumberFormat="1" applyFont="1" applyFill="1" applyBorder="1" applyAlignment="1">
      <alignment horizontal="center" vertical="center" wrapText="1"/>
      <protection/>
    </xf>
    <xf numFmtId="49" fontId="9" fillId="35" borderId="24" xfId="72" applyNumberFormat="1" applyFont="1" applyFill="1" applyBorder="1" applyAlignment="1">
      <alignment horizontal="center" vertical="center" wrapText="1"/>
      <protection/>
    </xf>
    <xf numFmtId="49" fontId="9" fillId="35" borderId="18" xfId="72" applyNumberFormat="1" applyFont="1" applyFill="1" applyBorder="1" applyAlignment="1">
      <alignment horizontal="center" vertical="center" wrapText="1"/>
      <protection/>
    </xf>
    <xf numFmtId="49" fontId="9" fillId="35" borderId="20" xfId="72" applyNumberFormat="1" applyFont="1" applyFill="1" applyBorder="1" applyAlignment="1">
      <alignment horizontal="center" vertical="center" wrapText="1"/>
      <protection/>
    </xf>
    <xf numFmtId="3" fontId="11" fillId="35" borderId="21" xfId="72" applyNumberFormat="1" applyFont="1" applyFill="1" applyBorder="1" applyAlignment="1">
      <alignment horizontal="left" vertical="center" wrapText="1"/>
      <protection/>
    </xf>
    <xf numFmtId="3" fontId="11" fillId="35" borderId="22" xfId="72" applyNumberFormat="1" applyFont="1" applyFill="1" applyBorder="1" applyAlignment="1">
      <alignment horizontal="left" vertical="center" wrapText="1"/>
      <protection/>
    </xf>
    <xf numFmtId="3" fontId="11" fillId="35" borderId="23" xfId="72" applyNumberFormat="1" applyFont="1" applyFill="1" applyBorder="1" applyAlignment="1">
      <alignment horizontal="left" vertical="center" wrapText="1"/>
      <protection/>
    </xf>
    <xf numFmtId="49" fontId="8" fillId="0" borderId="14" xfId="72" applyNumberFormat="1" applyFont="1" applyFill="1" applyBorder="1" applyAlignment="1">
      <alignment horizontal="center" vertical="center" wrapText="1"/>
      <protection/>
    </xf>
    <xf numFmtId="3" fontId="8" fillId="0" borderId="14" xfId="72" applyNumberFormat="1" applyFont="1" applyFill="1" applyBorder="1" applyAlignment="1">
      <alignment horizontal="left" vertical="center" wrapText="1"/>
      <protection/>
    </xf>
    <xf numFmtId="3" fontId="8" fillId="0" borderId="10" xfId="72" applyNumberFormat="1" applyFont="1" applyFill="1" applyBorder="1" applyAlignment="1">
      <alignment horizontal="left" vertical="center" wrapText="1"/>
      <protection/>
    </xf>
    <xf numFmtId="3" fontId="8" fillId="0" borderId="17" xfId="72" applyNumberFormat="1" applyFont="1" applyFill="1" applyBorder="1" applyAlignment="1">
      <alignment horizontal="left" vertical="center" wrapText="1"/>
      <protection/>
    </xf>
    <xf numFmtId="3" fontId="8" fillId="0" borderId="12" xfId="72" applyNumberFormat="1" applyFont="1" applyFill="1" applyBorder="1" applyAlignment="1">
      <alignment horizontal="left" vertical="center" wrapText="1"/>
      <protection/>
    </xf>
    <xf numFmtId="2" fontId="9" fillId="0" borderId="10" xfId="72" applyNumberFormat="1" applyFont="1" applyFill="1" applyBorder="1" applyAlignment="1">
      <alignment horizontal="center" vertical="center" wrapText="1"/>
      <protection/>
    </xf>
    <xf numFmtId="2" fontId="9" fillId="0" borderId="12" xfId="72" applyNumberFormat="1" applyFont="1" applyFill="1" applyBorder="1" applyAlignment="1">
      <alignment horizontal="center" vertical="center" wrapText="1"/>
      <protection/>
    </xf>
    <xf numFmtId="2" fontId="9" fillId="0" borderId="24" xfId="72" applyNumberFormat="1" applyFont="1" applyFill="1" applyBorder="1" applyAlignment="1">
      <alignment horizontal="center" vertical="center" wrapText="1"/>
      <protection/>
    </xf>
    <xf numFmtId="2" fontId="9" fillId="0" borderId="20" xfId="72" applyNumberFormat="1" applyFont="1" applyFill="1" applyBorder="1" applyAlignment="1">
      <alignment horizontal="center" vertical="center" wrapText="1"/>
      <protection/>
    </xf>
    <xf numFmtId="3" fontId="11" fillId="35" borderId="11" xfId="72" applyNumberFormat="1" applyFont="1" applyFill="1" applyBorder="1" applyAlignment="1">
      <alignment horizontal="center" vertical="center" wrapText="1"/>
      <protection/>
    </xf>
    <xf numFmtId="3" fontId="11" fillId="35" borderId="0" xfId="72" applyNumberFormat="1" applyFont="1" applyFill="1" applyBorder="1" applyAlignment="1">
      <alignment horizontal="center" vertical="center" wrapText="1"/>
      <protection/>
    </xf>
    <xf numFmtId="3" fontId="11" fillId="35" borderId="13" xfId="72" applyNumberFormat="1" applyFont="1" applyFill="1" applyBorder="1" applyAlignment="1">
      <alignment horizontal="center" vertical="center" wrapText="1"/>
      <protection/>
    </xf>
    <xf numFmtId="2" fontId="9" fillId="0" borderId="10" xfId="72" applyNumberFormat="1" applyFont="1" applyFill="1" applyBorder="1" applyAlignment="1">
      <alignment horizontal="center" vertical="center" wrapText="1"/>
      <protection/>
    </xf>
    <xf numFmtId="2" fontId="9" fillId="0" borderId="24" xfId="72" applyNumberFormat="1" applyFont="1" applyFill="1" applyBorder="1" applyAlignment="1">
      <alignment horizontal="center" vertical="center" wrapText="1"/>
      <protection/>
    </xf>
    <xf numFmtId="2" fontId="9" fillId="0" borderId="21" xfId="72" applyNumberFormat="1" applyFont="1" applyFill="1" applyBorder="1" applyAlignment="1">
      <alignment horizontal="center" vertical="center" wrapText="1"/>
      <protection/>
    </xf>
    <xf numFmtId="49" fontId="24" fillId="0" borderId="0" xfId="72" applyNumberFormat="1" applyFont="1" applyFill="1" applyAlignment="1">
      <alignment horizontal="center" vertical="center"/>
      <protection/>
    </xf>
    <xf numFmtId="0" fontId="8" fillId="0" borderId="0" xfId="72" applyNumberFormat="1" applyFont="1" applyFill="1" applyAlignment="1">
      <alignment horizontal="left" vertical="center" wrapText="1"/>
      <protection/>
    </xf>
    <xf numFmtId="49" fontId="9" fillId="0" borderId="10" xfId="72" applyNumberFormat="1" applyFont="1" applyFill="1" applyBorder="1" applyAlignment="1">
      <alignment horizontal="center" vertical="center" wrapText="1"/>
      <protection/>
    </xf>
    <xf numFmtId="49" fontId="9" fillId="0" borderId="17" xfId="72" applyNumberFormat="1" applyFont="1" applyFill="1" applyBorder="1" applyAlignment="1">
      <alignment horizontal="center" vertical="center" wrapText="1"/>
      <protection/>
    </xf>
    <xf numFmtId="49" fontId="9" fillId="0" borderId="12" xfId="72" applyNumberFormat="1" applyFont="1" applyFill="1" applyBorder="1" applyAlignment="1">
      <alignment horizontal="center" vertical="center" wrapText="1"/>
      <protection/>
    </xf>
    <xf numFmtId="49" fontId="9" fillId="0" borderId="24" xfId="72" applyNumberFormat="1" applyFont="1" applyFill="1" applyBorder="1" applyAlignment="1">
      <alignment horizontal="center" vertical="center" wrapText="1"/>
      <protection/>
    </xf>
    <xf numFmtId="49" fontId="9" fillId="0" borderId="18" xfId="72" applyNumberFormat="1" applyFont="1" applyFill="1" applyBorder="1" applyAlignment="1">
      <alignment horizontal="center" vertical="center" wrapText="1"/>
      <protection/>
    </xf>
    <xf numFmtId="49" fontId="9" fillId="0" borderId="20" xfId="72" applyNumberFormat="1" applyFont="1" applyFill="1" applyBorder="1" applyAlignment="1">
      <alignment horizontal="center" vertical="center" wrapText="1"/>
      <protection/>
    </xf>
    <xf numFmtId="2" fontId="9" fillId="0" borderId="17" xfId="72" applyNumberFormat="1" applyFont="1" applyFill="1" applyBorder="1" applyAlignment="1">
      <alignment horizontal="center" vertical="center" wrapText="1"/>
      <protection/>
    </xf>
    <xf numFmtId="2" fontId="9" fillId="0" borderId="12" xfId="72" applyNumberFormat="1" applyFont="1" applyFill="1" applyBorder="1" applyAlignment="1">
      <alignment horizontal="center" vertical="center" wrapText="1"/>
      <protection/>
    </xf>
    <xf numFmtId="2" fontId="9" fillId="0" borderId="18" xfId="72" applyNumberFormat="1" applyFont="1" applyFill="1" applyBorder="1" applyAlignment="1">
      <alignment horizontal="center" vertical="center" wrapText="1"/>
      <protection/>
    </xf>
    <xf numFmtId="2" fontId="9" fillId="0" borderId="17" xfId="72" applyNumberFormat="1" applyFont="1" applyFill="1" applyBorder="1" applyAlignment="1">
      <alignment horizontal="center" vertical="center" wrapText="1"/>
      <protection/>
    </xf>
    <xf numFmtId="2" fontId="9" fillId="0" borderId="11" xfId="72" applyNumberFormat="1" applyFont="1" applyFill="1" applyBorder="1" applyAlignment="1">
      <alignment horizontal="center" vertical="center" wrapText="1"/>
      <protection/>
    </xf>
    <xf numFmtId="2" fontId="9" fillId="0" borderId="21" xfId="72" applyNumberFormat="1" applyFont="1" applyFill="1" applyBorder="1" applyAlignment="1">
      <alignment horizontal="center" vertical="center" wrapText="1"/>
      <protection/>
    </xf>
    <xf numFmtId="2" fontId="9" fillId="0" borderId="19" xfId="72" applyNumberFormat="1" applyFont="1" applyFill="1" applyBorder="1" applyAlignment="1">
      <alignment horizontal="center" vertical="center" wrapText="1"/>
      <protection/>
    </xf>
    <xf numFmtId="2" fontId="9" fillId="0" borderId="15" xfId="72" applyNumberFormat="1" applyFont="1" applyFill="1" applyBorder="1" applyAlignment="1">
      <alignment horizontal="center" vertical="center" wrapText="1"/>
      <protection/>
    </xf>
    <xf numFmtId="2" fontId="9" fillId="0" borderId="16" xfId="72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justify" wrapText="1"/>
    </xf>
    <xf numFmtId="1" fontId="4" fillId="0" borderId="10" xfId="0" applyNumberFormat="1" applyFont="1" applyBorder="1" applyAlignment="1">
      <alignment horizontal="center" vertical="top"/>
    </xf>
    <xf numFmtId="1" fontId="4" fillId="0" borderId="17" xfId="0" applyNumberFormat="1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left" vertical="top" wrapText="1"/>
    </xf>
    <xf numFmtId="4" fontId="4" fillId="0" borderId="17" xfId="0" applyNumberFormat="1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left" vertical="top" wrapText="1"/>
    </xf>
    <xf numFmtId="1" fontId="15" fillId="0" borderId="10" xfId="0" applyNumberFormat="1" applyFont="1" applyBorder="1" applyAlignment="1">
      <alignment horizontal="center" vertical="center"/>
    </xf>
    <xf numFmtId="1" fontId="15" fillId="0" borderId="17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left" vertical="center" wrapText="1"/>
    </xf>
    <xf numFmtId="4" fontId="15" fillId="0" borderId="17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top"/>
    </xf>
    <xf numFmtId="1" fontId="4" fillId="0" borderId="17" xfId="0" applyNumberFormat="1" applyFont="1" applyFill="1" applyBorder="1" applyAlignment="1">
      <alignment horizontal="center" vertical="top"/>
    </xf>
    <xf numFmtId="1" fontId="4" fillId="0" borderId="12" xfId="0" applyNumberFormat="1" applyFont="1" applyFill="1" applyBorder="1" applyAlignment="1">
      <alignment horizontal="center" vertical="top"/>
    </xf>
    <xf numFmtId="1" fontId="15" fillId="0" borderId="10" xfId="0" applyNumberFormat="1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7" xfId="0" applyNumberFormat="1" applyFont="1" applyFill="1" applyBorder="1" applyAlignment="1">
      <alignment horizontal="center" vertical="top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 wrapText="1"/>
    </xf>
    <xf numFmtId="4" fontId="4" fillId="0" borderId="17" xfId="0" applyNumberFormat="1" applyFont="1" applyFill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left" vertical="top" wrapText="1"/>
    </xf>
    <xf numFmtId="4" fontId="15" fillId="0" borderId="10" xfId="0" applyNumberFormat="1" applyFont="1" applyFill="1" applyBorder="1" applyAlignment="1">
      <alignment horizontal="center" vertical="center"/>
    </xf>
    <xf numFmtId="4" fontId="15" fillId="0" borderId="17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justify" wrapText="1"/>
    </xf>
    <xf numFmtId="0" fontId="12" fillId="0" borderId="14" xfId="0" applyFont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/>
    </xf>
    <xf numFmtId="4" fontId="14" fillId="33" borderId="17" xfId="0" applyNumberFormat="1" applyFont="1" applyFill="1" applyBorder="1" applyAlignment="1">
      <alignment horizontal="center" vertical="center"/>
    </xf>
    <xf numFmtId="4" fontId="14" fillId="33" borderId="12" xfId="0" applyNumberFormat="1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left" vertical="center" wrapText="1"/>
    </xf>
    <xf numFmtId="4" fontId="14" fillId="33" borderId="17" xfId="0" applyNumberFormat="1" applyFont="1" applyFill="1" applyBorder="1" applyAlignment="1">
      <alignment horizontal="left" vertical="center" wrapText="1"/>
    </xf>
    <xf numFmtId="4" fontId="14" fillId="33" borderId="12" xfId="0" applyNumberFormat="1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left" wrapText="1"/>
    </xf>
    <xf numFmtId="0" fontId="12" fillId="0" borderId="10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1" fontId="14" fillId="33" borderId="14" xfId="0" applyNumberFormat="1" applyFont="1" applyFill="1" applyBorder="1" applyAlignment="1">
      <alignment horizontal="center"/>
    </xf>
    <xf numFmtId="4" fontId="14" fillId="33" borderId="14" xfId="0" applyNumberFormat="1" applyFont="1" applyFill="1" applyBorder="1" applyAlignment="1">
      <alignment horizontal="left" vertical="center"/>
    </xf>
    <xf numFmtId="0" fontId="9" fillId="0" borderId="1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3" fontId="9" fillId="0" borderId="12" xfId="0" applyNumberFormat="1" applyFont="1" applyBorder="1" applyAlignment="1">
      <alignment horizontal="center" vertical="top" wrapText="1"/>
    </xf>
    <xf numFmtId="3" fontId="9" fillId="0" borderId="21" xfId="0" applyNumberFormat="1" applyFont="1" applyBorder="1" applyAlignment="1">
      <alignment horizontal="center" vertical="top" wrapText="1"/>
    </xf>
    <xf numFmtId="3" fontId="9" fillId="0" borderId="23" xfId="0" applyNumberFormat="1" applyFont="1" applyBorder="1" applyAlignment="1">
      <alignment horizontal="center" vertical="top" wrapText="1"/>
    </xf>
    <xf numFmtId="0" fontId="16" fillId="0" borderId="18" xfId="77" applyFont="1" applyFill="1" applyBorder="1" applyAlignment="1">
      <alignment horizontal="center" wrapText="1"/>
      <protection/>
    </xf>
    <xf numFmtId="0" fontId="16" fillId="0" borderId="0" xfId="77" applyFont="1" applyFill="1" applyBorder="1" applyAlignment="1">
      <alignment horizontal="center" wrapText="1"/>
      <protection/>
    </xf>
    <xf numFmtId="0" fontId="16" fillId="0" borderId="22" xfId="77" applyFont="1" applyFill="1" applyBorder="1" applyAlignment="1">
      <alignment horizontal="center" wrapText="1"/>
      <protection/>
    </xf>
    <xf numFmtId="0" fontId="19" fillId="0" borderId="20" xfId="77" applyFont="1" applyFill="1" applyBorder="1" applyAlignment="1">
      <alignment horizontal="center" wrapText="1"/>
      <protection/>
    </xf>
    <xf numFmtId="0" fontId="19" fillId="0" borderId="13" xfId="77" applyFont="1" applyFill="1" applyBorder="1" applyAlignment="1">
      <alignment horizontal="center" wrapText="1"/>
      <protection/>
    </xf>
    <xf numFmtId="0" fontId="19" fillId="0" borderId="23" xfId="77" applyFont="1" applyFill="1" applyBorder="1" applyAlignment="1">
      <alignment horizontal="center" wrapText="1"/>
      <protection/>
    </xf>
    <xf numFmtId="0" fontId="19" fillId="0" borderId="18" xfId="77" applyFont="1" applyFill="1" applyBorder="1" applyAlignment="1">
      <alignment horizontal="center" wrapText="1"/>
      <protection/>
    </xf>
    <xf numFmtId="0" fontId="19" fillId="0" borderId="0" xfId="77" applyFont="1" applyFill="1" applyBorder="1" applyAlignment="1">
      <alignment horizontal="center" wrapText="1"/>
      <protection/>
    </xf>
    <xf numFmtId="0" fontId="19" fillId="0" borderId="22" xfId="77" applyFont="1" applyFill="1" applyBorder="1" applyAlignment="1">
      <alignment horizontal="center" wrapText="1"/>
      <protection/>
    </xf>
    <xf numFmtId="0" fontId="34" fillId="0" borderId="18" xfId="77" applyFont="1" applyFill="1" applyBorder="1" applyAlignment="1">
      <alignment horizontal="left" wrapText="1"/>
      <protection/>
    </xf>
    <xf numFmtId="0" fontId="34" fillId="0" borderId="0" xfId="77" applyFont="1" applyFill="1" applyBorder="1" applyAlignment="1">
      <alignment horizontal="left" wrapText="1"/>
      <protection/>
    </xf>
    <xf numFmtId="0" fontId="34" fillId="0" borderId="22" xfId="77" applyFont="1" applyFill="1" applyBorder="1" applyAlignment="1">
      <alignment horizontal="left" wrapText="1"/>
      <protection/>
    </xf>
    <xf numFmtId="0" fontId="32" fillId="0" borderId="18" xfId="77" applyFont="1" applyFill="1" applyBorder="1" applyAlignment="1">
      <alignment horizontal="center" wrapText="1"/>
      <protection/>
    </xf>
    <xf numFmtId="0" fontId="32" fillId="0" borderId="0" xfId="77" applyFont="1" applyFill="1" applyBorder="1" applyAlignment="1">
      <alignment horizontal="center" wrapText="1"/>
      <protection/>
    </xf>
    <xf numFmtId="0" fontId="32" fillId="0" borderId="22" xfId="77" applyFont="1" applyFill="1" applyBorder="1" applyAlignment="1">
      <alignment horizontal="center" wrapText="1"/>
      <protection/>
    </xf>
    <xf numFmtId="0" fontId="16" fillId="0" borderId="0" xfId="74" applyFont="1" applyAlignment="1">
      <alignment horizontal="left" vertical="center" wrapText="1"/>
      <protection/>
    </xf>
    <xf numFmtId="0" fontId="16" fillId="0" borderId="0" xfId="73" applyFont="1" applyFill="1" applyAlignment="1">
      <alignment horizontal="left" wrapText="1"/>
      <protection/>
    </xf>
    <xf numFmtId="0" fontId="19" fillId="0" borderId="14" xfId="77" applyFont="1" applyFill="1" applyBorder="1" applyAlignment="1">
      <alignment horizontal="center" vertical="center" wrapText="1"/>
      <protection/>
    </xf>
    <xf numFmtId="0" fontId="19" fillId="0" borderId="14" xfId="77" applyFont="1" applyBorder="1" applyAlignment="1">
      <alignment horizontal="center" vertical="center" wrapText="1"/>
      <protection/>
    </xf>
    <xf numFmtId="0" fontId="19" fillId="0" borderId="16" xfId="77" applyFont="1" applyBorder="1" applyAlignment="1">
      <alignment horizontal="center" vertical="center" wrapText="1"/>
      <protection/>
    </xf>
    <xf numFmtId="3" fontId="15" fillId="2" borderId="14" xfId="67" applyNumberFormat="1" applyFont="1" applyFill="1" applyBorder="1" applyAlignment="1">
      <alignment horizontal="right" vertical="center"/>
      <protection/>
    </xf>
    <xf numFmtId="0" fontId="46" fillId="0" borderId="14" xfId="71" applyFont="1" applyFill="1" applyBorder="1" applyAlignment="1">
      <alignment horizontal="center" vertical="center" wrapText="1"/>
      <protection/>
    </xf>
    <xf numFmtId="3" fontId="42" fillId="0" borderId="14" xfId="67" applyNumberFormat="1" applyFont="1" applyFill="1" applyBorder="1" applyAlignment="1">
      <alignment horizontal="right" vertical="center"/>
      <protection/>
    </xf>
    <xf numFmtId="0" fontId="18" fillId="0" borderId="14" xfId="71" applyFont="1" applyFill="1" applyBorder="1" applyAlignment="1">
      <alignment horizontal="center" vertical="center" wrapText="1"/>
      <protection/>
    </xf>
    <xf numFmtId="3" fontId="42" fillId="2" borderId="14" xfId="67" applyNumberFormat="1" applyFont="1" applyFill="1" applyBorder="1" applyAlignment="1">
      <alignment horizontal="right" vertical="center"/>
      <protection/>
    </xf>
    <xf numFmtId="0" fontId="16" fillId="0" borderId="14" xfId="71" applyFont="1" applyFill="1" applyBorder="1" applyAlignment="1">
      <alignment horizontal="center" vertical="center" wrapText="1"/>
      <protection/>
    </xf>
    <xf numFmtId="0" fontId="16" fillId="0" borderId="14" xfId="71" applyFont="1" applyFill="1" applyBorder="1" applyAlignment="1">
      <alignment horizontal="center" vertical="center"/>
      <protection/>
    </xf>
    <xf numFmtId="0" fontId="44" fillId="0" borderId="14" xfId="71" applyFont="1" applyFill="1" applyBorder="1" applyAlignment="1">
      <alignment horizontal="center" vertical="center"/>
      <protection/>
    </xf>
    <xf numFmtId="49" fontId="16" fillId="0" borderId="14" xfId="71" applyNumberFormat="1" applyFont="1" applyFill="1" applyBorder="1" applyAlignment="1">
      <alignment horizontal="center" vertical="center"/>
      <protection/>
    </xf>
    <xf numFmtId="0" fontId="44" fillId="0" borderId="14" xfId="71" applyFont="1" applyFill="1" applyBorder="1" applyAlignment="1">
      <alignment horizontal="left" vertical="center" wrapText="1"/>
      <protection/>
    </xf>
    <xf numFmtId="0" fontId="16" fillId="0" borderId="10" xfId="71" applyFont="1" applyFill="1" applyBorder="1" applyAlignment="1">
      <alignment horizontal="center" vertical="center" wrapText="1"/>
      <protection/>
    </xf>
    <xf numFmtId="0" fontId="16" fillId="0" borderId="17" xfId="71" applyFont="1" applyFill="1" applyBorder="1" applyAlignment="1">
      <alignment horizontal="center" vertical="center" wrapText="1"/>
      <protection/>
    </xf>
    <xf numFmtId="0" fontId="16" fillId="0" borderId="12" xfId="71" applyFont="1" applyFill="1" applyBorder="1" applyAlignment="1">
      <alignment horizontal="center" vertical="center" wrapText="1"/>
      <protection/>
    </xf>
    <xf numFmtId="0" fontId="16" fillId="0" borderId="10" xfId="71" applyFont="1" applyFill="1" applyBorder="1" applyAlignment="1">
      <alignment horizontal="center" vertical="center"/>
      <protection/>
    </xf>
    <xf numFmtId="0" fontId="16" fillId="0" borderId="17" xfId="71" applyFont="1" applyFill="1" applyBorder="1" applyAlignment="1">
      <alignment horizontal="center" vertical="center"/>
      <protection/>
    </xf>
    <xf numFmtId="0" fontId="16" fillId="0" borderId="12" xfId="71" applyFont="1" applyFill="1" applyBorder="1" applyAlignment="1">
      <alignment horizontal="center" vertical="center"/>
      <protection/>
    </xf>
    <xf numFmtId="0" fontId="44" fillId="0" borderId="10" xfId="71" applyFont="1" applyFill="1" applyBorder="1" applyAlignment="1">
      <alignment horizontal="center" vertical="center"/>
      <protection/>
    </xf>
    <xf numFmtId="0" fontId="44" fillId="0" borderId="17" xfId="71" applyFont="1" applyFill="1" applyBorder="1" applyAlignment="1">
      <alignment horizontal="center" vertical="center"/>
      <protection/>
    </xf>
    <xf numFmtId="0" fontId="44" fillId="0" borderId="12" xfId="71" applyFont="1" applyFill="1" applyBorder="1" applyAlignment="1">
      <alignment horizontal="center" vertical="center"/>
      <protection/>
    </xf>
    <xf numFmtId="49" fontId="16" fillId="0" borderId="10" xfId="71" applyNumberFormat="1" applyFont="1" applyFill="1" applyBorder="1" applyAlignment="1">
      <alignment horizontal="center" vertical="center"/>
      <protection/>
    </xf>
    <xf numFmtId="49" fontId="16" fillId="0" borderId="17" xfId="71" applyNumberFormat="1" applyFont="1" applyFill="1" applyBorder="1" applyAlignment="1">
      <alignment horizontal="center" vertical="center"/>
      <protection/>
    </xf>
    <xf numFmtId="49" fontId="16" fillId="0" borderId="12" xfId="71" applyNumberFormat="1" applyFont="1" applyFill="1" applyBorder="1" applyAlignment="1">
      <alignment horizontal="center" vertical="center"/>
      <protection/>
    </xf>
    <xf numFmtId="0" fontId="44" fillId="0" borderId="10" xfId="71" applyFont="1" applyFill="1" applyBorder="1" applyAlignment="1">
      <alignment horizontal="left" vertical="center" wrapText="1"/>
      <protection/>
    </xf>
    <xf numFmtId="0" fontId="44" fillId="0" borderId="17" xfId="71" applyFont="1" applyFill="1" applyBorder="1" applyAlignment="1">
      <alignment horizontal="left" vertical="center" wrapText="1"/>
      <protection/>
    </xf>
    <xf numFmtId="0" fontId="44" fillId="0" borderId="12" xfId="71" applyFont="1" applyFill="1" applyBorder="1" applyAlignment="1">
      <alignment horizontal="left" vertical="center" wrapText="1"/>
      <protection/>
    </xf>
    <xf numFmtId="49" fontId="16" fillId="0" borderId="10" xfId="71" applyNumberFormat="1" applyFont="1" applyFill="1" applyBorder="1" applyAlignment="1">
      <alignment horizontal="center" vertical="center" wrapText="1"/>
      <protection/>
    </xf>
    <xf numFmtId="49" fontId="16" fillId="0" borderId="17" xfId="71" applyNumberFormat="1" applyFont="1" applyFill="1" applyBorder="1" applyAlignment="1">
      <alignment horizontal="center" vertical="center" wrapText="1"/>
      <protection/>
    </xf>
    <xf numFmtId="49" fontId="16" fillId="0" borderId="12" xfId="71" applyNumberFormat="1" applyFont="1" applyFill="1" applyBorder="1" applyAlignment="1">
      <alignment horizontal="center" vertical="center" wrapText="1"/>
      <protection/>
    </xf>
    <xf numFmtId="0" fontId="24" fillId="2" borderId="19" xfId="71" applyFont="1" applyFill="1" applyBorder="1" applyAlignment="1">
      <alignment horizontal="center" vertical="center"/>
      <protection/>
    </xf>
    <xf numFmtId="0" fontId="24" fillId="2" borderId="15" xfId="71" applyFont="1" applyFill="1" applyBorder="1" applyAlignment="1">
      <alignment horizontal="center" vertical="center"/>
      <protection/>
    </xf>
    <xf numFmtId="0" fontId="24" fillId="2" borderId="16" xfId="71" applyFont="1" applyFill="1" applyBorder="1" applyAlignment="1">
      <alignment horizontal="center" vertical="center"/>
      <protection/>
    </xf>
    <xf numFmtId="0" fontId="29" fillId="0" borderId="14" xfId="71" applyFont="1" applyFill="1" applyBorder="1" applyAlignment="1">
      <alignment horizontal="center" vertical="center" wrapText="1"/>
      <protection/>
    </xf>
    <xf numFmtId="0" fontId="23" fillId="0" borderId="14" xfId="70" applyBorder="1" applyAlignment="1">
      <alignment horizontal="center"/>
      <protection/>
    </xf>
    <xf numFmtId="0" fontId="16" fillId="0" borderId="10" xfId="71" applyFont="1" applyFill="1" applyBorder="1" applyAlignment="1">
      <alignment horizontal="left" vertical="center" wrapText="1"/>
      <protection/>
    </xf>
    <xf numFmtId="0" fontId="16" fillId="0" borderId="17" xfId="71" applyFont="1" applyFill="1" applyBorder="1" applyAlignment="1">
      <alignment horizontal="left" vertical="center" wrapText="1"/>
      <protection/>
    </xf>
    <xf numFmtId="0" fontId="16" fillId="0" borderId="12" xfId="71" applyFont="1" applyFill="1" applyBorder="1" applyAlignment="1">
      <alignment horizontal="left" vertical="center" wrapText="1"/>
      <protection/>
    </xf>
    <xf numFmtId="0" fontId="16" fillId="0" borderId="14" xfId="71" applyFont="1" applyFill="1" applyBorder="1" applyAlignment="1">
      <alignment horizontal="left" vertical="center" wrapText="1"/>
      <protection/>
    </xf>
    <xf numFmtId="0" fontId="44" fillId="0" borderId="14" xfId="71" applyFont="1" applyFill="1" applyBorder="1" applyAlignment="1">
      <alignment horizontal="center" vertical="center" wrapText="1"/>
      <protection/>
    </xf>
    <xf numFmtId="0" fontId="16" fillId="34" borderId="14" xfId="71" applyFont="1" applyFill="1" applyBorder="1" applyAlignment="1">
      <alignment horizontal="center" vertical="center" wrapText="1"/>
      <protection/>
    </xf>
    <xf numFmtId="0" fontId="24" fillId="0" borderId="14" xfId="71" applyFont="1" applyFill="1" applyBorder="1" applyAlignment="1">
      <alignment horizontal="center"/>
      <protection/>
    </xf>
    <xf numFmtId="0" fontId="40" fillId="0" borderId="14" xfId="71" applyFont="1" applyFill="1" applyBorder="1" applyAlignment="1">
      <alignment horizontal="center" vertical="center"/>
      <protection/>
    </xf>
    <xf numFmtId="0" fontId="19" fillId="0" borderId="14" xfId="71" applyFont="1" applyFill="1" applyBorder="1" applyAlignment="1">
      <alignment horizontal="center" vertical="center" wrapText="1"/>
      <protection/>
    </xf>
    <xf numFmtId="0" fontId="19" fillId="0" borderId="14" xfId="71" applyFont="1" applyFill="1" applyBorder="1" applyAlignment="1">
      <alignment horizontal="center" vertical="center"/>
      <protection/>
    </xf>
    <xf numFmtId="0" fontId="41" fillId="0" borderId="14" xfId="71" applyFont="1" applyFill="1" applyBorder="1" applyAlignment="1">
      <alignment horizontal="center"/>
      <protection/>
    </xf>
    <xf numFmtId="0" fontId="24" fillId="38" borderId="14" xfId="71" applyFont="1" applyFill="1" applyBorder="1" applyAlignment="1">
      <alignment horizontal="center"/>
      <protection/>
    </xf>
    <xf numFmtId="0" fontId="40" fillId="0" borderId="14" xfId="71" applyFont="1" applyFill="1" applyBorder="1" applyAlignment="1">
      <alignment horizontal="center" vertical="center"/>
      <protection/>
    </xf>
    <xf numFmtId="0" fontId="18" fillId="0" borderId="14" xfId="71" applyFont="1" applyFill="1" applyBorder="1" applyAlignment="1">
      <alignment horizontal="center" vertical="center"/>
      <protection/>
    </xf>
    <xf numFmtId="0" fontId="36" fillId="0" borderId="0" xfId="71" applyNumberFormat="1" applyFont="1" applyFill="1" applyAlignment="1">
      <alignment horizontal="left" vertical="center" wrapText="1"/>
      <protection/>
    </xf>
    <xf numFmtId="0" fontId="19" fillId="0" borderId="10" xfId="71" applyFont="1" applyFill="1" applyBorder="1" applyAlignment="1">
      <alignment horizontal="center" vertical="center"/>
      <protection/>
    </xf>
    <xf numFmtId="0" fontId="19" fillId="0" borderId="17" xfId="71" applyFont="1" applyFill="1" applyBorder="1" applyAlignment="1">
      <alignment horizontal="center" vertical="center"/>
      <protection/>
    </xf>
    <xf numFmtId="0" fontId="19" fillId="0" borderId="12" xfId="71" applyFont="1" applyFill="1" applyBorder="1" applyAlignment="1">
      <alignment horizontal="center" vertical="center"/>
      <protection/>
    </xf>
    <xf numFmtId="0" fontId="39" fillId="0" borderId="10" xfId="71" applyFont="1" applyFill="1" applyBorder="1" applyAlignment="1">
      <alignment horizontal="center" vertical="center" wrapText="1"/>
      <protection/>
    </xf>
    <xf numFmtId="0" fontId="39" fillId="0" borderId="17" xfId="71" applyFont="1" applyFill="1" applyBorder="1" applyAlignment="1">
      <alignment horizontal="center" vertical="center" wrapText="1"/>
      <protection/>
    </xf>
    <xf numFmtId="0" fontId="39" fillId="0" borderId="12" xfId="71" applyFont="1" applyFill="1" applyBorder="1" applyAlignment="1">
      <alignment horizontal="center" vertical="center" wrapText="1"/>
      <protection/>
    </xf>
    <xf numFmtId="0" fontId="40" fillId="0" borderId="10" xfId="71" applyFont="1" applyFill="1" applyBorder="1" applyAlignment="1">
      <alignment horizontal="center" vertical="center" wrapText="1"/>
      <protection/>
    </xf>
    <xf numFmtId="0" fontId="40" fillId="0" borderId="17" xfId="71" applyFont="1" applyFill="1" applyBorder="1" applyAlignment="1">
      <alignment horizontal="center" vertical="center" wrapText="1"/>
      <protection/>
    </xf>
    <xf numFmtId="0" fontId="40" fillId="0" borderId="12" xfId="71" applyFont="1" applyFill="1" applyBorder="1" applyAlignment="1">
      <alignment horizontal="center" vertical="center" wrapText="1"/>
      <protection/>
    </xf>
    <xf numFmtId="0" fontId="40" fillId="0" borderId="14" xfId="71" applyFont="1" applyFill="1" applyBorder="1" applyAlignment="1">
      <alignment horizontal="center" vertical="center" wrapText="1"/>
      <protection/>
    </xf>
    <xf numFmtId="0" fontId="39" fillId="0" borderId="14" xfId="71" applyFont="1" applyFill="1" applyBorder="1" applyAlignment="1">
      <alignment horizontal="center" vertical="center" wrapText="1"/>
      <protection/>
    </xf>
    <xf numFmtId="3" fontId="15" fillId="7" borderId="14" xfId="67" applyNumberFormat="1" applyFont="1" applyFill="1" applyBorder="1" applyAlignment="1">
      <alignment horizontal="right" vertical="center"/>
      <protection/>
    </xf>
    <xf numFmtId="0" fontId="17" fillId="0" borderId="24" xfId="71" applyFont="1" applyFill="1" applyBorder="1" applyAlignment="1">
      <alignment horizontal="center" vertical="center" wrapText="1"/>
      <protection/>
    </xf>
    <xf numFmtId="0" fontId="17" fillId="0" borderId="11" xfId="71" applyFont="1" applyFill="1" applyBorder="1" applyAlignment="1">
      <alignment horizontal="center" vertical="center" wrapText="1"/>
      <protection/>
    </xf>
    <xf numFmtId="0" fontId="17" fillId="0" borderId="21" xfId="71" applyFont="1" applyFill="1" applyBorder="1" applyAlignment="1">
      <alignment horizontal="center" vertical="center" wrapText="1"/>
      <protection/>
    </xf>
    <xf numFmtId="0" fontId="17" fillId="0" borderId="18" xfId="71" applyFont="1" applyFill="1" applyBorder="1" applyAlignment="1">
      <alignment horizontal="center" vertical="center" wrapText="1"/>
      <protection/>
    </xf>
    <xf numFmtId="0" fontId="17" fillId="0" borderId="0" xfId="71" applyFont="1" applyFill="1" applyBorder="1" applyAlignment="1">
      <alignment horizontal="center" vertical="center" wrapText="1"/>
      <protection/>
    </xf>
    <xf numFmtId="0" fontId="17" fillId="0" borderId="22" xfId="71" applyFont="1" applyFill="1" applyBorder="1" applyAlignment="1">
      <alignment horizontal="center" vertical="center" wrapText="1"/>
      <protection/>
    </xf>
    <xf numFmtId="0" fontId="17" fillId="0" borderId="20" xfId="71" applyFont="1" applyFill="1" applyBorder="1" applyAlignment="1">
      <alignment horizontal="center" vertical="center" wrapText="1"/>
      <protection/>
    </xf>
    <xf numFmtId="0" fontId="17" fillId="0" borderId="13" xfId="71" applyFont="1" applyFill="1" applyBorder="1" applyAlignment="1">
      <alignment horizontal="center" vertical="center" wrapText="1"/>
      <protection/>
    </xf>
    <xf numFmtId="0" fontId="17" fillId="0" borderId="23" xfId="71" applyFont="1" applyFill="1" applyBorder="1" applyAlignment="1">
      <alignment horizontal="center" vertical="center" wrapText="1"/>
      <protection/>
    </xf>
    <xf numFmtId="3" fontId="42" fillId="7" borderId="14" xfId="67" applyNumberFormat="1" applyFont="1" applyFill="1" applyBorder="1" applyAlignment="1">
      <alignment horizontal="right" vertical="center"/>
      <protection/>
    </xf>
    <xf numFmtId="0" fontId="8" fillId="0" borderId="10" xfId="75" applyFont="1" applyFill="1" applyBorder="1" applyAlignment="1">
      <alignment horizontal="left" vertical="center" wrapText="1"/>
      <protection/>
    </xf>
    <xf numFmtId="0" fontId="8" fillId="0" borderId="17" xfId="75" applyFont="1" applyFill="1" applyBorder="1" applyAlignment="1">
      <alignment horizontal="left" vertical="center" wrapText="1"/>
      <protection/>
    </xf>
    <xf numFmtId="0" fontId="8" fillId="0" borderId="12" xfId="75" applyFont="1" applyFill="1" applyBorder="1" applyAlignment="1">
      <alignment horizontal="left" vertical="center" wrapText="1"/>
      <protection/>
    </xf>
    <xf numFmtId="49" fontId="16" fillId="0" borderId="14" xfId="71" applyNumberFormat="1" applyFont="1" applyFill="1" applyBorder="1" applyAlignment="1">
      <alignment horizontal="center" vertical="center" wrapText="1"/>
      <protection/>
    </xf>
    <xf numFmtId="0" fontId="16" fillId="34" borderId="14" xfId="71" applyFont="1" applyFill="1" applyBorder="1" applyAlignment="1">
      <alignment horizontal="center" vertical="center"/>
      <protection/>
    </xf>
    <xf numFmtId="0" fontId="8" fillId="0" borderId="10" xfId="75" applyFont="1" applyBorder="1" applyAlignment="1">
      <alignment horizontal="left" vertical="center" wrapText="1"/>
      <protection/>
    </xf>
    <xf numFmtId="0" fontId="8" fillId="0" borderId="17" xfId="75" applyFont="1" applyBorder="1" applyAlignment="1">
      <alignment horizontal="left" vertical="center" wrapText="1"/>
      <protection/>
    </xf>
    <xf numFmtId="0" fontId="8" fillId="0" borderId="12" xfId="75" applyFont="1" applyBorder="1" applyAlignment="1">
      <alignment horizontal="left" vertical="center" wrapText="1"/>
      <protection/>
    </xf>
    <xf numFmtId="0" fontId="8" fillId="0" borderId="14" xfId="75" applyFont="1" applyBorder="1" applyAlignment="1">
      <alignment horizontal="left" vertical="center" wrapText="1"/>
      <protection/>
    </xf>
    <xf numFmtId="0" fontId="35" fillId="0" borderId="0" xfId="71" applyFont="1" applyFill="1" applyAlignment="1">
      <alignment horizontal="left"/>
      <protection/>
    </xf>
    <xf numFmtId="0" fontId="37" fillId="0" borderId="0" xfId="71" applyNumberFormat="1" applyFont="1" applyFill="1" applyAlignment="1">
      <alignment horizontal="left" wrapText="1"/>
      <protection/>
    </xf>
    <xf numFmtId="0" fontId="16" fillId="0" borderId="10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wrapText="1"/>
    </xf>
    <xf numFmtId="0" fontId="18" fillId="0" borderId="14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3" fontId="18" fillId="0" borderId="17" xfId="0" applyNumberFormat="1" applyFont="1" applyFill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17" xfId="0" applyNumberFormat="1" applyFont="1" applyFill="1" applyBorder="1" applyAlignment="1">
      <alignment horizontal="center" vertical="center"/>
    </xf>
    <xf numFmtId="3" fontId="19" fillId="0" borderId="12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left" vertical="center" wrapText="1"/>
      <protection/>
    </xf>
    <xf numFmtId="0" fontId="16" fillId="0" borderId="17" xfId="0" applyFont="1" applyFill="1" applyBorder="1" applyAlignment="1" applyProtection="1">
      <alignment horizontal="left" vertical="center" wrapText="1"/>
      <protection/>
    </xf>
    <xf numFmtId="0" fontId="16" fillId="0" borderId="12" xfId="0" applyFont="1" applyFill="1" applyBorder="1" applyAlignment="1" applyProtection="1">
      <alignment horizontal="left" vertical="center" wrapText="1"/>
      <protection/>
    </xf>
    <xf numFmtId="3" fontId="16" fillId="0" borderId="1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/>
    </xf>
    <xf numFmtId="3" fontId="19" fillId="0" borderId="14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21" fillId="0" borderId="24" xfId="76" applyFont="1" applyFill="1" applyBorder="1" applyAlignment="1">
      <alignment horizontal="left" vertical="center" wrapText="1"/>
      <protection/>
    </xf>
    <xf numFmtId="0" fontId="21" fillId="0" borderId="11" xfId="76" applyFont="1" applyFill="1" applyBorder="1" applyAlignment="1">
      <alignment horizontal="left" vertical="center" wrapText="1"/>
      <protection/>
    </xf>
    <xf numFmtId="0" fontId="21" fillId="0" borderId="21" xfId="76" applyFont="1" applyFill="1" applyBorder="1" applyAlignment="1">
      <alignment horizontal="left" vertical="center" wrapText="1"/>
      <protection/>
    </xf>
    <xf numFmtId="0" fontId="21" fillId="0" borderId="18" xfId="76" applyFont="1" applyFill="1" applyBorder="1" applyAlignment="1">
      <alignment horizontal="left" vertical="center" wrapText="1"/>
      <protection/>
    </xf>
    <xf numFmtId="0" fontId="21" fillId="0" borderId="0" xfId="76" applyFont="1" applyFill="1" applyBorder="1" applyAlignment="1">
      <alignment horizontal="left" vertical="center" wrapText="1"/>
      <protection/>
    </xf>
    <xf numFmtId="0" fontId="21" fillId="0" borderId="22" xfId="76" applyFont="1" applyFill="1" applyBorder="1" applyAlignment="1">
      <alignment horizontal="left" vertical="center" wrapText="1"/>
      <protection/>
    </xf>
    <xf numFmtId="0" fontId="21" fillId="0" borderId="20" xfId="76" applyFont="1" applyFill="1" applyBorder="1" applyAlignment="1">
      <alignment horizontal="left" vertical="center" wrapText="1"/>
      <protection/>
    </xf>
    <xf numFmtId="0" fontId="21" fillId="0" borderId="13" xfId="76" applyFont="1" applyFill="1" applyBorder="1" applyAlignment="1">
      <alignment horizontal="left" vertical="center" wrapText="1"/>
      <protection/>
    </xf>
    <xf numFmtId="0" fontId="21" fillId="0" borderId="23" xfId="76" applyFont="1" applyFill="1" applyBorder="1" applyAlignment="1">
      <alignment horizontal="left" vertical="center" wrapText="1"/>
      <protection/>
    </xf>
    <xf numFmtId="49" fontId="51" fillId="0" borderId="24" xfId="76" applyNumberFormat="1" applyFont="1" applyFill="1" applyBorder="1" applyAlignment="1">
      <alignment horizontal="center" vertical="top"/>
      <protection/>
    </xf>
    <xf numFmtId="49" fontId="51" fillId="0" borderId="11" xfId="76" applyNumberFormat="1" applyFont="1" applyFill="1" applyBorder="1" applyAlignment="1">
      <alignment horizontal="center" vertical="top"/>
      <protection/>
    </xf>
    <xf numFmtId="49" fontId="51" fillId="0" borderId="24" xfId="76" applyNumberFormat="1" applyFont="1" applyFill="1" applyBorder="1" applyAlignment="1">
      <alignment horizontal="center" vertical="top"/>
      <protection/>
    </xf>
    <xf numFmtId="49" fontId="51" fillId="0" borderId="21" xfId="76" applyNumberFormat="1" applyFont="1" applyFill="1" applyBorder="1" applyAlignment="1">
      <alignment horizontal="center" vertical="top"/>
      <protection/>
    </xf>
    <xf numFmtId="0" fontId="51" fillId="0" borderId="24" xfId="76" applyFont="1" applyFill="1" applyBorder="1" applyAlignment="1">
      <alignment horizontal="left" vertical="top" wrapText="1"/>
      <protection/>
    </xf>
    <xf numFmtId="0" fontId="51" fillId="0" borderId="21" xfId="76" applyFont="1" applyFill="1" applyBorder="1" applyAlignment="1">
      <alignment horizontal="left" vertical="top" wrapText="1"/>
      <protection/>
    </xf>
    <xf numFmtId="0" fontId="51" fillId="0" borderId="18" xfId="76" applyFont="1" applyFill="1" applyBorder="1" applyAlignment="1">
      <alignment horizontal="left" vertical="top" wrapText="1"/>
      <protection/>
    </xf>
    <xf numFmtId="0" fontId="51" fillId="0" borderId="22" xfId="76" applyFont="1" applyFill="1" applyBorder="1" applyAlignment="1">
      <alignment horizontal="left" vertical="top" wrapText="1"/>
      <protection/>
    </xf>
    <xf numFmtId="0" fontId="51" fillId="0" borderId="20" xfId="76" applyFont="1" applyFill="1" applyBorder="1" applyAlignment="1">
      <alignment horizontal="left" vertical="top" wrapText="1"/>
      <protection/>
    </xf>
    <xf numFmtId="0" fontId="51" fillId="0" borderId="23" xfId="76" applyFont="1" applyFill="1" applyBorder="1" applyAlignment="1">
      <alignment horizontal="left" vertical="top" wrapText="1"/>
      <protection/>
    </xf>
    <xf numFmtId="49" fontId="51" fillId="0" borderId="18" xfId="76" applyNumberFormat="1" applyFont="1" applyFill="1" applyBorder="1" applyAlignment="1">
      <alignment horizontal="center" vertical="top"/>
      <protection/>
    </xf>
    <xf numFmtId="49" fontId="51" fillId="0" borderId="22" xfId="76" applyNumberFormat="1" applyFont="1" applyFill="1" applyBorder="1" applyAlignment="1">
      <alignment horizontal="center" vertical="top"/>
      <protection/>
    </xf>
    <xf numFmtId="49" fontId="51" fillId="0" borderId="18" xfId="76" applyNumberFormat="1" applyFont="1" applyFill="1" applyBorder="1" applyAlignment="1">
      <alignment horizontal="center" vertical="top"/>
      <protection/>
    </xf>
    <xf numFmtId="49" fontId="51" fillId="0" borderId="22" xfId="76" applyNumberFormat="1" applyFont="1" applyFill="1" applyBorder="1" applyAlignment="1">
      <alignment horizontal="center" vertical="top"/>
      <protection/>
    </xf>
    <xf numFmtId="49" fontId="51" fillId="0" borderId="18" xfId="76" applyNumberFormat="1" applyFont="1" applyFill="1" applyBorder="1" applyAlignment="1">
      <alignment horizontal="center" vertical="center"/>
      <protection/>
    </xf>
    <xf numFmtId="49" fontId="51" fillId="0" borderId="22" xfId="76" applyNumberFormat="1" applyFont="1" applyFill="1" applyBorder="1" applyAlignment="1">
      <alignment horizontal="center" vertical="center"/>
      <protection/>
    </xf>
    <xf numFmtId="49" fontId="51" fillId="0" borderId="18" xfId="76" applyNumberFormat="1" applyFont="1" applyFill="1" applyBorder="1" applyAlignment="1">
      <alignment horizontal="center" vertical="center"/>
      <protection/>
    </xf>
    <xf numFmtId="49" fontId="51" fillId="0" borderId="22" xfId="76" applyNumberFormat="1" applyFont="1" applyFill="1" applyBorder="1" applyAlignment="1">
      <alignment horizontal="center" vertical="center"/>
      <protection/>
    </xf>
    <xf numFmtId="49" fontId="51" fillId="0" borderId="24" xfId="76" applyNumberFormat="1" applyFont="1" applyFill="1" applyBorder="1" applyAlignment="1">
      <alignment horizontal="center" vertical="center"/>
      <protection/>
    </xf>
    <xf numFmtId="49" fontId="51" fillId="0" borderId="21" xfId="76" applyNumberFormat="1" applyFont="1" applyFill="1" applyBorder="1" applyAlignment="1">
      <alignment horizontal="center" vertical="center"/>
      <protection/>
    </xf>
    <xf numFmtId="49" fontId="51" fillId="0" borderId="24" xfId="76" applyNumberFormat="1" applyFont="1" applyFill="1" applyBorder="1" applyAlignment="1">
      <alignment horizontal="center" vertical="center"/>
      <protection/>
    </xf>
    <xf numFmtId="49" fontId="51" fillId="0" borderId="21" xfId="76" applyNumberFormat="1" applyFont="1" applyFill="1" applyBorder="1" applyAlignment="1">
      <alignment horizontal="center" vertical="center"/>
      <protection/>
    </xf>
    <xf numFmtId="49" fontId="51" fillId="0" borderId="21" xfId="76" applyNumberFormat="1" applyFont="1" applyFill="1" applyBorder="1" applyAlignment="1">
      <alignment horizontal="center" vertical="top"/>
      <protection/>
    </xf>
    <xf numFmtId="49" fontId="51" fillId="0" borderId="20" xfId="76" applyNumberFormat="1" applyFont="1" applyFill="1" applyBorder="1" applyAlignment="1">
      <alignment horizontal="center" vertical="center"/>
      <protection/>
    </xf>
    <xf numFmtId="49" fontId="51" fillId="0" borderId="23" xfId="76" applyNumberFormat="1" applyFont="1" applyFill="1" applyBorder="1" applyAlignment="1">
      <alignment horizontal="center" vertical="center"/>
      <protection/>
    </xf>
    <xf numFmtId="49" fontId="51" fillId="0" borderId="20" xfId="76" applyNumberFormat="1" applyFont="1" applyFill="1" applyBorder="1" applyAlignment="1">
      <alignment horizontal="center" vertical="center"/>
      <protection/>
    </xf>
    <xf numFmtId="49" fontId="51" fillId="0" borderId="23" xfId="76" applyNumberFormat="1" applyFont="1" applyFill="1" applyBorder="1" applyAlignment="1">
      <alignment horizontal="center" vertical="center"/>
      <protection/>
    </xf>
    <xf numFmtId="0" fontId="51" fillId="0" borderId="24" xfId="76" applyFont="1" applyFill="1" applyBorder="1" applyAlignment="1">
      <alignment horizontal="left" vertical="top" wrapText="1"/>
      <protection/>
    </xf>
    <xf numFmtId="0" fontId="51" fillId="0" borderId="21" xfId="76" applyFont="1" applyFill="1" applyBorder="1" applyAlignment="1">
      <alignment horizontal="left" vertical="top" wrapText="1"/>
      <protection/>
    </xf>
    <xf numFmtId="0" fontId="51" fillId="0" borderId="18" xfId="76" applyFont="1" applyFill="1" applyBorder="1" applyAlignment="1">
      <alignment horizontal="left" vertical="top" wrapText="1"/>
      <protection/>
    </xf>
    <xf numFmtId="0" fontId="51" fillId="0" borderId="22" xfId="76" applyFont="1" applyFill="1" applyBorder="1" applyAlignment="1">
      <alignment horizontal="left" vertical="top" wrapText="1"/>
      <protection/>
    </xf>
    <xf numFmtId="0" fontId="51" fillId="0" borderId="20" xfId="76" applyFont="1" applyFill="1" applyBorder="1" applyAlignment="1">
      <alignment horizontal="left" vertical="top" wrapText="1"/>
      <protection/>
    </xf>
    <xf numFmtId="0" fontId="51" fillId="0" borderId="23" xfId="76" applyFont="1" applyFill="1" applyBorder="1" applyAlignment="1">
      <alignment horizontal="left" vertical="top" wrapText="1"/>
      <protection/>
    </xf>
    <xf numFmtId="0" fontId="0" fillId="0" borderId="18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52" fillId="0" borderId="24" xfId="76" applyFont="1" applyFill="1" applyBorder="1" applyAlignment="1">
      <alignment horizontal="left" vertical="top" wrapText="1"/>
      <protection/>
    </xf>
    <xf numFmtId="0" fontId="52" fillId="0" borderId="21" xfId="76" applyFont="1" applyFill="1" applyBorder="1" applyAlignment="1">
      <alignment horizontal="left" vertical="top" wrapText="1"/>
      <protection/>
    </xf>
    <xf numFmtId="0" fontId="52" fillId="0" borderId="18" xfId="76" applyFont="1" applyFill="1" applyBorder="1" applyAlignment="1">
      <alignment horizontal="left" vertical="top" wrapText="1"/>
      <protection/>
    </xf>
    <xf numFmtId="0" fontId="52" fillId="0" borderId="22" xfId="76" applyFont="1" applyFill="1" applyBorder="1" applyAlignment="1">
      <alignment horizontal="left" vertical="top" wrapText="1"/>
      <protection/>
    </xf>
    <xf numFmtId="0" fontId="52" fillId="0" borderId="20" xfId="76" applyFont="1" applyFill="1" applyBorder="1" applyAlignment="1">
      <alignment horizontal="left" vertical="top" wrapText="1"/>
      <protection/>
    </xf>
    <xf numFmtId="0" fontId="52" fillId="0" borderId="23" xfId="76" applyFont="1" applyFill="1" applyBorder="1" applyAlignment="1">
      <alignment horizontal="left" vertical="top" wrapText="1"/>
      <protection/>
    </xf>
    <xf numFmtId="49" fontId="53" fillId="0" borderId="24" xfId="76" applyNumberFormat="1" applyFont="1" applyFill="1" applyBorder="1" applyAlignment="1">
      <alignment horizontal="left" vertical="center"/>
      <protection/>
    </xf>
    <xf numFmtId="49" fontId="53" fillId="0" borderId="11" xfId="76" applyNumberFormat="1" applyFont="1" applyFill="1" applyBorder="1" applyAlignment="1">
      <alignment horizontal="left" vertical="center"/>
      <protection/>
    </xf>
    <xf numFmtId="49" fontId="53" fillId="0" borderId="21" xfId="76" applyNumberFormat="1" applyFont="1" applyFill="1" applyBorder="1" applyAlignment="1">
      <alignment horizontal="left" vertical="center"/>
      <protection/>
    </xf>
    <xf numFmtId="49" fontId="53" fillId="0" borderId="18" xfId="76" applyNumberFormat="1" applyFont="1" applyFill="1" applyBorder="1" applyAlignment="1">
      <alignment horizontal="left" vertical="center"/>
      <protection/>
    </xf>
    <xf numFmtId="49" fontId="53" fillId="0" borderId="0" xfId="76" applyNumberFormat="1" applyFont="1" applyFill="1" applyBorder="1" applyAlignment="1">
      <alignment horizontal="left" vertical="center"/>
      <protection/>
    </xf>
    <xf numFmtId="49" fontId="53" fillId="0" borderId="22" xfId="76" applyNumberFormat="1" applyFont="1" applyFill="1" applyBorder="1" applyAlignment="1">
      <alignment horizontal="left" vertical="center"/>
      <protection/>
    </xf>
    <xf numFmtId="49" fontId="53" fillId="0" borderId="20" xfId="76" applyNumberFormat="1" applyFont="1" applyFill="1" applyBorder="1" applyAlignment="1">
      <alignment horizontal="left" vertical="center"/>
      <protection/>
    </xf>
    <xf numFmtId="49" fontId="53" fillId="0" borderId="13" xfId="76" applyNumberFormat="1" applyFont="1" applyFill="1" applyBorder="1" applyAlignment="1">
      <alignment horizontal="left" vertical="center"/>
      <protection/>
    </xf>
    <xf numFmtId="49" fontId="53" fillId="0" borderId="23" xfId="76" applyNumberFormat="1" applyFont="1" applyFill="1" applyBorder="1" applyAlignment="1">
      <alignment horizontal="left" vertical="center"/>
      <protection/>
    </xf>
    <xf numFmtId="49" fontId="56" fillId="0" borderId="24" xfId="76" applyNumberFormat="1" applyFont="1" applyFill="1" applyBorder="1" applyAlignment="1">
      <alignment horizontal="left" vertical="center"/>
      <protection/>
    </xf>
    <xf numFmtId="49" fontId="56" fillId="0" borderId="11" xfId="76" applyNumberFormat="1" applyFont="1" applyFill="1" applyBorder="1" applyAlignment="1">
      <alignment horizontal="left" vertical="center"/>
      <protection/>
    </xf>
    <xf numFmtId="49" fontId="56" fillId="0" borderId="21" xfId="76" applyNumberFormat="1" applyFont="1" applyFill="1" applyBorder="1" applyAlignment="1">
      <alignment horizontal="left" vertical="center"/>
      <protection/>
    </xf>
    <xf numFmtId="49" fontId="56" fillId="0" borderId="18" xfId="76" applyNumberFormat="1" applyFont="1" applyFill="1" applyBorder="1" applyAlignment="1">
      <alignment horizontal="left" vertical="center"/>
      <protection/>
    </xf>
    <xf numFmtId="49" fontId="56" fillId="0" borderId="0" xfId="76" applyNumberFormat="1" applyFont="1" applyFill="1" applyBorder="1" applyAlignment="1">
      <alignment horizontal="left" vertical="center"/>
      <protection/>
    </xf>
    <xf numFmtId="49" fontId="56" fillId="0" borderId="22" xfId="76" applyNumberFormat="1" applyFont="1" applyFill="1" applyBorder="1" applyAlignment="1">
      <alignment horizontal="left" vertical="center"/>
      <protection/>
    </xf>
    <xf numFmtId="49" fontId="56" fillId="0" borderId="20" xfId="76" applyNumberFormat="1" applyFont="1" applyFill="1" applyBorder="1" applyAlignment="1">
      <alignment horizontal="left" vertical="center"/>
      <protection/>
    </xf>
    <xf numFmtId="49" fontId="56" fillId="0" borderId="13" xfId="76" applyNumberFormat="1" applyFont="1" applyFill="1" applyBorder="1" applyAlignment="1">
      <alignment horizontal="left" vertical="center"/>
      <protection/>
    </xf>
    <xf numFmtId="49" fontId="56" fillId="0" borderId="23" xfId="76" applyNumberFormat="1" applyFont="1" applyFill="1" applyBorder="1" applyAlignment="1">
      <alignment horizontal="left" vertical="center"/>
      <protection/>
    </xf>
    <xf numFmtId="49" fontId="51" fillId="0" borderId="11" xfId="76" applyNumberFormat="1" applyFont="1" applyFill="1" applyBorder="1" applyAlignment="1">
      <alignment horizontal="center" vertical="center"/>
      <protection/>
    </xf>
    <xf numFmtId="0" fontId="51" fillId="0" borderId="10" xfId="76" applyFont="1" applyFill="1" applyBorder="1" applyAlignment="1">
      <alignment horizontal="left" vertical="top" wrapText="1"/>
      <protection/>
    </xf>
    <xf numFmtId="0" fontId="51" fillId="0" borderId="17" xfId="76" applyFont="1" applyFill="1" applyBorder="1" applyAlignment="1">
      <alignment horizontal="left" vertical="top" wrapText="1"/>
      <protection/>
    </xf>
    <xf numFmtId="0" fontId="51" fillId="0" borderId="12" xfId="76" applyFont="1" applyFill="1" applyBorder="1" applyAlignment="1">
      <alignment horizontal="left" vertical="top" wrapText="1"/>
      <protection/>
    </xf>
    <xf numFmtId="0" fontId="51" fillId="0" borderId="21" xfId="76" applyFont="1" applyFill="1" applyBorder="1" applyAlignment="1">
      <alignment vertical="top" wrapText="1"/>
      <protection/>
    </xf>
    <xf numFmtId="0" fontId="0" fillId="0" borderId="22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49" fontId="51" fillId="0" borderId="17" xfId="76" applyNumberFormat="1" applyFont="1" applyFill="1" applyBorder="1" applyAlignment="1">
      <alignment horizontal="center" vertical="top"/>
      <protection/>
    </xf>
    <xf numFmtId="0" fontId="0" fillId="0" borderId="17" xfId="0" applyFill="1" applyBorder="1" applyAlignment="1">
      <alignment horizontal="center"/>
    </xf>
    <xf numFmtId="49" fontId="51" fillId="0" borderId="17" xfId="76" applyNumberFormat="1" applyFont="1" applyFill="1" applyBorder="1" applyAlignment="1">
      <alignment horizontal="center" vertical="top"/>
      <protection/>
    </xf>
    <xf numFmtId="49" fontId="51" fillId="0" borderId="20" xfId="76" applyNumberFormat="1" applyFont="1" applyFill="1" applyBorder="1" applyAlignment="1">
      <alignment horizontal="center" vertical="top"/>
      <protection/>
    </xf>
    <xf numFmtId="0" fontId="0" fillId="0" borderId="23" xfId="0" applyFill="1" applyBorder="1" applyAlignment="1">
      <alignment horizontal="center"/>
    </xf>
    <xf numFmtId="49" fontId="51" fillId="0" borderId="20" xfId="76" applyNumberFormat="1" applyFont="1" applyFill="1" applyBorder="1" applyAlignment="1">
      <alignment horizontal="center" vertical="top"/>
      <protection/>
    </xf>
    <xf numFmtId="0" fontId="21" fillId="0" borderId="24" xfId="76" applyFont="1" applyFill="1" applyBorder="1" applyAlignment="1">
      <alignment horizontal="left" vertical="center"/>
      <protection/>
    </xf>
    <xf numFmtId="0" fontId="21" fillId="0" borderId="11" xfId="76" applyFont="1" applyFill="1" applyBorder="1" applyAlignment="1">
      <alignment horizontal="left" vertical="center"/>
      <protection/>
    </xf>
    <xf numFmtId="0" fontId="21" fillId="0" borderId="21" xfId="76" applyFont="1" applyFill="1" applyBorder="1" applyAlignment="1">
      <alignment horizontal="left" vertical="center"/>
      <protection/>
    </xf>
    <xf numFmtId="0" fontId="21" fillId="0" borderId="18" xfId="76" applyFont="1" applyFill="1" applyBorder="1" applyAlignment="1">
      <alignment horizontal="left" vertical="center"/>
      <protection/>
    </xf>
    <xf numFmtId="0" fontId="21" fillId="0" borderId="0" xfId="76" applyFont="1" applyFill="1" applyBorder="1" applyAlignment="1">
      <alignment horizontal="left" vertical="center"/>
      <protection/>
    </xf>
    <xf numFmtId="0" fontId="21" fillId="0" borderId="22" xfId="76" applyFont="1" applyFill="1" applyBorder="1" applyAlignment="1">
      <alignment horizontal="left" vertical="center"/>
      <protection/>
    </xf>
    <xf numFmtId="0" fontId="21" fillId="0" borderId="20" xfId="76" applyFont="1" applyFill="1" applyBorder="1" applyAlignment="1">
      <alignment horizontal="left" vertical="center"/>
      <protection/>
    </xf>
    <xf numFmtId="0" fontId="21" fillId="0" borderId="13" xfId="76" applyFont="1" applyFill="1" applyBorder="1" applyAlignment="1">
      <alignment horizontal="left" vertical="center"/>
      <protection/>
    </xf>
    <xf numFmtId="0" fontId="21" fillId="0" borderId="23" xfId="76" applyFont="1" applyFill="1" applyBorder="1" applyAlignment="1">
      <alignment horizontal="left" vertical="center"/>
      <protection/>
    </xf>
    <xf numFmtId="49" fontId="56" fillId="0" borderId="24" xfId="76" applyNumberFormat="1" applyFont="1" applyFill="1" applyBorder="1" applyAlignment="1">
      <alignment horizontal="left" vertical="center" wrapText="1"/>
      <protection/>
    </xf>
    <xf numFmtId="49" fontId="56" fillId="0" borderId="11" xfId="76" applyNumberFormat="1" applyFont="1" applyFill="1" applyBorder="1" applyAlignment="1">
      <alignment horizontal="left" vertical="center" wrapText="1"/>
      <protection/>
    </xf>
    <xf numFmtId="49" fontId="56" fillId="0" borderId="21" xfId="76" applyNumberFormat="1" applyFont="1" applyFill="1" applyBorder="1" applyAlignment="1">
      <alignment horizontal="left" vertical="center" wrapText="1"/>
      <protection/>
    </xf>
    <xf numFmtId="49" fontId="56" fillId="0" borderId="18" xfId="76" applyNumberFormat="1" applyFont="1" applyFill="1" applyBorder="1" applyAlignment="1">
      <alignment horizontal="left" vertical="center" wrapText="1"/>
      <protection/>
    </xf>
    <xf numFmtId="49" fontId="56" fillId="0" borderId="0" xfId="76" applyNumberFormat="1" applyFont="1" applyFill="1" applyBorder="1" applyAlignment="1">
      <alignment horizontal="left" vertical="center" wrapText="1"/>
      <protection/>
    </xf>
    <xf numFmtId="49" fontId="56" fillId="0" borderId="22" xfId="76" applyNumberFormat="1" applyFont="1" applyFill="1" applyBorder="1" applyAlignment="1">
      <alignment horizontal="left" vertical="center" wrapText="1"/>
      <protection/>
    </xf>
    <xf numFmtId="49" fontId="56" fillId="0" borderId="20" xfId="76" applyNumberFormat="1" applyFont="1" applyFill="1" applyBorder="1" applyAlignment="1">
      <alignment horizontal="left" vertical="center" wrapText="1"/>
      <protection/>
    </xf>
    <xf numFmtId="49" fontId="56" fillId="0" borderId="13" xfId="76" applyNumberFormat="1" applyFont="1" applyFill="1" applyBorder="1" applyAlignment="1">
      <alignment horizontal="left" vertical="center" wrapText="1"/>
      <protection/>
    </xf>
    <xf numFmtId="49" fontId="56" fillId="0" borderId="23" xfId="76" applyNumberFormat="1" applyFont="1" applyFill="1" applyBorder="1" applyAlignment="1">
      <alignment horizontal="left" vertical="center" wrapText="1"/>
      <protection/>
    </xf>
    <xf numFmtId="0" fontId="55" fillId="0" borderId="24" xfId="76" applyFont="1" applyFill="1" applyBorder="1" applyAlignment="1">
      <alignment horizontal="left" vertical="center" wrapText="1"/>
      <protection/>
    </xf>
    <xf numFmtId="0" fontId="55" fillId="0" borderId="11" xfId="76" applyFont="1" applyFill="1" applyBorder="1" applyAlignment="1">
      <alignment horizontal="left" vertical="center" wrapText="1"/>
      <protection/>
    </xf>
    <xf numFmtId="0" fontId="55" fillId="0" borderId="21" xfId="76" applyFont="1" applyFill="1" applyBorder="1" applyAlignment="1">
      <alignment horizontal="left" vertical="center" wrapText="1"/>
      <protection/>
    </xf>
    <xf numFmtId="0" fontId="55" fillId="0" borderId="18" xfId="76" applyFont="1" applyFill="1" applyBorder="1" applyAlignment="1">
      <alignment horizontal="left" vertical="center" wrapText="1"/>
      <protection/>
    </xf>
    <xf numFmtId="0" fontId="55" fillId="0" borderId="0" xfId="76" applyFont="1" applyFill="1" applyBorder="1" applyAlignment="1">
      <alignment horizontal="left" vertical="center" wrapText="1"/>
      <protection/>
    </xf>
    <xf numFmtId="0" fontId="55" fillId="0" borderId="22" xfId="76" applyFont="1" applyFill="1" applyBorder="1" applyAlignment="1">
      <alignment horizontal="left" vertical="center" wrapText="1"/>
      <protection/>
    </xf>
    <xf numFmtId="0" fontId="55" fillId="0" borderId="20" xfId="76" applyFont="1" applyFill="1" applyBorder="1" applyAlignment="1">
      <alignment horizontal="left" vertical="center" wrapText="1"/>
      <protection/>
    </xf>
    <xf numFmtId="0" fontId="55" fillId="0" borderId="13" xfId="76" applyFont="1" applyFill="1" applyBorder="1" applyAlignment="1">
      <alignment horizontal="left" vertical="center" wrapText="1"/>
      <protection/>
    </xf>
    <xf numFmtId="0" fontId="55" fillId="0" borderId="23" xfId="76" applyFont="1" applyFill="1" applyBorder="1" applyAlignment="1">
      <alignment horizontal="left" vertical="center" wrapText="1"/>
      <protection/>
    </xf>
    <xf numFmtId="0" fontId="55" fillId="0" borderId="24" xfId="76" applyFont="1" applyFill="1" applyBorder="1" applyAlignment="1">
      <alignment horizontal="left" vertical="top" wrapText="1"/>
      <protection/>
    </xf>
    <xf numFmtId="0" fontId="55" fillId="0" borderId="11" xfId="76" applyFont="1" applyFill="1" applyBorder="1" applyAlignment="1">
      <alignment horizontal="left" vertical="top" wrapText="1"/>
      <protection/>
    </xf>
    <xf numFmtId="0" fontId="55" fillId="0" borderId="21" xfId="76" applyFont="1" applyFill="1" applyBorder="1" applyAlignment="1">
      <alignment horizontal="left" vertical="top" wrapText="1"/>
      <protection/>
    </xf>
    <xf numFmtId="0" fontId="55" fillId="0" borderId="18" xfId="76" applyFont="1" applyFill="1" applyBorder="1" applyAlignment="1">
      <alignment horizontal="left" vertical="top" wrapText="1"/>
      <protection/>
    </xf>
    <xf numFmtId="0" fontId="55" fillId="0" borderId="0" xfId="76" applyFont="1" applyFill="1" applyBorder="1" applyAlignment="1">
      <alignment horizontal="left" vertical="top" wrapText="1"/>
      <protection/>
    </xf>
    <xf numFmtId="0" fontId="55" fillId="0" borderId="22" xfId="76" applyFont="1" applyFill="1" applyBorder="1" applyAlignment="1">
      <alignment horizontal="left" vertical="top" wrapText="1"/>
      <protection/>
    </xf>
    <xf numFmtId="0" fontId="55" fillId="0" borderId="20" xfId="76" applyFont="1" applyFill="1" applyBorder="1" applyAlignment="1">
      <alignment horizontal="left" vertical="top" wrapText="1"/>
      <protection/>
    </xf>
    <xf numFmtId="0" fontId="55" fillId="0" borderId="13" xfId="76" applyFont="1" applyFill="1" applyBorder="1" applyAlignment="1">
      <alignment horizontal="left" vertical="top" wrapText="1"/>
      <protection/>
    </xf>
    <xf numFmtId="0" fontId="55" fillId="0" borderId="23" xfId="76" applyFont="1" applyFill="1" applyBorder="1" applyAlignment="1">
      <alignment horizontal="left" vertical="top" wrapText="1"/>
      <protection/>
    </xf>
    <xf numFmtId="49" fontId="52" fillId="0" borderId="18" xfId="76" applyNumberFormat="1" applyFont="1" applyFill="1" applyBorder="1" applyAlignment="1">
      <alignment horizontal="center" vertical="center"/>
      <protection/>
    </xf>
    <xf numFmtId="49" fontId="52" fillId="0" borderId="22" xfId="76" applyNumberFormat="1" applyFont="1" applyFill="1" applyBorder="1" applyAlignment="1">
      <alignment horizontal="center" vertical="center"/>
      <protection/>
    </xf>
    <xf numFmtId="49" fontId="52" fillId="0" borderId="18" xfId="76" applyNumberFormat="1" applyFont="1" applyFill="1" applyBorder="1" applyAlignment="1">
      <alignment horizontal="center" vertical="center"/>
      <protection/>
    </xf>
    <xf numFmtId="49" fontId="52" fillId="0" borderId="22" xfId="76" applyNumberFormat="1" applyFont="1" applyFill="1" applyBorder="1" applyAlignment="1">
      <alignment horizontal="center" vertical="center"/>
      <protection/>
    </xf>
    <xf numFmtId="0" fontId="52" fillId="0" borderId="24" xfId="76" applyFont="1" applyFill="1" applyBorder="1" applyAlignment="1">
      <alignment horizontal="left" vertical="top" wrapText="1"/>
      <protection/>
    </xf>
    <xf numFmtId="0" fontId="52" fillId="0" borderId="21" xfId="76" applyFont="1" applyFill="1" applyBorder="1" applyAlignment="1">
      <alignment horizontal="left" vertical="top" wrapText="1"/>
      <protection/>
    </xf>
    <xf numFmtId="0" fontId="52" fillId="0" borderId="18" xfId="76" applyFont="1" applyFill="1" applyBorder="1" applyAlignment="1">
      <alignment horizontal="left" vertical="top" wrapText="1"/>
      <protection/>
    </xf>
    <xf numFmtId="0" fontId="52" fillId="0" borderId="22" xfId="76" applyFont="1" applyFill="1" applyBorder="1" applyAlignment="1">
      <alignment horizontal="left" vertical="top" wrapText="1"/>
      <protection/>
    </xf>
    <xf numFmtId="0" fontId="52" fillId="0" borderId="20" xfId="76" applyFont="1" applyFill="1" applyBorder="1" applyAlignment="1">
      <alignment horizontal="left" vertical="top" wrapText="1"/>
      <protection/>
    </xf>
    <xf numFmtId="0" fontId="52" fillId="0" borderId="23" xfId="76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49" fontId="51" fillId="0" borderId="23" xfId="76" applyNumberFormat="1" applyFont="1" applyFill="1" applyBorder="1" applyAlignment="1">
      <alignment horizontal="center" vertical="top"/>
      <protection/>
    </xf>
    <xf numFmtId="3" fontId="30" fillId="0" borderId="10" xfId="76" applyNumberFormat="1" applyFont="1" applyFill="1" applyBorder="1" applyAlignment="1">
      <alignment horizontal="center" vertical="top" wrapText="1"/>
      <protection/>
    </xf>
    <xf numFmtId="3" fontId="30" fillId="0" borderId="12" xfId="76" applyNumberFormat="1" applyFont="1" applyFill="1" applyBorder="1" applyAlignment="1">
      <alignment horizontal="center" vertical="top" wrapText="1"/>
      <protection/>
    </xf>
    <xf numFmtId="0" fontId="25" fillId="0" borderId="19" xfId="76" applyFont="1" applyFill="1" applyBorder="1" applyAlignment="1">
      <alignment horizontal="center" vertical="center"/>
      <protection/>
    </xf>
    <xf numFmtId="0" fontId="25" fillId="0" borderId="16" xfId="78" applyFont="1" applyFill="1" applyBorder="1" applyAlignment="1">
      <alignment horizontal="center" vertical="center"/>
      <protection/>
    </xf>
    <xf numFmtId="0" fontId="50" fillId="0" borderId="24" xfId="76" applyFont="1" applyFill="1" applyBorder="1" applyAlignment="1">
      <alignment horizontal="center" vertical="center" wrapText="1"/>
      <protection/>
    </xf>
    <xf numFmtId="0" fontId="50" fillId="0" borderId="11" xfId="76" applyFont="1" applyFill="1" applyBorder="1" applyAlignment="1">
      <alignment horizontal="center" vertical="center" wrapText="1"/>
      <protection/>
    </xf>
    <xf numFmtId="0" fontId="50" fillId="0" borderId="21" xfId="76" applyFont="1" applyFill="1" applyBorder="1" applyAlignment="1">
      <alignment horizontal="center" vertical="center" wrapText="1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3" fontId="16" fillId="0" borderId="0" xfId="76" applyNumberFormat="1" applyFont="1" applyFill="1" applyAlignment="1">
      <alignment horizontal="left" vertical="center"/>
      <protection/>
    </xf>
    <xf numFmtId="0" fontId="22" fillId="0" borderId="0" xfId="76" applyNumberFormat="1" applyFont="1" applyFill="1" applyAlignment="1">
      <alignment horizontal="left" vertical="center" wrapText="1"/>
      <protection/>
    </xf>
    <xf numFmtId="0" fontId="18" fillId="0" borderId="0" xfId="76" applyNumberFormat="1" applyFont="1" applyFill="1" applyAlignment="1">
      <alignment horizontal="left" vertical="center" wrapText="1"/>
      <protection/>
    </xf>
    <xf numFmtId="0" fontId="30" fillId="0" borderId="24" xfId="76" applyFont="1" applyFill="1" applyBorder="1" applyAlignment="1">
      <alignment horizontal="center" vertical="top" wrapText="1"/>
      <protection/>
    </xf>
    <xf numFmtId="0" fontId="30" fillId="0" borderId="21" xfId="76" applyFont="1" applyFill="1" applyBorder="1" applyAlignment="1">
      <alignment horizontal="center" vertical="top" wrapText="1"/>
      <protection/>
    </xf>
    <xf numFmtId="0" fontId="30" fillId="0" borderId="18" xfId="76" applyFont="1" applyFill="1" applyBorder="1" applyAlignment="1">
      <alignment horizontal="center" vertical="top" wrapText="1"/>
      <protection/>
    </xf>
    <xf numFmtId="0" fontId="30" fillId="0" borderId="22" xfId="76" applyFont="1" applyFill="1" applyBorder="1" applyAlignment="1">
      <alignment horizontal="center" vertical="top" wrapText="1"/>
      <protection/>
    </xf>
    <xf numFmtId="0" fontId="30" fillId="0" borderId="20" xfId="76" applyFont="1" applyFill="1" applyBorder="1" applyAlignment="1">
      <alignment horizontal="center" vertical="top" wrapText="1"/>
      <protection/>
    </xf>
    <xf numFmtId="0" fontId="30" fillId="0" borderId="23" xfId="76" applyFont="1" applyFill="1" applyBorder="1" applyAlignment="1">
      <alignment horizontal="center" vertical="top" wrapText="1"/>
      <protection/>
    </xf>
    <xf numFmtId="0" fontId="2" fillId="0" borderId="21" xfId="78" applyFill="1" applyBorder="1" applyAlignment="1">
      <alignment vertical="top"/>
      <protection/>
    </xf>
    <xf numFmtId="0" fontId="2" fillId="0" borderId="18" xfId="78" applyFill="1" applyBorder="1" applyAlignment="1">
      <alignment vertical="top"/>
      <protection/>
    </xf>
    <xf numFmtId="0" fontId="2" fillId="0" borderId="22" xfId="78" applyFill="1" applyBorder="1" applyAlignment="1">
      <alignment vertical="top"/>
      <protection/>
    </xf>
    <xf numFmtId="0" fontId="9" fillId="0" borderId="10" xfId="78" applyFont="1" applyFill="1" applyBorder="1" applyAlignment="1">
      <alignment horizontal="center" vertical="top"/>
      <protection/>
    </xf>
    <xf numFmtId="0" fontId="9" fillId="0" borderId="17" xfId="78" applyFont="1" applyFill="1" applyBorder="1" applyAlignment="1">
      <alignment horizontal="center" vertical="top"/>
      <protection/>
    </xf>
    <xf numFmtId="0" fontId="9" fillId="0" borderId="12" xfId="78" applyFont="1" applyFill="1" applyBorder="1" applyAlignment="1">
      <alignment horizontal="center" vertical="top"/>
      <protection/>
    </xf>
    <xf numFmtId="0" fontId="11" fillId="0" borderId="10" xfId="78" applyFont="1" applyFill="1" applyBorder="1" applyAlignment="1">
      <alignment horizontal="center" vertical="top"/>
      <protection/>
    </xf>
    <xf numFmtId="0" fontId="11" fillId="0" borderId="17" xfId="78" applyFont="1" applyFill="1" applyBorder="1" applyAlignment="1">
      <alignment horizontal="center" vertical="top"/>
      <protection/>
    </xf>
    <xf numFmtId="0" fontId="11" fillId="0" borderId="12" xfId="78" applyFont="1" applyFill="1" applyBorder="1" applyAlignment="1">
      <alignment horizontal="center" vertical="top"/>
      <protection/>
    </xf>
    <xf numFmtId="3" fontId="30" fillId="0" borderId="19" xfId="76" applyNumberFormat="1" applyFont="1" applyFill="1" applyBorder="1" applyAlignment="1">
      <alignment horizontal="center" vertical="top" wrapText="1"/>
      <protection/>
    </xf>
    <xf numFmtId="3" fontId="30" fillId="0" borderId="15" xfId="76" applyNumberFormat="1" applyFont="1" applyFill="1" applyBorder="1" applyAlignment="1">
      <alignment horizontal="center" vertical="top" wrapText="1"/>
      <protection/>
    </xf>
    <xf numFmtId="3" fontId="30" fillId="0" borderId="16" xfId="76" applyNumberFormat="1" applyFont="1" applyFill="1" applyBorder="1" applyAlignment="1">
      <alignment horizontal="center" vertical="top" wrapText="1"/>
      <protection/>
    </xf>
    <xf numFmtId="49" fontId="16" fillId="0" borderId="10" xfId="76" applyNumberFormat="1" applyFont="1" applyFill="1" applyBorder="1" applyAlignment="1">
      <alignment horizontal="center" vertical="top"/>
      <protection/>
    </xf>
    <xf numFmtId="49" fontId="16" fillId="0" borderId="17" xfId="76" applyNumberFormat="1" applyFont="1" applyFill="1" applyBorder="1" applyAlignment="1">
      <alignment horizontal="center" vertical="top"/>
      <protection/>
    </xf>
    <xf numFmtId="49" fontId="16" fillId="0" borderId="12" xfId="76" applyNumberFormat="1" applyFont="1" applyFill="1" applyBorder="1" applyAlignment="1">
      <alignment horizontal="center" vertical="top"/>
      <protection/>
    </xf>
    <xf numFmtId="0" fontId="16" fillId="0" borderId="10" xfId="76" applyFont="1" applyFill="1" applyBorder="1" applyAlignment="1">
      <alignment horizontal="left" vertical="top" wrapText="1"/>
      <protection/>
    </xf>
    <xf numFmtId="0" fontId="16" fillId="0" borderId="17" xfId="76" applyFont="1" applyFill="1" applyBorder="1" applyAlignment="1">
      <alignment horizontal="left" vertical="top" wrapText="1"/>
      <protection/>
    </xf>
    <xf numFmtId="0" fontId="16" fillId="0" borderId="12" xfId="76" applyFont="1" applyFill="1" applyBorder="1" applyAlignment="1">
      <alignment horizontal="left" vertical="top" wrapText="1"/>
      <protection/>
    </xf>
    <xf numFmtId="0" fontId="16" fillId="0" borderId="10" xfId="76" applyFont="1" applyFill="1" applyBorder="1" applyAlignment="1">
      <alignment horizontal="justify" vertical="top" wrapText="1"/>
      <protection/>
    </xf>
    <xf numFmtId="0" fontId="0" fillId="0" borderId="17" xfId="0" applyFill="1" applyBorder="1" applyAlignment="1">
      <alignment horizontal="justify" vertical="top" wrapText="1"/>
    </xf>
    <xf numFmtId="0" fontId="0" fillId="0" borderId="12" xfId="0" applyFill="1" applyBorder="1" applyAlignment="1">
      <alignment horizontal="justify" vertical="top" wrapText="1"/>
    </xf>
    <xf numFmtId="49" fontId="16" fillId="0" borderId="10" xfId="76" applyNumberFormat="1" applyFont="1" applyFill="1" applyBorder="1" applyAlignment="1">
      <alignment horizontal="center" vertical="top" wrapText="1"/>
      <protection/>
    </xf>
    <xf numFmtId="49" fontId="16" fillId="0" borderId="17" xfId="76" applyNumberFormat="1" applyFont="1" applyFill="1" applyBorder="1" applyAlignment="1">
      <alignment horizontal="center" vertical="top" wrapText="1"/>
      <protection/>
    </xf>
    <xf numFmtId="49" fontId="16" fillId="0" borderId="12" xfId="76" applyNumberFormat="1" applyFont="1" applyFill="1" applyBorder="1" applyAlignment="1">
      <alignment horizontal="center" vertical="top" wrapText="1"/>
      <protection/>
    </xf>
    <xf numFmtId="0" fontId="16" fillId="0" borderId="10" xfId="76" applyFont="1" applyFill="1" applyBorder="1" applyAlignment="1">
      <alignment vertical="top" wrapText="1"/>
      <protection/>
    </xf>
    <xf numFmtId="0" fontId="0" fillId="0" borderId="17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16" fillId="0" borderId="17" xfId="76" applyFont="1" applyFill="1" applyBorder="1" applyAlignment="1">
      <alignment horizontal="justify" vertical="top" wrapText="1"/>
      <protection/>
    </xf>
    <xf numFmtId="0" fontId="16" fillId="0" borderId="12" xfId="76" applyFont="1" applyFill="1" applyBorder="1" applyAlignment="1">
      <alignment horizontal="justify" vertical="top" wrapText="1"/>
      <protection/>
    </xf>
    <xf numFmtId="9" fontId="16" fillId="0" borderId="10" xfId="82" applyFont="1" applyFill="1" applyBorder="1" applyAlignment="1">
      <alignment horizontal="left" vertical="top" wrapText="1"/>
    </xf>
    <xf numFmtId="9" fontId="16" fillId="0" borderId="17" xfId="82" applyFont="1" applyFill="1" applyBorder="1" applyAlignment="1">
      <alignment horizontal="left" vertical="top" wrapText="1"/>
    </xf>
    <xf numFmtId="9" fontId="16" fillId="0" borderId="12" xfId="82" applyFont="1" applyFill="1" applyBorder="1" applyAlignment="1">
      <alignment horizontal="left" vertical="top" wrapText="1"/>
    </xf>
    <xf numFmtId="9" fontId="16" fillId="0" borderId="10" xfId="82" applyFont="1" applyFill="1" applyBorder="1" applyAlignment="1">
      <alignment horizontal="justify" vertical="top" wrapText="1"/>
    </xf>
    <xf numFmtId="9" fontId="16" fillId="0" borderId="17" xfId="82" applyFont="1" applyFill="1" applyBorder="1" applyAlignment="1">
      <alignment horizontal="justify" vertical="top" wrapText="1"/>
    </xf>
    <xf numFmtId="9" fontId="16" fillId="0" borderId="12" xfId="82" applyFont="1" applyFill="1" applyBorder="1" applyAlignment="1">
      <alignment horizontal="justify" vertical="top" wrapText="1"/>
    </xf>
    <xf numFmtId="0" fontId="18" fillId="0" borderId="24" xfId="76" applyFont="1" applyFill="1" applyBorder="1" applyAlignment="1">
      <alignment horizontal="center" vertical="center" wrapText="1"/>
      <protection/>
    </xf>
    <xf numFmtId="0" fontId="18" fillId="0" borderId="11" xfId="76" applyFont="1" applyFill="1" applyBorder="1" applyAlignment="1">
      <alignment horizontal="center" vertical="center" wrapText="1"/>
      <protection/>
    </xf>
    <xf numFmtId="0" fontId="18" fillId="0" borderId="21" xfId="76" applyFont="1" applyFill="1" applyBorder="1" applyAlignment="1">
      <alignment horizontal="center" vertical="center" wrapText="1"/>
      <protection/>
    </xf>
    <xf numFmtId="0" fontId="18" fillId="0" borderId="18" xfId="76" applyFont="1" applyFill="1" applyBorder="1" applyAlignment="1">
      <alignment horizontal="center" vertical="center" wrapText="1"/>
      <protection/>
    </xf>
    <xf numFmtId="0" fontId="18" fillId="0" borderId="0" xfId="76" applyFont="1" applyFill="1" applyBorder="1" applyAlignment="1">
      <alignment horizontal="center" vertical="center" wrapText="1"/>
      <protection/>
    </xf>
    <xf numFmtId="0" fontId="18" fillId="0" borderId="22" xfId="76" applyFont="1" applyFill="1" applyBorder="1" applyAlignment="1">
      <alignment horizontal="center" vertical="center" wrapText="1"/>
      <protection/>
    </xf>
    <xf numFmtId="0" fontId="18" fillId="0" borderId="20" xfId="76" applyFont="1" applyFill="1" applyBorder="1" applyAlignment="1">
      <alignment horizontal="center" vertical="center" wrapText="1"/>
      <protection/>
    </xf>
    <xf numFmtId="0" fontId="18" fillId="0" borderId="13" xfId="76" applyFont="1" applyFill="1" applyBorder="1" applyAlignment="1">
      <alignment horizontal="center" vertical="center" wrapText="1"/>
      <protection/>
    </xf>
    <xf numFmtId="0" fontId="18" fillId="0" borderId="23" xfId="76" applyFont="1" applyFill="1" applyBorder="1" applyAlignment="1">
      <alignment horizontal="center" vertical="center" wrapText="1"/>
      <protection/>
    </xf>
    <xf numFmtId="0" fontId="18" fillId="0" borderId="19" xfId="76" applyFont="1" applyFill="1" applyBorder="1" applyAlignment="1">
      <alignment horizontal="center" vertical="center" wrapText="1"/>
      <protection/>
    </xf>
    <xf numFmtId="0" fontId="18" fillId="0" borderId="15" xfId="76" applyFont="1" applyFill="1" applyBorder="1" applyAlignment="1">
      <alignment horizontal="center" vertical="center" wrapText="1"/>
      <protection/>
    </xf>
    <xf numFmtId="0" fontId="18" fillId="0" borderId="16" xfId="76" applyFont="1" applyFill="1" applyBorder="1" applyAlignment="1">
      <alignment horizontal="center" vertical="center" wrapText="1"/>
      <protection/>
    </xf>
    <xf numFmtId="3" fontId="16" fillId="0" borderId="0" xfId="76" applyNumberFormat="1" applyFont="1" applyFill="1" applyAlignment="1" applyProtection="1">
      <alignment horizontal="left"/>
      <protection/>
    </xf>
    <xf numFmtId="3" fontId="16" fillId="0" borderId="0" xfId="76" applyNumberFormat="1" applyFont="1" applyFill="1" applyAlignment="1" applyProtection="1">
      <alignment horizontal="left" wrapText="1"/>
      <protection/>
    </xf>
    <xf numFmtId="0" fontId="16" fillId="0" borderId="0" xfId="76" applyNumberFormat="1" applyFont="1" applyFill="1" applyAlignment="1" applyProtection="1">
      <alignment horizontal="justify" wrapText="1"/>
      <protection/>
    </xf>
    <xf numFmtId="0" fontId="19" fillId="0" borderId="10" xfId="76" applyFont="1" applyFill="1" applyBorder="1" applyAlignment="1">
      <alignment horizontal="center" vertical="top"/>
      <protection/>
    </xf>
    <xf numFmtId="0" fontId="19" fillId="0" borderId="12" xfId="76" applyFont="1" applyFill="1" applyBorder="1" applyAlignment="1">
      <alignment horizontal="center" vertical="top"/>
      <protection/>
    </xf>
    <xf numFmtId="0" fontId="19" fillId="0" borderId="19" xfId="76" applyFont="1" applyFill="1" applyBorder="1" applyAlignment="1">
      <alignment horizontal="center" vertical="top" wrapText="1"/>
      <protection/>
    </xf>
    <xf numFmtId="0" fontId="19" fillId="0" borderId="16" xfId="76" applyFont="1" applyFill="1" applyBorder="1" applyAlignment="1">
      <alignment horizontal="center" vertical="top" wrapText="1"/>
      <protection/>
    </xf>
    <xf numFmtId="0" fontId="19" fillId="0" borderId="10" xfId="76" applyFont="1" applyFill="1" applyBorder="1" applyAlignment="1">
      <alignment horizontal="center" vertical="top" wrapText="1"/>
      <protection/>
    </xf>
    <xf numFmtId="0" fontId="19" fillId="0" borderId="12" xfId="76" applyFont="1" applyFill="1" applyBorder="1" applyAlignment="1">
      <alignment horizontal="center" vertical="top" wrapText="1"/>
      <protection/>
    </xf>
    <xf numFmtId="3" fontId="19" fillId="0" borderId="10" xfId="76" applyNumberFormat="1" applyFont="1" applyFill="1" applyBorder="1" applyAlignment="1">
      <alignment horizontal="center" vertical="top" wrapText="1"/>
      <protection/>
    </xf>
    <xf numFmtId="3" fontId="19" fillId="0" borderId="12" xfId="76" applyNumberFormat="1" applyFont="1" applyFill="1" applyBorder="1" applyAlignment="1">
      <alignment horizontal="center" vertical="top" wrapText="1"/>
      <protection/>
    </xf>
    <xf numFmtId="0" fontId="11" fillId="0" borderId="14" xfId="57" applyFont="1" applyFill="1" applyBorder="1" applyAlignment="1">
      <alignment horizontal="center" vertical="center"/>
      <protection/>
    </xf>
    <xf numFmtId="0" fontId="11" fillId="0" borderId="14" xfId="57" applyFont="1" applyFill="1" applyBorder="1" applyAlignment="1">
      <alignment horizontal="left" vertical="center" wrapText="1"/>
      <protection/>
    </xf>
    <xf numFmtId="0" fontId="11" fillId="0" borderId="14" xfId="57" applyFont="1" applyFill="1" applyBorder="1" applyAlignment="1">
      <alignment horizontal="center" vertical="center" wrapText="1"/>
      <protection/>
    </xf>
    <xf numFmtId="0" fontId="10" fillId="0" borderId="10" xfId="69" applyFont="1" applyFill="1" applyBorder="1" applyAlignment="1">
      <alignment horizontal="center" vertical="center" wrapText="1"/>
      <protection/>
    </xf>
    <xf numFmtId="0" fontId="10" fillId="0" borderId="17" xfId="69" applyFont="1" applyFill="1" applyBorder="1" applyAlignment="1">
      <alignment horizontal="center" vertical="center" wrapText="1"/>
      <protection/>
    </xf>
    <xf numFmtId="0" fontId="10" fillId="0" borderId="12" xfId="69" applyFont="1" applyFill="1" applyBorder="1" applyAlignment="1">
      <alignment horizontal="center" vertical="center" wrapText="1"/>
      <protection/>
    </xf>
    <xf numFmtId="0" fontId="38" fillId="0" borderId="10" xfId="69" applyFont="1" applyFill="1" applyBorder="1" applyAlignment="1">
      <alignment horizontal="center" vertical="top"/>
      <protection/>
    </xf>
    <xf numFmtId="0" fontId="38" fillId="0" borderId="17" xfId="69" applyFont="1" applyFill="1" applyBorder="1" applyAlignment="1">
      <alignment horizontal="center" vertical="top"/>
      <protection/>
    </xf>
    <xf numFmtId="0" fontId="38" fillId="0" borderId="12" xfId="69" applyFont="1" applyFill="1" applyBorder="1" applyAlignment="1">
      <alignment horizontal="center" vertical="top"/>
      <protection/>
    </xf>
    <xf numFmtId="0" fontId="38" fillId="0" borderId="24" xfId="69" applyFont="1" applyFill="1" applyBorder="1" applyAlignment="1">
      <alignment horizontal="left" vertical="top" wrapText="1"/>
      <protection/>
    </xf>
    <xf numFmtId="0" fontId="38" fillId="0" borderId="18" xfId="69" applyFont="1" applyFill="1" applyBorder="1" applyAlignment="1">
      <alignment horizontal="left" vertical="top" wrapText="1"/>
      <protection/>
    </xf>
    <xf numFmtId="0" fontId="38" fillId="0" borderId="20" xfId="69" applyFont="1" applyFill="1" applyBorder="1" applyAlignment="1">
      <alignment horizontal="left" vertical="top" wrapText="1"/>
      <protection/>
    </xf>
    <xf numFmtId="0" fontId="61" fillId="0" borderId="10" xfId="69" applyFont="1" applyFill="1" applyBorder="1" applyAlignment="1">
      <alignment horizontal="center" vertical="center" wrapText="1"/>
      <protection/>
    </xf>
    <xf numFmtId="0" fontId="61" fillId="0" borderId="17" xfId="69" applyFont="1" applyFill="1" applyBorder="1" applyAlignment="1">
      <alignment horizontal="center" vertical="center" wrapText="1"/>
      <protection/>
    </xf>
    <xf numFmtId="0" fontId="61" fillId="0" borderId="12" xfId="69" applyFont="1" applyFill="1" applyBorder="1" applyAlignment="1">
      <alignment horizontal="center" vertical="center" wrapText="1"/>
      <protection/>
    </xf>
    <xf numFmtId="0" fontId="8" fillId="0" borderId="10" xfId="69" applyFont="1" applyFill="1" applyBorder="1" applyAlignment="1">
      <alignment horizontal="center" vertical="center" wrapText="1"/>
      <protection/>
    </xf>
    <xf numFmtId="0" fontId="8" fillId="0" borderId="17" xfId="69" applyFont="1" applyFill="1" applyBorder="1" applyAlignment="1">
      <alignment horizontal="center" vertical="center" wrapText="1"/>
      <protection/>
    </xf>
    <xf numFmtId="0" fontId="8" fillId="0" borderId="12" xfId="69" applyFont="1" applyFill="1" applyBorder="1" applyAlignment="1">
      <alignment horizontal="center" vertical="center" wrapText="1"/>
      <protection/>
    </xf>
    <xf numFmtId="0" fontId="38" fillId="0" borderId="10" xfId="69" applyFont="1" applyFill="1" applyBorder="1" applyAlignment="1">
      <alignment horizontal="left" vertical="top" wrapText="1"/>
      <protection/>
    </xf>
    <xf numFmtId="0" fontId="38" fillId="0" borderId="17" xfId="69" applyFont="1" applyFill="1" applyBorder="1" applyAlignment="1">
      <alignment horizontal="left" vertical="top" wrapText="1"/>
      <protection/>
    </xf>
    <xf numFmtId="0" fontId="26" fillId="0" borderId="17" xfId="69" applyFont="1" applyFill="1" applyBorder="1" applyAlignment="1">
      <alignment horizontal="center" vertical="top"/>
      <protection/>
    </xf>
    <xf numFmtId="0" fontId="26" fillId="0" borderId="17" xfId="69" applyFont="1" applyFill="1" applyBorder="1" applyAlignment="1">
      <alignment horizontal="left" vertical="top" wrapText="1"/>
      <protection/>
    </xf>
    <xf numFmtId="0" fontId="26" fillId="0" borderId="12" xfId="69" applyFont="1" applyFill="1" applyBorder="1" applyAlignment="1">
      <alignment horizontal="center" vertical="top"/>
      <protection/>
    </xf>
    <xf numFmtId="0" fontId="26" fillId="0" borderId="12" xfId="69" applyFont="1" applyFill="1" applyBorder="1" applyAlignment="1">
      <alignment horizontal="left" vertical="top" wrapText="1"/>
      <protection/>
    </xf>
    <xf numFmtId="0" fontId="8" fillId="0" borderId="0" xfId="57" applyFont="1" applyFill="1" applyAlignment="1">
      <alignment horizontal="justify" vertical="center" wrapText="1"/>
      <protection/>
    </xf>
  </cellXfs>
  <cellStyles count="7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10" xfId="56"/>
    <cellStyle name="Normalny 2" xfId="57"/>
    <cellStyle name="Normalny 2 2" xfId="58"/>
    <cellStyle name="Normalny 2_RDW" xfId="59"/>
    <cellStyle name="Normalny 3" xfId="60"/>
    <cellStyle name="Normalny 4" xfId="61"/>
    <cellStyle name="Normalny 5" xfId="62"/>
    <cellStyle name="Normalny 6" xfId="63"/>
    <cellStyle name="Normalny 7" xfId="64"/>
    <cellStyle name="Normalny 8" xfId="65"/>
    <cellStyle name="Normalny 9" xfId="66"/>
    <cellStyle name="Normalny_IZ 2011" xfId="67"/>
    <cellStyle name="Normalny_rachunek doch wł 2006" xfId="68"/>
    <cellStyle name="Normalny_RDW 2014" xfId="69"/>
    <cellStyle name="Normalny_RPO 2011" xfId="70"/>
    <cellStyle name="Normalny_Załącznik  nr 7  RPO na 2010" xfId="71"/>
    <cellStyle name="Normalny_załącznik nr 1" xfId="72"/>
    <cellStyle name="Normalny_Załącznik nr 3  do proj. budżetu na 2006r._Zał. Nr 3 i Nr 21 do proj.budż.po Autopoprawce" xfId="73"/>
    <cellStyle name="Normalny_Załącznik nr 3  do proj. budżetu na 2006r._Załączniki Nr 3 do US z dnia 22.12.2008 r." xfId="74"/>
    <cellStyle name="Normalny_Załącznik nr 9  PROW na 2010" xfId="75"/>
    <cellStyle name="Normalny_Załączniki do  budżetu na 2005 r" xfId="76"/>
    <cellStyle name="Normalny_Załączniki do budżetu na 2006 r._Zał. Nr 3 i Nr 21 do proj.budż.po Autopoprawce" xfId="77"/>
    <cellStyle name="Normalny_Załączniki do projektu budżetu na 2009 r." xfId="78"/>
    <cellStyle name="Obliczenia" xfId="79"/>
    <cellStyle name="Followed Hyperlink" xfId="80"/>
    <cellStyle name="Percent" xfId="81"/>
    <cellStyle name="Procentowy 2" xfId="82"/>
    <cellStyle name="Styl 1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y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1"/>
  <sheetViews>
    <sheetView view="pageBreakPreview" zoomScaleSheetLayoutView="100" zoomScalePageLayoutView="0" workbookViewId="0" topLeftCell="A1">
      <selection activeCell="B53" sqref="B53:B55"/>
    </sheetView>
  </sheetViews>
  <sheetFormatPr defaultColWidth="8" defaultRowHeight="14.25"/>
  <cols>
    <col min="1" max="1" width="5" style="244" customWidth="1"/>
    <col min="2" max="2" width="27.59765625" style="245" customWidth="1"/>
    <col min="3" max="3" width="3.09765625" style="245" customWidth="1"/>
    <col min="4" max="4" width="14.59765625" style="246" customWidth="1"/>
    <col min="5" max="11" width="13.09765625" style="158" customWidth="1"/>
    <col min="12" max="12" width="11.3984375" style="158" customWidth="1"/>
    <col min="13" max="13" width="10" style="158" customWidth="1"/>
    <col min="14" max="14" width="12.59765625" style="158" customWidth="1"/>
    <col min="15" max="15" width="11.09765625" style="158" customWidth="1"/>
    <col min="16" max="16" width="12.5" style="158" customWidth="1"/>
    <col min="17" max="17" width="11.3984375" style="158" customWidth="1"/>
    <col min="18" max="19" width="8" style="158" customWidth="1"/>
    <col min="20" max="16384" width="8" style="158" customWidth="1"/>
  </cols>
  <sheetData>
    <row r="1" spans="1:17" ht="12.75">
      <c r="A1" s="154"/>
      <c r="B1" s="155"/>
      <c r="C1" s="155"/>
      <c r="D1" s="156"/>
      <c r="E1" s="157"/>
      <c r="F1" s="157"/>
      <c r="G1" s="157"/>
      <c r="H1" s="157"/>
      <c r="I1" s="157"/>
      <c r="J1" s="157"/>
      <c r="K1" s="157"/>
      <c r="L1" s="157"/>
      <c r="M1" s="157"/>
      <c r="N1" s="157" t="s">
        <v>412</v>
      </c>
      <c r="O1" s="157"/>
      <c r="P1" s="157"/>
      <c r="Q1" s="157"/>
    </row>
    <row r="2" spans="1:17" ht="12.75">
      <c r="A2" s="154"/>
      <c r="B2" s="155"/>
      <c r="C2" s="155"/>
      <c r="D2" s="156"/>
      <c r="E2" s="157"/>
      <c r="F2" s="157"/>
      <c r="G2" s="157"/>
      <c r="H2" s="157"/>
      <c r="I2" s="157"/>
      <c r="J2" s="157"/>
      <c r="K2" s="157"/>
      <c r="L2" s="157"/>
      <c r="M2" s="157"/>
      <c r="N2" s="159" t="s">
        <v>454</v>
      </c>
      <c r="O2" s="157"/>
      <c r="P2" s="157"/>
      <c r="Q2" s="157"/>
    </row>
    <row r="3" spans="1:17" ht="12.75">
      <c r="A3" s="154"/>
      <c r="B3" s="155"/>
      <c r="C3" s="155"/>
      <c r="D3" s="156"/>
      <c r="E3" s="157"/>
      <c r="F3" s="157"/>
      <c r="G3" s="157"/>
      <c r="H3" s="157"/>
      <c r="I3" s="157"/>
      <c r="J3" s="157"/>
      <c r="K3" s="157"/>
      <c r="L3" s="157"/>
      <c r="M3" s="157"/>
      <c r="N3" s="159" t="s">
        <v>455</v>
      </c>
      <c r="O3" s="157"/>
      <c r="P3" s="157"/>
      <c r="Q3" s="157"/>
    </row>
    <row r="4" spans="1:16" ht="21.75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</row>
    <row r="5" spans="1:22" ht="34.5" customHeight="1">
      <c r="A5" s="731" t="s">
        <v>413</v>
      </c>
      <c r="B5" s="731"/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731"/>
      <c r="Q5" s="731"/>
      <c r="R5" s="160"/>
      <c r="S5" s="160"/>
      <c r="T5" s="160"/>
      <c r="U5" s="160"/>
      <c r="V5" s="160"/>
    </row>
    <row r="6" spans="1:17" ht="12.75">
      <c r="A6" s="154"/>
      <c r="B6" s="155"/>
      <c r="C6" s="155"/>
      <c r="D6" s="156"/>
      <c r="E6" s="157"/>
      <c r="F6" s="157"/>
      <c r="G6" s="161"/>
      <c r="H6" s="161"/>
      <c r="I6" s="161"/>
      <c r="J6" s="161"/>
      <c r="K6" s="161"/>
      <c r="L6" s="161"/>
      <c r="M6" s="161"/>
      <c r="N6" s="157"/>
      <c r="O6" s="157"/>
      <c r="P6" s="162"/>
      <c r="Q6" s="162" t="s">
        <v>0</v>
      </c>
    </row>
    <row r="7" spans="1:17" s="163" customFormat="1" ht="18.75" customHeight="1">
      <c r="A7" s="732" t="s">
        <v>1</v>
      </c>
      <c r="B7" s="735" t="s">
        <v>83</v>
      </c>
      <c r="C7" s="247"/>
      <c r="D7" s="727" t="s">
        <v>84</v>
      </c>
      <c r="E7" s="722" t="s">
        <v>414</v>
      </c>
      <c r="F7" s="720" t="s">
        <v>415</v>
      </c>
      <c r="G7" s="722" t="s">
        <v>416</v>
      </c>
      <c r="H7" s="742"/>
      <c r="I7" s="742"/>
      <c r="J7" s="742"/>
      <c r="K7" s="742"/>
      <c r="L7" s="742"/>
      <c r="M7" s="742"/>
      <c r="N7" s="742"/>
      <c r="O7" s="742"/>
      <c r="P7" s="742"/>
      <c r="Q7" s="743"/>
    </row>
    <row r="8" spans="1:17" s="163" customFormat="1" ht="18.75" customHeight="1">
      <c r="A8" s="733"/>
      <c r="B8" s="736"/>
      <c r="C8" s="164"/>
      <c r="D8" s="738"/>
      <c r="E8" s="740"/>
      <c r="F8" s="741"/>
      <c r="G8" s="744" t="s">
        <v>417</v>
      </c>
      <c r="H8" s="745"/>
      <c r="I8" s="745"/>
      <c r="J8" s="745"/>
      <c r="K8" s="745"/>
      <c r="L8" s="745"/>
      <c r="M8" s="746"/>
      <c r="N8" s="744" t="s">
        <v>418</v>
      </c>
      <c r="O8" s="745"/>
      <c r="P8" s="745"/>
      <c r="Q8" s="746"/>
    </row>
    <row r="9" spans="1:17" s="163" customFormat="1" ht="29.25" customHeight="1">
      <c r="A9" s="733"/>
      <c r="B9" s="736"/>
      <c r="C9" s="164"/>
      <c r="D9" s="738"/>
      <c r="E9" s="740"/>
      <c r="F9" s="741"/>
      <c r="G9" s="727" t="s">
        <v>419</v>
      </c>
      <c r="H9" s="728" t="s">
        <v>420</v>
      </c>
      <c r="I9" s="729"/>
      <c r="J9" s="720" t="s">
        <v>421</v>
      </c>
      <c r="K9" s="720" t="s">
        <v>422</v>
      </c>
      <c r="L9" s="720" t="s">
        <v>423</v>
      </c>
      <c r="M9" s="722" t="s">
        <v>424</v>
      </c>
      <c r="N9" s="720" t="s">
        <v>425</v>
      </c>
      <c r="O9" s="720" t="s">
        <v>421</v>
      </c>
      <c r="P9" s="722" t="s">
        <v>422</v>
      </c>
      <c r="Q9" s="720" t="s">
        <v>424</v>
      </c>
    </row>
    <row r="10" spans="1:17" s="163" customFormat="1" ht="42" customHeight="1">
      <c r="A10" s="734"/>
      <c r="B10" s="737"/>
      <c r="C10" s="165"/>
      <c r="D10" s="739"/>
      <c r="E10" s="723"/>
      <c r="F10" s="721"/>
      <c r="G10" s="723"/>
      <c r="H10" s="166" t="s">
        <v>426</v>
      </c>
      <c r="I10" s="167" t="s">
        <v>427</v>
      </c>
      <c r="J10" s="721"/>
      <c r="K10" s="721"/>
      <c r="L10" s="721"/>
      <c r="M10" s="723"/>
      <c r="N10" s="721"/>
      <c r="O10" s="721"/>
      <c r="P10" s="723"/>
      <c r="Q10" s="721"/>
    </row>
    <row r="11" spans="1:17" s="172" customFormat="1" ht="12" customHeight="1">
      <c r="A11" s="169" t="s">
        <v>428</v>
      </c>
      <c r="B11" s="168" t="s">
        <v>429</v>
      </c>
      <c r="C11" s="168"/>
      <c r="D11" s="169" t="s">
        <v>430</v>
      </c>
      <c r="E11" s="169" t="s">
        <v>431</v>
      </c>
      <c r="F11" s="169" t="s">
        <v>432</v>
      </c>
      <c r="G11" s="170" t="s">
        <v>433</v>
      </c>
      <c r="H11" s="169" t="s">
        <v>434</v>
      </c>
      <c r="I11" s="171" t="s">
        <v>435</v>
      </c>
      <c r="J11" s="169" t="s">
        <v>436</v>
      </c>
      <c r="K11" s="169" t="s">
        <v>437</v>
      </c>
      <c r="L11" s="169" t="s">
        <v>438</v>
      </c>
      <c r="M11" s="169" t="s">
        <v>439</v>
      </c>
      <c r="N11" s="169" t="s">
        <v>440</v>
      </c>
      <c r="O11" s="169" t="s">
        <v>441</v>
      </c>
      <c r="P11" s="170" t="s">
        <v>442</v>
      </c>
      <c r="Q11" s="169" t="s">
        <v>443</v>
      </c>
    </row>
    <row r="12" spans="1:17" s="177" customFormat="1" ht="6.75" customHeight="1">
      <c r="A12" s="248"/>
      <c r="B12" s="173"/>
      <c r="C12" s="173"/>
      <c r="D12" s="174"/>
      <c r="E12" s="175"/>
      <c r="F12" s="175"/>
      <c r="G12" s="175"/>
      <c r="H12" s="176"/>
      <c r="I12" s="175"/>
      <c r="J12" s="175"/>
      <c r="K12" s="175"/>
      <c r="L12" s="175"/>
      <c r="M12" s="175"/>
      <c r="N12" s="175"/>
      <c r="O12" s="175"/>
      <c r="P12" s="175"/>
      <c r="Q12" s="176"/>
    </row>
    <row r="13" spans="1:20" s="182" customFormat="1" ht="19.5" customHeight="1">
      <c r="A13" s="709"/>
      <c r="B13" s="724" t="s">
        <v>444</v>
      </c>
      <c r="C13" s="178" t="s">
        <v>13</v>
      </c>
      <c r="D13" s="179">
        <f>SUM(E13:Q13)</f>
        <v>850741531.07</v>
      </c>
      <c r="E13" s="180">
        <f>E17+E21+E29+E33+E41+E45+E49+E53+E57+E61+E65+E69+E73+E77+E81+E85+E93+E97+E101+E25+E89+E37</f>
        <v>618905129</v>
      </c>
      <c r="F13" s="180">
        <f aca="true" t="shared" si="0" ref="F13:P15">F17+F21+F29+F33+F41+F45+F49+F53+F57+F61+F65+F69+F73+F77+F81+F85+F93+F97+F101+F25+F89+F37</f>
        <v>20629956</v>
      </c>
      <c r="G13" s="180">
        <f t="shared" si="0"/>
        <v>63499323</v>
      </c>
      <c r="H13" s="180">
        <f t="shared" si="0"/>
        <v>43809683</v>
      </c>
      <c r="I13" s="180">
        <f t="shared" si="0"/>
        <v>29352270</v>
      </c>
      <c r="J13" s="180">
        <f t="shared" si="0"/>
        <v>819906</v>
      </c>
      <c r="K13" s="180">
        <f t="shared" si="0"/>
        <v>695954</v>
      </c>
      <c r="L13" s="180">
        <f t="shared" si="0"/>
        <v>1487257</v>
      </c>
      <c r="M13" s="180">
        <f>M17+M21+M29+M33+M41+M45+M49+M53+M57+M61+M65+M69+M73+M77+M81+M85+M93+M97+M101+M25+M89+M37</f>
        <v>445</v>
      </c>
      <c r="N13" s="180">
        <f t="shared" si="0"/>
        <v>44208083.07</v>
      </c>
      <c r="O13" s="180">
        <f t="shared" si="0"/>
        <v>8233128</v>
      </c>
      <c r="P13" s="181">
        <f t="shared" si="0"/>
        <v>12632599</v>
      </c>
      <c r="Q13" s="180">
        <f>Q17+Q21+Q29+Q33+Q41+Q45+Q49+Q53+Q57+Q61+Q65+Q69+Q73+Q77+Q81+Q85+Q93+Q97+Q101+Q25+Q89+Q37</f>
        <v>6467798</v>
      </c>
      <c r="T13" s="183"/>
    </row>
    <row r="14" spans="1:20" s="182" customFormat="1" ht="19.5" customHeight="1">
      <c r="A14" s="710"/>
      <c r="B14" s="725"/>
      <c r="C14" s="178" t="s">
        <v>14</v>
      </c>
      <c r="D14" s="180">
        <f>SUM(E14:Q14)</f>
        <v>-1622386</v>
      </c>
      <c r="E14" s="180">
        <f>E18+E22+E30+E34+E42+E46+E50+E54+E58+E62+E66+E70+E74+E78+E82+E86+E94+E98+E102+E26+E90+E38</f>
        <v>-63184218</v>
      </c>
      <c r="F14" s="180">
        <f t="shared" si="0"/>
        <v>1849457</v>
      </c>
      <c r="G14" s="180">
        <f t="shared" si="0"/>
        <v>42875256</v>
      </c>
      <c r="H14" s="180">
        <f t="shared" si="0"/>
        <v>765950</v>
      </c>
      <c r="I14" s="180">
        <f t="shared" si="0"/>
        <v>407539</v>
      </c>
      <c r="J14" s="180">
        <f t="shared" si="0"/>
        <v>0</v>
      </c>
      <c r="K14" s="180">
        <f t="shared" si="0"/>
        <v>0</v>
      </c>
      <c r="L14" s="180">
        <f t="shared" si="0"/>
        <v>0</v>
      </c>
      <c r="M14" s="180">
        <f>M18+M22+M30+M34+M42+M46+M50+M54+M58+M62+M66+M70+M74+M78+M82+M86+M94+M98+M102+M26+M90+M38</f>
        <v>0</v>
      </c>
      <c r="N14" s="180">
        <f t="shared" si="0"/>
        <v>0</v>
      </c>
      <c r="O14" s="180">
        <f t="shared" si="0"/>
        <v>-240000</v>
      </c>
      <c r="P14" s="181">
        <f t="shared" si="0"/>
        <v>15903630</v>
      </c>
      <c r="Q14" s="180">
        <f>Q18+Q22+Q30+Q34+Q42+Q46+Q50+Q54+Q58+Q62+Q66+Q70+Q74+Q78+Q82+Q86+Q94+Q98+Q102+Q26+Q90+Q38</f>
        <v>0</v>
      </c>
      <c r="T14" s="183"/>
    </row>
    <row r="15" spans="1:20" s="182" customFormat="1" ht="19.5" customHeight="1">
      <c r="A15" s="711"/>
      <c r="B15" s="726"/>
      <c r="C15" s="178" t="s">
        <v>15</v>
      </c>
      <c r="D15" s="180">
        <f>SUM(E15:Q15)</f>
        <v>849119145.07</v>
      </c>
      <c r="E15" s="180">
        <f>E19+E23+E31+E35+E43+E47+E51+E55+E59+E63+E67+E71+E75+E79+E83+E87+E95+E99+E103+E27+E91+E39</f>
        <v>555720911</v>
      </c>
      <c r="F15" s="180">
        <f t="shared" si="0"/>
        <v>22479413</v>
      </c>
      <c r="G15" s="180">
        <f t="shared" si="0"/>
        <v>106374579</v>
      </c>
      <c r="H15" s="180">
        <f t="shared" si="0"/>
        <v>44575633</v>
      </c>
      <c r="I15" s="180">
        <f t="shared" si="0"/>
        <v>29759809</v>
      </c>
      <c r="J15" s="180">
        <f t="shared" si="0"/>
        <v>819906</v>
      </c>
      <c r="K15" s="180">
        <f t="shared" si="0"/>
        <v>695954</v>
      </c>
      <c r="L15" s="180">
        <f t="shared" si="0"/>
        <v>1487257</v>
      </c>
      <c r="M15" s="180">
        <f>M19+M23+M31+M35+M43+M47+M51+M55+M59+M63+M67+M71+M75+M79+M83+M87+M95+M99+M103+M27+M91+M39</f>
        <v>445</v>
      </c>
      <c r="N15" s="180">
        <f t="shared" si="0"/>
        <v>44208083.07</v>
      </c>
      <c r="O15" s="180">
        <f t="shared" si="0"/>
        <v>7993128</v>
      </c>
      <c r="P15" s="181">
        <f t="shared" si="0"/>
        <v>28536229</v>
      </c>
      <c r="Q15" s="180">
        <f>Q19+Q23+Q31+Q35+Q43+Q47+Q51+Q55+Q59+Q63+Q67+Q71+Q75+Q79+Q83+Q87+Q95+Q99+Q103+Q27+Q91+Q39</f>
        <v>6467798</v>
      </c>
      <c r="T15" s="183"/>
    </row>
    <row r="16" spans="1:20" s="190" customFormat="1" ht="11.25" customHeight="1" hidden="1">
      <c r="A16" s="249"/>
      <c r="B16" s="184"/>
      <c r="C16" s="184"/>
      <c r="D16" s="185"/>
      <c r="E16" s="186"/>
      <c r="F16" s="187"/>
      <c r="G16" s="187"/>
      <c r="H16" s="188"/>
      <c r="I16" s="187"/>
      <c r="J16" s="187"/>
      <c r="K16" s="189"/>
      <c r="L16" s="187"/>
      <c r="M16" s="187"/>
      <c r="N16" s="187"/>
      <c r="O16" s="187"/>
      <c r="P16" s="187"/>
      <c r="Q16" s="188"/>
      <c r="T16" s="191"/>
    </row>
    <row r="17" spans="1:20" s="198" customFormat="1" ht="18" customHeight="1" hidden="1">
      <c r="A17" s="706" t="s">
        <v>16</v>
      </c>
      <c r="B17" s="717" t="s">
        <v>445</v>
      </c>
      <c r="C17" s="192" t="s">
        <v>13</v>
      </c>
      <c r="D17" s="193">
        <f>SUM(E17:Q17)</f>
        <v>12190559.07</v>
      </c>
      <c r="E17" s="194">
        <v>0</v>
      </c>
      <c r="F17" s="194">
        <v>6560800</v>
      </c>
      <c r="G17" s="195">
        <v>0</v>
      </c>
      <c r="H17" s="194">
        <v>3564000</v>
      </c>
      <c r="I17" s="196">
        <v>2036000</v>
      </c>
      <c r="J17" s="194">
        <v>0</v>
      </c>
      <c r="K17" s="197">
        <v>0</v>
      </c>
      <c r="L17" s="195">
        <v>0</v>
      </c>
      <c r="M17" s="195">
        <v>0</v>
      </c>
      <c r="N17" s="194">
        <v>29759.07</v>
      </c>
      <c r="O17" s="194">
        <v>0</v>
      </c>
      <c r="P17" s="196">
        <v>0</v>
      </c>
      <c r="Q17" s="194">
        <v>0</v>
      </c>
      <c r="T17" s="199"/>
    </row>
    <row r="18" spans="1:20" s="198" customFormat="1" ht="18" customHeight="1" hidden="1">
      <c r="A18" s="707"/>
      <c r="B18" s="718"/>
      <c r="C18" s="192" t="s">
        <v>14</v>
      </c>
      <c r="D18" s="193">
        <f>SUM(E18:Q18)</f>
        <v>0</v>
      </c>
      <c r="E18" s="200">
        <v>0</v>
      </c>
      <c r="F18" s="200">
        <v>0</v>
      </c>
      <c r="G18" s="201">
        <v>0</v>
      </c>
      <c r="H18" s="200">
        <v>0</v>
      </c>
      <c r="I18" s="201">
        <v>0</v>
      </c>
      <c r="J18" s="200">
        <v>0</v>
      </c>
      <c r="K18" s="202">
        <v>0</v>
      </c>
      <c r="L18" s="203">
        <v>0</v>
      </c>
      <c r="M18" s="203">
        <v>0</v>
      </c>
      <c r="N18" s="200">
        <v>0</v>
      </c>
      <c r="O18" s="200">
        <v>0</v>
      </c>
      <c r="P18" s="201">
        <v>0</v>
      </c>
      <c r="Q18" s="200">
        <v>0</v>
      </c>
      <c r="T18" s="199"/>
    </row>
    <row r="19" spans="1:20" s="198" customFormat="1" ht="18" customHeight="1" hidden="1">
      <c r="A19" s="708"/>
      <c r="B19" s="719"/>
      <c r="C19" s="192" t="s">
        <v>15</v>
      </c>
      <c r="D19" s="193">
        <f>SUM(E19:Q19)</f>
        <v>12190559.07</v>
      </c>
      <c r="E19" s="200">
        <f>E17+E18</f>
        <v>0</v>
      </c>
      <c r="F19" s="200">
        <f aca="true" t="shared" si="1" ref="F19:P19">F17+F18</f>
        <v>6560800</v>
      </c>
      <c r="G19" s="200">
        <f t="shared" si="1"/>
        <v>0</v>
      </c>
      <c r="H19" s="200">
        <f t="shared" si="1"/>
        <v>3564000</v>
      </c>
      <c r="I19" s="200">
        <f t="shared" si="1"/>
        <v>2036000</v>
      </c>
      <c r="J19" s="200">
        <f t="shared" si="1"/>
        <v>0</v>
      </c>
      <c r="K19" s="200">
        <f t="shared" si="1"/>
        <v>0</v>
      </c>
      <c r="L19" s="200">
        <f t="shared" si="1"/>
        <v>0</v>
      </c>
      <c r="M19" s="200">
        <f>M17+M18</f>
        <v>0</v>
      </c>
      <c r="N19" s="200">
        <f t="shared" si="1"/>
        <v>29759.07</v>
      </c>
      <c r="O19" s="200">
        <f t="shared" si="1"/>
        <v>0</v>
      </c>
      <c r="P19" s="203">
        <f t="shared" si="1"/>
        <v>0</v>
      </c>
      <c r="Q19" s="200">
        <f>Q17+Q18</f>
        <v>0</v>
      </c>
      <c r="T19" s="199"/>
    </row>
    <row r="20" spans="1:20" s="198" customFormat="1" ht="4.5" customHeight="1" hidden="1">
      <c r="A20" s="250"/>
      <c r="B20" s="204"/>
      <c r="C20" s="205"/>
      <c r="D20" s="20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4"/>
      <c r="T20" s="199"/>
    </row>
    <row r="21" spans="1:20" s="198" customFormat="1" ht="20.25" customHeight="1" hidden="1">
      <c r="A21" s="706" t="s">
        <v>66</v>
      </c>
      <c r="B21" s="717" t="s">
        <v>67</v>
      </c>
      <c r="C21" s="192" t="s">
        <v>13</v>
      </c>
      <c r="D21" s="193">
        <f>SUM(E21:Q21)</f>
        <v>441000</v>
      </c>
      <c r="E21" s="200">
        <v>0</v>
      </c>
      <c r="F21" s="200">
        <v>0</v>
      </c>
      <c r="G21" s="201">
        <v>0</v>
      </c>
      <c r="H21" s="200">
        <v>285000</v>
      </c>
      <c r="I21" s="201">
        <v>95000</v>
      </c>
      <c r="J21" s="200">
        <v>0</v>
      </c>
      <c r="K21" s="202">
        <v>0</v>
      </c>
      <c r="L21" s="203">
        <v>0</v>
      </c>
      <c r="M21" s="203">
        <v>0</v>
      </c>
      <c r="N21" s="200">
        <v>61000</v>
      </c>
      <c r="O21" s="200">
        <v>0</v>
      </c>
      <c r="P21" s="201">
        <v>0</v>
      </c>
      <c r="Q21" s="200">
        <v>0</v>
      </c>
      <c r="T21" s="199"/>
    </row>
    <row r="22" spans="1:20" s="198" customFormat="1" ht="20.25" customHeight="1" hidden="1">
      <c r="A22" s="707"/>
      <c r="B22" s="718"/>
      <c r="C22" s="192" t="s">
        <v>14</v>
      </c>
      <c r="D22" s="193">
        <f>SUM(E22:Q22)</f>
        <v>0</v>
      </c>
      <c r="E22" s="200">
        <v>0</v>
      </c>
      <c r="F22" s="200">
        <v>0</v>
      </c>
      <c r="G22" s="201">
        <v>0</v>
      </c>
      <c r="H22" s="200">
        <v>0</v>
      </c>
      <c r="I22" s="201">
        <v>0</v>
      </c>
      <c r="J22" s="200">
        <v>0</v>
      </c>
      <c r="K22" s="202">
        <v>0</v>
      </c>
      <c r="L22" s="203">
        <v>0</v>
      </c>
      <c r="M22" s="203">
        <v>0</v>
      </c>
      <c r="N22" s="200">
        <v>0</v>
      </c>
      <c r="O22" s="200">
        <v>0</v>
      </c>
      <c r="P22" s="201">
        <v>0</v>
      </c>
      <c r="Q22" s="200">
        <v>0</v>
      </c>
      <c r="T22" s="199"/>
    </row>
    <row r="23" spans="1:20" s="198" customFormat="1" ht="20.25" customHeight="1" hidden="1">
      <c r="A23" s="708"/>
      <c r="B23" s="719"/>
      <c r="C23" s="192" t="s">
        <v>15</v>
      </c>
      <c r="D23" s="193">
        <f>SUM(E23:Q23)</f>
        <v>441000</v>
      </c>
      <c r="E23" s="200">
        <f aca="true" t="shared" si="2" ref="E23:P23">E21+E22</f>
        <v>0</v>
      </c>
      <c r="F23" s="200">
        <f t="shared" si="2"/>
        <v>0</v>
      </c>
      <c r="G23" s="200">
        <f t="shared" si="2"/>
        <v>0</v>
      </c>
      <c r="H23" s="200">
        <f t="shared" si="2"/>
        <v>285000</v>
      </c>
      <c r="I23" s="200">
        <f t="shared" si="2"/>
        <v>95000</v>
      </c>
      <c r="J23" s="200">
        <f t="shared" si="2"/>
        <v>0</v>
      </c>
      <c r="K23" s="200">
        <f t="shared" si="2"/>
        <v>0</v>
      </c>
      <c r="L23" s="200">
        <f t="shared" si="2"/>
        <v>0</v>
      </c>
      <c r="M23" s="200">
        <f>M21+M22</f>
        <v>0</v>
      </c>
      <c r="N23" s="200">
        <f t="shared" si="2"/>
        <v>61000</v>
      </c>
      <c r="O23" s="200">
        <f t="shared" si="2"/>
        <v>0</v>
      </c>
      <c r="P23" s="203">
        <f t="shared" si="2"/>
        <v>0</v>
      </c>
      <c r="Q23" s="200">
        <f>Q21+Q22</f>
        <v>0</v>
      </c>
      <c r="T23" s="199"/>
    </row>
    <row r="24" spans="1:20" s="198" customFormat="1" ht="5.25" customHeight="1" hidden="1">
      <c r="A24" s="250"/>
      <c r="B24" s="204"/>
      <c r="C24" s="204"/>
      <c r="D24" s="20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4"/>
      <c r="T24" s="199"/>
    </row>
    <row r="25" spans="1:20" s="198" customFormat="1" ht="18" customHeight="1" hidden="1">
      <c r="A25" s="706" t="s">
        <v>102</v>
      </c>
      <c r="B25" s="717" t="s">
        <v>103</v>
      </c>
      <c r="C25" s="192" t="s">
        <v>13</v>
      </c>
      <c r="D25" s="193">
        <f>SUM(E25:Q25)</f>
        <v>6660213</v>
      </c>
      <c r="E25" s="194">
        <v>0</v>
      </c>
      <c r="F25" s="194">
        <v>2068</v>
      </c>
      <c r="G25" s="196">
        <v>0</v>
      </c>
      <c r="H25" s="194">
        <v>0</v>
      </c>
      <c r="I25" s="196">
        <v>0</v>
      </c>
      <c r="J25" s="194">
        <v>0</v>
      </c>
      <c r="K25" s="197">
        <v>0</v>
      </c>
      <c r="L25" s="195">
        <v>190347</v>
      </c>
      <c r="M25" s="194">
        <v>0</v>
      </c>
      <c r="N25" s="194">
        <v>0</v>
      </c>
      <c r="O25" s="194">
        <v>0</v>
      </c>
      <c r="P25" s="196">
        <v>0</v>
      </c>
      <c r="Q25" s="194">
        <v>6467798</v>
      </c>
      <c r="T25" s="199"/>
    </row>
    <row r="26" spans="1:20" s="198" customFormat="1" ht="18" customHeight="1" hidden="1">
      <c r="A26" s="707"/>
      <c r="B26" s="718"/>
      <c r="C26" s="192" t="s">
        <v>14</v>
      </c>
      <c r="D26" s="193">
        <f>SUM(E26:Q26)</f>
        <v>0</v>
      </c>
      <c r="E26" s="200">
        <v>0</v>
      </c>
      <c r="F26" s="200">
        <v>0</v>
      </c>
      <c r="G26" s="201">
        <v>0</v>
      </c>
      <c r="H26" s="200">
        <v>0</v>
      </c>
      <c r="I26" s="201">
        <v>0</v>
      </c>
      <c r="J26" s="200">
        <v>0</v>
      </c>
      <c r="K26" s="202">
        <v>0</v>
      </c>
      <c r="L26" s="203">
        <v>0</v>
      </c>
      <c r="M26" s="200">
        <v>0</v>
      </c>
      <c r="N26" s="200">
        <v>0</v>
      </c>
      <c r="O26" s="200">
        <v>0</v>
      </c>
      <c r="P26" s="201">
        <v>0</v>
      </c>
      <c r="Q26" s="200">
        <v>0</v>
      </c>
      <c r="T26" s="199"/>
    </row>
    <row r="27" spans="1:20" s="198" customFormat="1" ht="18" customHeight="1" hidden="1">
      <c r="A27" s="708"/>
      <c r="B27" s="719"/>
      <c r="C27" s="192" t="s">
        <v>15</v>
      </c>
      <c r="D27" s="193">
        <f>SUM(E27:Q27)</f>
        <v>6660213</v>
      </c>
      <c r="E27" s="200">
        <f aca="true" t="shared" si="3" ref="E27:P27">E25+E26</f>
        <v>0</v>
      </c>
      <c r="F27" s="200">
        <f t="shared" si="3"/>
        <v>2068</v>
      </c>
      <c r="G27" s="200">
        <f t="shared" si="3"/>
        <v>0</v>
      </c>
      <c r="H27" s="200">
        <f t="shared" si="3"/>
        <v>0</v>
      </c>
      <c r="I27" s="200">
        <f t="shared" si="3"/>
        <v>0</v>
      </c>
      <c r="J27" s="200">
        <f t="shared" si="3"/>
        <v>0</v>
      </c>
      <c r="K27" s="200">
        <f t="shared" si="3"/>
        <v>0</v>
      </c>
      <c r="L27" s="200">
        <f t="shared" si="3"/>
        <v>190347</v>
      </c>
      <c r="M27" s="200">
        <f>M25+M26</f>
        <v>0</v>
      </c>
      <c r="N27" s="200">
        <f t="shared" si="3"/>
        <v>0</v>
      </c>
      <c r="O27" s="200">
        <f t="shared" si="3"/>
        <v>0</v>
      </c>
      <c r="P27" s="203">
        <f t="shared" si="3"/>
        <v>0</v>
      </c>
      <c r="Q27" s="200">
        <f>Q25+Q26</f>
        <v>6467798</v>
      </c>
      <c r="T27" s="199"/>
    </row>
    <row r="28" spans="1:20" s="198" customFormat="1" ht="6" customHeight="1" hidden="1">
      <c r="A28" s="251"/>
      <c r="B28" s="205"/>
      <c r="C28" s="204"/>
      <c r="D28" s="20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4"/>
      <c r="T28" s="199"/>
    </row>
    <row r="29" spans="1:20" s="210" customFormat="1" ht="18" customHeight="1" hidden="1">
      <c r="A29" s="694" t="s">
        <v>107</v>
      </c>
      <c r="B29" s="697" t="s">
        <v>108</v>
      </c>
      <c r="C29" s="192" t="s">
        <v>13</v>
      </c>
      <c r="D29" s="193">
        <f>SUM(E29:Q29)</f>
        <v>0</v>
      </c>
      <c r="E29" s="207">
        <v>0</v>
      </c>
      <c r="F29" s="207">
        <v>0</v>
      </c>
      <c r="G29" s="208">
        <v>0</v>
      </c>
      <c r="H29" s="207">
        <v>0</v>
      </c>
      <c r="I29" s="209">
        <v>0</v>
      </c>
      <c r="J29" s="207">
        <v>0</v>
      </c>
      <c r="K29" s="209">
        <v>0</v>
      </c>
      <c r="L29" s="207">
        <v>0</v>
      </c>
      <c r="M29" s="207">
        <v>0</v>
      </c>
      <c r="N29" s="207">
        <v>0</v>
      </c>
      <c r="O29" s="207">
        <v>0</v>
      </c>
      <c r="P29" s="208">
        <v>0</v>
      </c>
      <c r="Q29" s="207">
        <v>0</v>
      </c>
      <c r="T29" s="211"/>
    </row>
    <row r="30" spans="1:20" s="210" customFormat="1" ht="18" customHeight="1" hidden="1">
      <c r="A30" s="695"/>
      <c r="B30" s="698"/>
      <c r="C30" s="192" t="s">
        <v>14</v>
      </c>
      <c r="D30" s="193">
        <f>SUM(E30:Q30)</f>
        <v>0</v>
      </c>
      <c r="E30" s="200">
        <v>0</v>
      </c>
      <c r="F30" s="200">
        <v>0</v>
      </c>
      <c r="G30" s="201">
        <v>0</v>
      </c>
      <c r="H30" s="200">
        <v>0</v>
      </c>
      <c r="I30" s="201">
        <v>0</v>
      </c>
      <c r="J30" s="200">
        <v>0</v>
      </c>
      <c r="K30" s="202">
        <v>0</v>
      </c>
      <c r="L30" s="203">
        <v>0</v>
      </c>
      <c r="M30" s="203">
        <v>0</v>
      </c>
      <c r="N30" s="200">
        <v>0</v>
      </c>
      <c r="O30" s="200">
        <v>0</v>
      </c>
      <c r="P30" s="201">
        <v>0</v>
      </c>
      <c r="Q30" s="200">
        <v>0</v>
      </c>
      <c r="T30" s="211"/>
    </row>
    <row r="31" spans="1:20" s="210" customFormat="1" ht="18" customHeight="1" hidden="1">
      <c r="A31" s="696"/>
      <c r="B31" s="699"/>
      <c r="C31" s="192" t="s">
        <v>15</v>
      </c>
      <c r="D31" s="193">
        <f>SUM(E31:Q31)</f>
        <v>0</v>
      </c>
      <c r="E31" s="200">
        <f aca="true" t="shared" si="4" ref="E31:P31">E29+E30</f>
        <v>0</v>
      </c>
      <c r="F31" s="200">
        <f t="shared" si="4"/>
        <v>0</v>
      </c>
      <c r="G31" s="200">
        <f t="shared" si="4"/>
        <v>0</v>
      </c>
      <c r="H31" s="200">
        <f t="shared" si="4"/>
        <v>0</v>
      </c>
      <c r="I31" s="200">
        <f t="shared" si="4"/>
        <v>0</v>
      </c>
      <c r="J31" s="200">
        <f t="shared" si="4"/>
        <v>0</v>
      </c>
      <c r="K31" s="200">
        <f t="shared" si="4"/>
        <v>0</v>
      </c>
      <c r="L31" s="200">
        <f t="shared" si="4"/>
        <v>0</v>
      </c>
      <c r="M31" s="200">
        <f>M29+M30</f>
        <v>0</v>
      </c>
      <c r="N31" s="200">
        <f t="shared" si="4"/>
        <v>0</v>
      </c>
      <c r="O31" s="200">
        <f t="shared" si="4"/>
        <v>0</v>
      </c>
      <c r="P31" s="203">
        <f t="shared" si="4"/>
        <v>0</v>
      </c>
      <c r="Q31" s="200">
        <f>Q29+Q30</f>
        <v>0</v>
      </c>
      <c r="T31" s="211"/>
    </row>
    <row r="32" spans="1:20" s="210" customFormat="1" ht="6.75" customHeight="1">
      <c r="A32" s="252"/>
      <c r="B32" s="212"/>
      <c r="C32" s="212"/>
      <c r="D32" s="206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/>
      <c r="T32" s="211"/>
    </row>
    <row r="33" spans="1:20" s="210" customFormat="1" ht="18" customHeight="1">
      <c r="A33" s="694" t="s">
        <v>19</v>
      </c>
      <c r="B33" s="697" t="s">
        <v>20</v>
      </c>
      <c r="C33" s="192" t="s">
        <v>13</v>
      </c>
      <c r="D33" s="193">
        <f>SUM(E33:Q33)</f>
        <v>59682559</v>
      </c>
      <c r="E33" s="207">
        <v>0</v>
      </c>
      <c r="F33" s="207">
        <v>7066932</v>
      </c>
      <c r="G33" s="208">
        <v>0</v>
      </c>
      <c r="H33" s="207">
        <v>0</v>
      </c>
      <c r="I33" s="209">
        <v>0</v>
      </c>
      <c r="J33" s="207">
        <v>0</v>
      </c>
      <c r="K33" s="209">
        <v>0</v>
      </c>
      <c r="L33" s="207">
        <v>170293</v>
      </c>
      <c r="M33" s="207">
        <v>0</v>
      </c>
      <c r="N33" s="207">
        <v>37248000</v>
      </c>
      <c r="O33" s="207">
        <v>2722735</v>
      </c>
      <c r="P33" s="208">
        <v>12474599</v>
      </c>
      <c r="Q33" s="207">
        <v>0</v>
      </c>
      <c r="T33" s="211"/>
    </row>
    <row r="34" spans="1:20" s="210" customFormat="1" ht="18" customHeight="1">
      <c r="A34" s="695"/>
      <c r="B34" s="698"/>
      <c r="C34" s="192" t="s">
        <v>14</v>
      </c>
      <c r="D34" s="193">
        <f aca="true" t="shared" si="5" ref="D34:D51">SUM(E34:Q34)</f>
        <v>16960904</v>
      </c>
      <c r="E34" s="200">
        <v>0</v>
      </c>
      <c r="F34" s="200">
        <f>43831+400+300000-8700+352843+371700</f>
        <v>1060074</v>
      </c>
      <c r="G34" s="201">
        <v>0</v>
      </c>
      <c r="H34" s="200">
        <v>0</v>
      </c>
      <c r="I34" s="201">
        <v>0</v>
      </c>
      <c r="J34" s="200">
        <v>0</v>
      </c>
      <c r="K34" s="202">
        <v>0</v>
      </c>
      <c r="L34" s="203">
        <v>0</v>
      </c>
      <c r="M34" s="203">
        <v>0</v>
      </c>
      <c r="N34" s="200">
        <v>0</v>
      </c>
      <c r="O34" s="200">
        <v>0</v>
      </c>
      <c r="P34" s="201">
        <f>25863196-9962366</f>
        <v>15900830</v>
      </c>
      <c r="Q34" s="200">
        <v>0</v>
      </c>
      <c r="T34" s="211"/>
    </row>
    <row r="35" spans="1:20" s="210" customFormat="1" ht="18" customHeight="1">
      <c r="A35" s="696"/>
      <c r="B35" s="699"/>
      <c r="C35" s="192" t="s">
        <v>15</v>
      </c>
      <c r="D35" s="193">
        <f t="shared" si="5"/>
        <v>76643463</v>
      </c>
      <c r="E35" s="200">
        <f aca="true" t="shared" si="6" ref="E35:P35">E33+E34</f>
        <v>0</v>
      </c>
      <c r="F35" s="200">
        <f t="shared" si="6"/>
        <v>8127006</v>
      </c>
      <c r="G35" s="200">
        <f t="shared" si="6"/>
        <v>0</v>
      </c>
      <c r="H35" s="200">
        <f t="shared" si="6"/>
        <v>0</v>
      </c>
      <c r="I35" s="200">
        <f t="shared" si="6"/>
        <v>0</v>
      </c>
      <c r="J35" s="200">
        <f t="shared" si="6"/>
        <v>0</v>
      </c>
      <c r="K35" s="200">
        <f t="shared" si="6"/>
        <v>0</v>
      </c>
      <c r="L35" s="200">
        <f t="shared" si="6"/>
        <v>170293</v>
      </c>
      <c r="M35" s="200">
        <f t="shared" si="6"/>
        <v>0</v>
      </c>
      <c r="N35" s="200">
        <f t="shared" si="6"/>
        <v>37248000</v>
      </c>
      <c r="O35" s="200">
        <f t="shared" si="6"/>
        <v>2722735</v>
      </c>
      <c r="P35" s="203">
        <f t="shared" si="6"/>
        <v>28375429</v>
      </c>
      <c r="Q35" s="200">
        <f>Q33+Q34</f>
        <v>0</v>
      </c>
      <c r="T35" s="211"/>
    </row>
    <row r="36" spans="1:20" s="210" customFormat="1" ht="6.75" customHeight="1">
      <c r="A36" s="253"/>
      <c r="B36" s="213"/>
      <c r="C36" s="213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9"/>
      <c r="Q36" s="254"/>
      <c r="T36" s="211"/>
    </row>
    <row r="37" spans="1:20" s="156" customFormat="1" ht="20.25" customHeight="1" hidden="1">
      <c r="A37" s="694" t="s">
        <v>68</v>
      </c>
      <c r="B37" s="697" t="s">
        <v>69</v>
      </c>
      <c r="C37" s="192" t="s">
        <v>13</v>
      </c>
      <c r="D37" s="193">
        <f>SUM(E37:Q37)</f>
        <v>848495</v>
      </c>
      <c r="E37" s="207">
        <v>0</v>
      </c>
      <c r="F37" s="207">
        <v>450</v>
      </c>
      <c r="G37" s="208">
        <v>0</v>
      </c>
      <c r="H37" s="207">
        <v>0</v>
      </c>
      <c r="I37" s="209">
        <v>0</v>
      </c>
      <c r="J37" s="207">
        <v>0</v>
      </c>
      <c r="K37" s="209">
        <v>0</v>
      </c>
      <c r="L37" s="207">
        <v>670045</v>
      </c>
      <c r="M37" s="207">
        <v>0</v>
      </c>
      <c r="N37" s="207">
        <v>178000</v>
      </c>
      <c r="O37" s="207">
        <v>0</v>
      </c>
      <c r="P37" s="208">
        <v>0</v>
      </c>
      <c r="Q37" s="207">
        <v>0</v>
      </c>
      <c r="T37" s="214"/>
    </row>
    <row r="38" spans="1:20" s="156" customFormat="1" ht="20.25" customHeight="1" hidden="1">
      <c r="A38" s="695"/>
      <c r="B38" s="698"/>
      <c r="C38" s="192" t="s">
        <v>14</v>
      </c>
      <c r="D38" s="193">
        <f t="shared" si="5"/>
        <v>0</v>
      </c>
      <c r="E38" s="200">
        <v>0</v>
      </c>
      <c r="F38" s="200">
        <v>0</v>
      </c>
      <c r="G38" s="201">
        <v>0</v>
      </c>
      <c r="H38" s="200">
        <v>0</v>
      </c>
      <c r="I38" s="201">
        <v>0</v>
      </c>
      <c r="J38" s="200">
        <v>0</v>
      </c>
      <c r="K38" s="202">
        <v>0</v>
      </c>
      <c r="L38" s="203">
        <v>0</v>
      </c>
      <c r="M38" s="203">
        <v>0</v>
      </c>
      <c r="N38" s="200">
        <v>0</v>
      </c>
      <c r="O38" s="200">
        <v>0</v>
      </c>
      <c r="P38" s="201">
        <v>0</v>
      </c>
      <c r="Q38" s="200">
        <v>0</v>
      </c>
      <c r="T38" s="214"/>
    </row>
    <row r="39" spans="1:20" s="156" customFormat="1" ht="20.25" customHeight="1" hidden="1">
      <c r="A39" s="696"/>
      <c r="B39" s="699"/>
      <c r="C39" s="192" t="s">
        <v>15</v>
      </c>
      <c r="D39" s="193">
        <f t="shared" si="5"/>
        <v>848495</v>
      </c>
      <c r="E39" s="200">
        <f aca="true" t="shared" si="7" ref="E39:P39">E37+E38</f>
        <v>0</v>
      </c>
      <c r="F39" s="200">
        <f t="shared" si="7"/>
        <v>450</v>
      </c>
      <c r="G39" s="200">
        <f t="shared" si="7"/>
        <v>0</v>
      </c>
      <c r="H39" s="200">
        <f t="shared" si="7"/>
        <v>0</v>
      </c>
      <c r="I39" s="200">
        <f t="shared" si="7"/>
        <v>0</v>
      </c>
      <c r="J39" s="200">
        <f t="shared" si="7"/>
        <v>0</v>
      </c>
      <c r="K39" s="200">
        <f t="shared" si="7"/>
        <v>0</v>
      </c>
      <c r="L39" s="200">
        <f t="shared" si="7"/>
        <v>670045</v>
      </c>
      <c r="M39" s="200">
        <f t="shared" si="7"/>
        <v>0</v>
      </c>
      <c r="N39" s="200">
        <f t="shared" si="7"/>
        <v>178000</v>
      </c>
      <c r="O39" s="200">
        <f t="shared" si="7"/>
        <v>0</v>
      </c>
      <c r="P39" s="203">
        <f t="shared" si="7"/>
        <v>0</v>
      </c>
      <c r="Q39" s="200">
        <f>Q37+Q38</f>
        <v>0</v>
      </c>
      <c r="T39" s="214"/>
    </row>
    <row r="40" spans="1:20" s="210" customFormat="1" ht="6.75" customHeight="1" hidden="1">
      <c r="A40" s="255"/>
      <c r="B40" s="215"/>
      <c r="C40" s="216"/>
      <c r="D40" s="208"/>
      <c r="E40" s="217"/>
      <c r="F40" s="217"/>
      <c r="G40" s="217"/>
      <c r="H40" s="217"/>
      <c r="I40" s="217"/>
      <c r="J40" s="217"/>
      <c r="K40" s="217"/>
      <c r="L40" s="217"/>
      <c r="M40" s="208"/>
      <c r="N40" s="217"/>
      <c r="O40" s="217"/>
      <c r="P40" s="217"/>
      <c r="Q40" s="256"/>
      <c r="T40" s="211"/>
    </row>
    <row r="41" spans="1:20" s="156" customFormat="1" ht="20.25" customHeight="1" hidden="1">
      <c r="A41" s="694" t="s">
        <v>22</v>
      </c>
      <c r="B41" s="697" t="s">
        <v>23</v>
      </c>
      <c r="C41" s="192" t="s">
        <v>13</v>
      </c>
      <c r="D41" s="193">
        <f>SUM(E41:Q41)</f>
        <v>860000</v>
      </c>
      <c r="E41" s="207">
        <v>0</v>
      </c>
      <c r="F41" s="207">
        <v>860000</v>
      </c>
      <c r="G41" s="208">
        <v>0</v>
      </c>
      <c r="H41" s="207">
        <v>0</v>
      </c>
      <c r="I41" s="209">
        <v>0</v>
      </c>
      <c r="J41" s="207">
        <v>0</v>
      </c>
      <c r="K41" s="209">
        <v>0</v>
      </c>
      <c r="L41" s="207">
        <v>0</v>
      </c>
      <c r="M41" s="207">
        <v>0</v>
      </c>
      <c r="N41" s="207">
        <v>0</v>
      </c>
      <c r="O41" s="207">
        <v>0</v>
      </c>
      <c r="P41" s="208">
        <v>0</v>
      </c>
      <c r="Q41" s="207">
        <v>0</v>
      </c>
      <c r="T41" s="214"/>
    </row>
    <row r="42" spans="1:20" s="156" customFormat="1" ht="20.25" customHeight="1" hidden="1">
      <c r="A42" s="695"/>
      <c r="B42" s="698"/>
      <c r="C42" s="192" t="s">
        <v>14</v>
      </c>
      <c r="D42" s="193">
        <f t="shared" si="5"/>
        <v>0</v>
      </c>
      <c r="E42" s="200">
        <v>0</v>
      </c>
      <c r="F42" s="200">
        <v>0</v>
      </c>
      <c r="G42" s="201">
        <v>0</v>
      </c>
      <c r="H42" s="200">
        <v>0</v>
      </c>
      <c r="I42" s="201">
        <v>0</v>
      </c>
      <c r="J42" s="200">
        <v>0</v>
      </c>
      <c r="K42" s="202">
        <v>0</v>
      </c>
      <c r="L42" s="203">
        <v>0</v>
      </c>
      <c r="M42" s="203">
        <v>0</v>
      </c>
      <c r="N42" s="200">
        <v>0</v>
      </c>
      <c r="O42" s="200">
        <v>0</v>
      </c>
      <c r="P42" s="201">
        <v>0</v>
      </c>
      <c r="Q42" s="200">
        <v>0</v>
      </c>
      <c r="T42" s="214"/>
    </row>
    <row r="43" spans="1:20" s="156" customFormat="1" ht="20.25" customHeight="1" hidden="1">
      <c r="A43" s="696"/>
      <c r="B43" s="699"/>
      <c r="C43" s="192" t="s">
        <v>15</v>
      </c>
      <c r="D43" s="193">
        <f t="shared" si="5"/>
        <v>860000</v>
      </c>
      <c r="E43" s="200">
        <f aca="true" t="shared" si="8" ref="E43:P43">E41+E42</f>
        <v>0</v>
      </c>
      <c r="F43" s="200">
        <f t="shared" si="8"/>
        <v>860000</v>
      </c>
      <c r="G43" s="200">
        <f t="shared" si="8"/>
        <v>0</v>
      </c>
      <c r="H43" s="200">
        <f t="shared" si="8"/>
        <v>0</v>
      </c>
      <c r="I43" s="200">
        <f t="shared" si="8"/>
        <v>0</v>
      </c>
      <c r="J43" s="200">
        <f t="shared" si="8"/>
        <v>0</v>
      </c>
      <c r="K43" s="200">
        <f t="shared" si="8"/>
        <v>0</v>
      </c>
      <c r="L43" s="200">
        <f t="shared" si="8"/>
        <v>0</v>
      </c>
      <c r="M43" s="200">
        <f t="shared" si="8"/>
        <v>0</v>
      </c>
      <c r="N43" s="200">
        <f t="shared" si="8"/>
        <v>0</v>
      </c>
      <c r="O43" s="200">
        <f t="shared" si="8"/>
        <v>0</v>
      </c>
      <c r="P43" s="203">
        <f t="shared" si="8"/>
        <v>0</v>
      </c>
      <c r="Q43" s="200">
        <f>Q41+Q42</f>
        <v>0</v>
      </c>
      <c r="T43" s="214"/>
    </row>
    <row r="44" spans="1:20" s="156" customFormat="1" ht="20.25" customHeight="1" hidden="1">
      <c r="A44" s="253"/>
      <c r="B44" s="213"/>
      <c r="C44" s="213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7"/>
      <c r="T44" s="214"/>
    </row>
    <row r="45" spans="1:20" s="156" customFormat="1" ht="20.25" customHeight="1" hidden="1">
      <c r="A45" s="694" t="s">
        <v>25</v>
      </c>
      <c r="B45" s="697" t="s">
        <v>26</v>
      </c>
      <c r="C45" s="192" t="s">
        <v>13</v>
      </c>
      <c r="D45" s="193">
        <f>SUM(E45:Q45)</f>
        <v>380050</v>
      </c>
      <c r="E45" s="207">
        <v>0</v>
      </c>
      <c r="F45" s="207">
        <v>24050</v>
      </c>
      <c r="G45" s="208">
        <v>0</v>
      </c>
      <c r="H45" s="207">
        <v>0</v>
      </c>
      <c r="I45" s="209">
        <v>0</v>
      </c>
      <c r="J45" s="207">
        <v>0</v>
      </c>
      <c r="K45" s="209">
        <v>0</v>
      </c>
      <c r="L45" s="207">
        <v>0</v>
      </c>
      <c r="M45" s="207">
        <v>0</v>
      </c>
      <c r="N45" s="207">
        <v>356000</v>
      </c>
      <c r="O45" s="207">
        <v>0</v>
      </c>
      <c r="P45" s="208">
        <v>0</v>
      </c>
      <c r="Q45" s="207">
        <v>0</v>
      </c>
      <c r="T45" s="214"/>
    </row>
    <row r="46" spans="1:20" s="156" customFormat="1" ht="20.25" customHeight="1" hidden="1">
      <c r="A46" s="695"/>
      <c r="B46" s="698"/>
      <c r="C46" s="192" t="s">
        <v>14</v>
      </c>
      <c r="D46" s="193">
        <f t="shared" si="5"/>
        <v>0</v>
      </c>
      <c r="E46" s="200">
        <v>0</v>
      </c>
      <c r="F46" s="200">
        <v>0</v>
      </c>
      <c r="G46" s="201">
        <v>0</v>
      </c>
      <c r="H46" s="200">
        <v>0</v>
      </c>
      <c r="I46" s="201">
        <v>0</v>
      </c>
      <c r="J46" s="200">
        <v>0</v>
      </c>
      <c r="K46" s="202">
        <v>0</v>
      </c>
      <c r="L46" s="203">
        <v>0</v>
      </c>
      <c r="M46" s="203">
        <v>0</v>
      </c>
      <c r="N46" s="200">
        <v>0</v>
      </c>
      <c r="O46" s="200">
        <v>0</v>
      </c>
      <c r="P46" s="201">
        <v>0</v>
      </c>
      <c r="Q46" s="200">
        <v>0</v>
      </c>
      <c r="T46" s="214"/>
    </row>
    <row r="47" spans="1:20" s="156" customFormat="1" ht="20.25" customHeight="1" hidden="1">
      <c r="A47" s="696"/>
      <c r="B47" s="699"/>
      <c r="C47" s="192" t="s">
        <v>15</v>
      </c>
      <c r="D47" s="193">
        <f t="shared" si="5"/>
        <v>380050</v>
      </c>
      <c r="E47" s="200">
        <f aca="true" t="shared" si="9" ref="E47:P47">E45+E46</f>
        <v>0</v>
      </c>
      <c r="F47" s="200">
        <f t="shared" si="9"/>
        <v>24050</v>
      </c>
      <c r="G47" s="200">
        <f t="shared" si="9"/>
        <v>0</v>
      </c>
      <c r="H47" s="200">
        <f t="shared" si="9"/>
        <v>0</v>
      </c>
      <c r="I47" s="200">
        <f t="shared" si="9"/>
        <v>0</v>
      </c>
      <c r="J47" s="200">
        <f t="shared" si="9"/>
        <v>0</v>
      </c>
      <c r="K47" s="200">
        <f t="shared" si="9"/>
        <v>0</v>
      </c>
      <c r="L47" s="200">
        <f t="shared" si="9"/>
        <v>0</v>
      </c>
      <c r="M47" s="200">
        <f t="shared" si="9"/>
        <v>0</v>
      </c>
      <c r="N47" s="200">
        <f t="shared" si="9"/>
        <v>356000</v>
      </c>
      <c r="O47" s="200">
        <f t="shared" si="9"/>
        <v>0</v>
      </c>
      <c r="P47" s="203">
        <f t="shared" si="9"/>
        <v>0</v>
      </c>
      <c r="Q47" s="200">
        <f>Q45+Q46</f>
        <v>0</v>
      </c>
      <c r="T47" s="214"/>
    </row>
    <row r="48" spans="1:20" s="156" customFormat="1" ht="20.25" customHeight="1" hidden="1">
      <c r="A48" s="253"/>
      <c r="B48" s="213"/>
      <c r="C48" s="213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7"/>
      <c r="T48" s="214"/>
    </row>
    <row r="49" spans="1:20" s="156" customFormat="1" ht="18.75" customHeight="1" hidden="1">
      <c r="A49" s="694" t="s">
        <v>70</v>
      </c>
      <c r="B49" s="697" t="s">
        <v>71</v>
      </c>
      <c r="C49" s="192" t="s">
        <v>13</v>
      </c>
      <c r="D49" s="193">
        <f>SUM(E49:Q49)</f>
        <v>805529</v>
      </c>
      <c r="E49" s="207">
        <v>0</v>
      </c>
      <c r="F49" s="207">
        <v>0</v>
      </c>
      <c r="G49" s="208">
        <v>0</v>
      </c>
      <c r="H49" s="207">
        <v>0</v>
      </c>
      <c r="I49" s="209">
        <v>0</v>
      </c>
      <c r="J49" s="207">
        <v>57555</v>
      </c>
      <c r="K49" s="209">
        <v>0</v>
      </c>
      <c r="L49" s="207">
        <v>0</v>
      </c>
      <c r="M49" s="207">
        <v>445</v>
      </c>
      <c r="N49" s="207">
        <v>0</v>
      </c>
      <c r="O49" s="207">
        <v>747529</v>
      </c>
      <c r="P49" s="208">
        <v>0</v>
      </c>
      <c r="Q49" s="207">
        <v>0</v>
      </c>
      <c r="T49" s="214"/>
    </row>
    <row r="50" spans="1:20" s="156" customFormat="1" ht="18.75" customHeight="1" hidden="1">
      <c r="A50" s="695"/>
      <c r="B50" s="698"/>
      <c r="C50" s="192" t="s">
        <v>14</v>
      </c>
      <c r="D50" s="193">
        <f t="shared" si="5"/>
        <v>0</v>
      </c>
      <c r="E50" s="200">
        <v>0</v>
      </c>
      <c r="F50" s="200">
        <v>0</v>
      </c>
      <c r="G50" s="201">
        <v>0</v>
      </c>
      <c r="H50" s="200">
        <v>0</v>
      </c>
      <c r="I50" s="201">
        <v>0</v>
      </c>
      <c r="J50" s="200">
        <v>0</v>
      </c>
      <c r="K50" s="202">
        <v>0</v>
      </c>
      <c r="L50" s="203">
        <v>0</v>
      </c>
      <c r="M50" s="203">
        <v>0</v>
      </c>
      <c r="N50" s="200">
        <v>0</v>
      </c>
      <c r="O50" s="200">
        <v>0</v>
      </c>
      <c r="P50" s="201">
        <v>0</v>
      </c>
      <c r="Q50" s="200">
        <v>0</v>
      </c>
      <c r="T50" s="214"/>
    </row>
    <row r="51" spans="1:20" s="156" customFormat="1" ht="18.75" customHeight="1" hidden="1">
      <c r="A51" s="696"/>
      <c r="B51" s="699"/>
      <c r="C51" s="192" t="s">
        <v>15</v>
      </c>
      <c r="D51" s="193">
        <f t="shared" si="5"/>
        <v>805529</v>
      </c>
      <c r="E51" s="200">
        <f aca="true" t="shared" si="10" ref="E51:P51">E49+E50</f>
        <v>0</v>
      </c>
      <c r="F51" s="200">
        <f t="shared" si="10"/>
        <v>0</v>
      </c>
      <c r="G51" s="200">
        <f t="shared" si="10"/>
        <v>0</v>
      </c>
      <c r="H51" s="200">
        <f t="shared" si="10"/>
        <v>0</v>
      </c>
      <c r="I51" s="200">
        <f t="shared" si="10"/>
        <v>0</v>
      </c>
      <c r="J51" s="200">
        <f t="shared" si="10"/>
        <v>57555</v>
      </c>
      <c r="K51" s="200">
        <f t="shared" si="10"/>
        <v>0</v>
      </c>
      <c r="L51" s="200">
        <f t="shared" si="10"/>
        <v>0</v>
      </c>
      <c r="M51" s="200">
        <f t="shared" si="10"/>
        <v>445</v>
      </c>
      <c r="N51" s="200">
        <f t="shared" si="10"/>
        <v>0</v>
      </c>
      <c r="O51" s="200">
        <f t="shared" si="10"/>
        <v>747529</v>
      </c>
      <c r="P51" s="203">
        <f t="shared" si="10"/>
        <v>0</v>
      </c>
      <c r="Q51" s="200">
        <f>Q49+Q50</f>
        <v>0</v>
      </c>
      <c r="T51" s="214"/>
    </row>
    <row r="52" spans="1:20" s="156" customFormat="1" ht="7.5" customHeight="1" hidden="1">
      <c r="A52" s="252"/>
      <c r="B52" s="212"/>
      <c r="C52" s="212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7"/>
      <c r="T52" s="214"/>
    </row>
    <row r="53" spans="1:20" s="210" customFormat="1" ht="17.25" customHeight="1">
      <c r="A53" s="694" t="s">
        <v>28</v>
      </c>
      <c r="B53" s="697" t="s">
        <v>29</v>
      </c>
      <c r="C53" s="192" t="s">
        <v>13</v>
      </c>
      <c r="D53" s="193">
        <f aca="true" t="shared" si="11" ref="D53:D103">SUM(E53:Q53)</f>
        <v>3087885</v>
      </c>
      <c r="E53" s="207">
        <v>0</v>
      </c>
      <c r="F53" s="207">
        <v>141400</v>
      </c>
      <c r="G53" s="218">
        <v>163142</v>
      </c>
      <c r="H53" s="207">
        <v>1464482</v>
      </c>
      <c r="I53" s="209">
        <v>269510</v>
      </c>
      <c r="J53" s="207">
        <v>762351</v>
      </c>
      <c r="K53" s="209">
        <v>0</v>
      </c>
      <c r="L53" s="207">
        <v>0</v>
      </c>
      <c r="M53" s="207">
        <v>0</v>
      </c>
      <c r="N53" s="207">
        <v>287000</v>
      </c>
      <c r="O53" s="207">
        <v>0</v>
      </c>
      <c r="P53" s="208">
        <v>0</v>
      </c>
      <c r="Q53" s="207">
        <v>0</v>
      </c>
      <c r="T53" s="211"/>
    </row>
    <row r="54" spans="1:20" s="210" customFormat="1" ht="17.25" customHeight="1">
      <c r="A54" s="695"/>
      <c r="B54" s="698"/>
      <c r="C54" s="192" t="s">
        <v>14</v>
      </c>
      <c r="D54" s="193">
        <f t="shared" si="11"/>
        <v>2800</v>
      </c>
      <c r="E54" s="200">
        <v>0</v>
      </c>
      <c r="F54" s="200">
        <v>0</v>
      </c>
      <c r="G54" s="201">
        <v>0</v>
      </c>
      <c r="H54" s="200">
        <v>0</v>
      </c>
      <c r="I54" s="201">
        <v>0</v>
      </c>
      <c r="J54" s="200">
        <v>0</v>
      </c>
      <c r="K54" s="202">
        <v>0</v>
      </c>
      <c r="L54" s="203">
        <v>0</v>
      </c>
      <c r="M54" s="203">
        <v>0</v>
      </c>
      <c r="N54" s="200">
        <v>0</v>
      </c>
      <c r="O54" s="200">
        <v>0</v>
      </c>
      <c r="P54" s="201">
        <v>2800</v>
      </c>
      <c r="Q54" s="200">
        <v>0</v>
      </c>
      <c r="T54" s="211"/>
    </row>
    <row r="55" spans="1:20" s="210" customFormat="1" ht="17.25" customHeight="1">
      <c r="A55" s="696"/>
      <c r="B55" s="699"/>
      <c r="C55" s="192" t="s">
        <v>15</v>
      </c>
      <c r="D55" s="193">
        <f t="shared" si="11"/>
        <v>3090685</v>
      </c>
      <c r="E55" s="200">
        <f aca="true" t="shared" si="12" ref="E55:P55">E53+E54</f>
        <v>0</v>
      </c>
      <c r="F55" s="200">
        <f t="shared" si="12"/>
        <v>141400</v>
      </c>
      <c r="G55" s="200">
        <f t="shared" si="12"/>
        <v>163142</v>
      </c>
      <c r="H55" s="200">
        <f t="shared" si="12"/>
        <v>1464482</v>
      </c>
      <c r="I55" s="200">
        <f t="shared" si="12"/>
        <v>269510</v>
      </c>
      <c r="J55" s="200">
        <f t="shared" si="12"/>
        <v>762351</v>
      </c>
      <c r="K55" s="200">
        <f t="shared" si="12"/>
        <v>0</v>
      </c>
      <c r="L55" s="200">
        <f t="shared" si="12"/>
        <v>0</v>
      </c>
      <c r="M55" s="200">
        <f t="shared" si="12"/>
        <v>0</v>
      </c>
      <c r="N55" s="200">
        <f t="shared" si="12"/>
        <v>287000</v>
      </c>
      <c r="O55" s="200">
        <f t="shared" si="12"/>
        <v>0</v>
      </c>
      <c r="P55" s="203">
        <f t="shared" si="12"/>
        <v>2800</v>
      </c>
      <c r="Q55" s="200">
        <f>Q53+Q54</f>
        <v>0</v>
      </c>
      <c r="T55" s="211"/>
    </row>
    <row r="56" spans="1:20" s="210" customFormat="1" ht="6.75" customHeight="1">
      <c r="A56" s="252"/>
      <c r="B56" s="212"/>
      <c r="C56" s="212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7"/>
      <c r="T56" s="211"/>
    </row>
    <row r="57" spans="1:20" s="210" customFormat="1" ht="20.25" customHeight="1" hidden="1">
      <c r="A57" s="694" t="s">
        <v>57</v>
      </c>
      <c r="B57" s="697" t="s">
        <v>58</v>
      </c>
      <c r="C57" s="192" t="s">
        <v>13</v>
      </c>
      <c r="D57" s="193">
        <f>SUM(E57:Q57)</f>
        <v>5000</v>
      </c>
      <c r="E57" s="207">
        <v>0</v>
      </c>
      <c r="F57" s="207">
        <v>0</v>
      </c>
      <c r="G57" s="218">
        <v>0</v>
      </c>
      <c r="H57" s="207">
        <v>0</v>
      </c>
      <c r="I57" s="209">
        <v>0</v>
      </c>
      <c r="J57" s="207">
        <v>0</v>
      </c>
      <c r="K57" s="209">
        <v>0</v>
      </c>
      <c r="L57" s="207">
        <v>0</v>
      </c>
      <c r="M57" s="207">
        <v>0</v>
      </c>
      <c r="N57" s="207">
        <v>5000</v>
      </c>
      <c r="O57" s="207">
        <v>0</v>
      </c>
      <c r="P57" s="208">
        <v>0</v>
      </c>
      <c r="Q57" s="207">
        <v>0</v>
      </c>
      <c r="T57" s="211"/>
    </row>
    <row r="58" spans="1:20" s="210" customFormat="1" ht="20.25" customHeight="1" hidden="1">
      <c r="A58" s="695"/>
      <c r="B58" s="698"/>
      <c r="C58" s="192" t="s">
        <v>14</v>
      </c>
      <c r="D58" s="193">
        <f t="shared" si="11"/>
        <v>0</v>
      </c>
      <c r="E58" s="200">
        <v>0</v>
      </c>
      <c r="F58" s="200">
        <v>0</v>
      </c>
      <c r="G58" s="201">
        <v>0</v>
      </c>
      <c r="H58" s="200">
        <v>0</v>
      </c>
      <c r="I58" s="201">
        <v>0</v>
      </c>
      <c r="J58" s="200">
        <v>0</v>
      </c>
      <c r="K58" s="202">
        <v>0</v>
      </c>
      <c r="L58" s="203">
        <v>0</v>
      </c>
      <c r="M58" s="203">
        <v>0</v>
      </c>
      <c r="N58" s="200">
        <v>0</v>
      </c>
      <c r="O58" s="200">
        <v>0</v>
      </c>
      <c r="P58" s="201">
        <v>0</v>
      </c>
      <c r="Q58" s="200">
        <v>0</v>
      </c>
      <c r="T58" s="211"/>
    </row>
    <row r="59" spans="1:20" s="210" customFormat="1" ht="20.25" customHeight="1" hidden="1">
      <c r="A59" s="696"/>
      <c r="B59" s="699"/>
      <c r="C59" s="192" t="s">
        <v>15</v>
      </c>
      <c r="D59" s="193">
        <f t="shared" si="11"/>
        <v>5000</v>
      </c>
      <c r="E59" s="200">
        <f aca="true" t="shared" si="13" ref="E59:P59">E57+E58</f>
        <v>0</v>
      </c>
      <c r="F59" s="200">
        <f t="shared" si="13"/>
        <v>0</v>
      </c>
      <c r="G59" s="200">
        <f t="shared" si="13"/>
        <v>0</v>
      </c>
      <c r="H59" s="200">
        <f t="shared" si="13"/>
        <v>0</v>
      </c>
      <c r="I59" s="200">
        <f t="shared" si="13"/>
        <v>0</v>
      </c>
      <c r="J59" s="200">
        <f t="shared" si="13"/>
        <v>0</v>
      </c>
      <c r="K59" s="200">
        <f t="shared" si="13"/>
        <v>0</v>
      </c>
      <c r="L59" s="200">
        <f t="shared" si="13"/>
        <v>0</v>
      </c>
      <c r="M59" s="200">
        <f t="shared" si="13"/>
        <v>0</v>
      </c>
      <c r="N59" s="200">
        <f t="shared" si="13"/>
        <v>5000</v>
      </c>
      <c r="O59" s="200">
        <f t="shared" si="13"/>
        <v>0</v>
      </c>
      <c r="P59" s="203">
        <f t="shared" si="13"/>
        <v>0</v>
      </c>
      <c r="Q59" s="200">
        <f>Q57+Q58</f>
        <v>0</v>
      </c>
      <c r="T59" s="211"/>
    </row>
    <row r="60" spans="1:20" s="210" customFormat="1" ht="5.25" customHeight="1" hidden="1">
      <c r="A60" s="252"/>
      <c r="B60" s="212"/>
      <c r="C60" s="212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7"/>
      <c r="T60" s="211"/>
    </row>
    <row r="61" spans="1:20" s="210" customFormat="1" ht="27" customHeight="1">
      <c r="A61" s="694" t="s">
        <v>446</v>
      </c>
      <c r="B61" s="697" t="s">
        <v>447</v>
      </c>
      <c r="C61" s="192" t="s">
        <v>13</v>
      </c>
      <c r="D61" s="193">
        <f>SUM(E61:Q61)</f>
        <v>315962972</v>
      </c>
      <c r="E61" s="207">
        <v>315252272</v>
      </c>
      <c r="F61" s="207">
        <v>710700</v>
      </c>
      <c r="G61" s="208">
        <v>0</v>
      </c>
      <c r="H61" s="207">
        <v>0</v>
      </c>
      <c r="I61" s="209">
        <v>0</v>
      </c>
      <c r="J61" s="207">
        <v>0</v>
      </c>
      <c r="K61" s="209">
        <v>0</v>
      </c>
      <c r="L61" s="207">
        <v>0</v>
      </c>
      <c r="M61" s="207">
        <v>0</v>
      </c>
      <c r="N61" s="207">
        <v>0</v>
      </c>
      <c r="O61" s="207">
        <v>0</v>
      </c>
      <c r="P61" s="208">
        <v>0</v>
      </c>
      <c r="Q61" s="207">
        <v>0</v>
      </c>
      <c r="T61" s="211"/>
    </row>
    <row r="62" spans="1:20" s="210" customFormat="1" ht="27" customHeight="1">
      <c r="A62" s="695"/>
      <c r="B62" s="698"/>
      <c r="C62" s="192" t="s">
        <v>14</v>
      </c>
      <c r="D62" s="193">
        <f t="shared" si="11"/>
        <v>-62027451</v>
      </c>
      <c r="E62" s="200">
        <v>-62027451</v>
      </c>
      <c r="F62" s="200">
        <v>0</v>
      </c>
      <c r="G62" s="201">
        <v>0</v>
      </c>
      <c r="H62" s="200">
        <v>0</v>
      </c>
      <c r="I62" s="201">
        <v>0</v>
      </c>
      <c r="J62" s="200">
        <v>0</v>
      </c>
      <c r="K62" s="202">
        <v>0</v>
      </c>
      <c r="L62" s="203">
        <v>0</v>
      </c>
      <c r="M62" s="203">
        <v>0</v>
      </c>
      <c r="N62" s="200">
        <v>0</v>
      </c>
      <c r="O62" s="200">
        <v>0</v>
      </c>
      <c r="P62" s="201">
        <v>0</v>
      </c>
      <c r="Q62" s="200">
        <v>0</v>
      </c>
      <c r="T62" s="211"/>
    </row>
    <row r="63" spans="1:20" s="210" customFormat="1" ht="27" customHeight="1">
      <c r="A63" s="696"/>
      <c r="B63" s="699"/>
      <c r="C63" s="192" t="s">
        <v>15</v>
      </c>
      <c r="D63" s="193">
        <f t="shared" si="11"/>
        <v>253935521</v>
      </c>
      <c r="E63" s="200">
        <f aca="true" t="shared" si="14" ref="E63:P63">E61+E62</f>
        <v>253224821</v>
      </c>
      <c r="F63" s="200">
        <f t="shared" si="14"/>
        <v>710700</v>
      </c>
      <c r="G63" s="200">
        <f t="shared" si="14"/>
        <v>0</v>
      </c>
      <c r="H63" s="200">
        <f t="shared" si="14"/>
        <v>0</v>
      </c>
      <c r="I63" s="200">
        <f t="shared" si="14"/>
        <v>0</v>
      </c>
      <c r="J63" s="200">
        <f t="shared" si="14"/>
        <v>0</v>
      </c>
      <c r="K63" s="200">
        <f t="shared" si="14"/>
        <v>0</v>
      </c>
      <c r="L63" s="200">
        <f t="shared" si="14"/>
        <v>0</v>
      </c>
      <c r="M63" s="200">
        <f t="shared" si="14"/>
        <v>0</v>
      </c>
      <c r="N63" s="200">
        <f t="shared" si="14"/>
        <v>0</v>
      </c>
      <c r="O63" s="200">
        <f t="shared" si="14"/>
        <v>0</v>
      </c>
      <c r="P63" s="203">
        <f t="shared" si="14"/>
        <v>0</v>
      </c>
      <c r="Q63" s="200">
        <f>Q61+Q62</f>
        <v>0</v>
      </c>
      <c r="T63" s="211"/>
    </row>
    <row r="64" spans="1:20" s="210" customFormat="1" ht="6.75" customHeight="1">
      <c r="A64" s="252"/>
      <c r="B64" s="212"/>
      <c r="C64" s="212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7"/>
      <c r="T64" s="211"/>
    </row>
    <row r="65" spans="1:20" s="210" customFormat="1" ht="17.25" customHeight="1">
      <c r="A65" s="694" t="s">
        <v>140</v>
      </c>
      <c r="B65" s="697" t="s">
        <v>141</v>
      </c>
      <c r="C65" s="192" t="s">
        <v>13</v>
      </c>
      <c r="D65" s="193">
        <f>SUM(E65:Q65)</f>
        <v>423490546</v>
      </c>
      <c r="E65" s="207">
        <v>303652857</v>
      </c>
      <c r="F65" s="207">
        <v>1714000</v>
      </c>
      <c r="G65" s="218">
        <v>59035841</v>
      </c>
      <c r="H65" s="207">
        <v>35987050</v>
      </c>
      <c r="I65" s="209">
        <v>23100798</v>
      </c>
      <c r="J65" s="207">
        <v>0</v>
      </c>
      <c r="K65" s="207">
        <v>0</v>
      </c>
      <c r="L65" s="207">
        <v>0</v>
      </c>
      <c r="M65" s="207">
        <v>0</v>
      </c>
      <c r="N65" s="207">
        <v>0</v>
      </c>
      <c r="O65" s="207">
        <v>0</v>
      </c>
      <c r="P65" s="218">
        <v>0</v>
      </c>
      <c r="Q65" s="207">
        <v>0</v>
      </c>
      <c r="T65" s="211"/>
    </row>
    <row r="66" spans="1:20" s="210" customFormat="1" ht="17.25" customHeight="1">
      <c r="A66" s="695"/>
      <c r="B66" s="698"/>
      <c r="C66" s="192" t="s">
        <v>14</v>
      </c>
      <c r="D66" s="193">
        <f t="shared" si="11"/>
        <v>39888181</v>
      </c>
      <c r="E66" s="200">
        <f>956730-1532763-580734</f>
        <v>-1156767</v>
      </c>
      <c r="F66" s="200">
        <v>0</v>
      </c>
      <c r="G66" s="201">
        <f>626720+317866+29852233+9482179</f>
        <v>40278998</v>
      </c>
      <c r="H66" s="200">
        <v>765950</v>
      </c>
      <c r="I66" s="201">
        <f>-1066245+1066245</f>
        <v>0</v>
      </c>
      <c r="J66" s="200">
        <v>0</v>
      </c>
      <c r="K66" s="202">
        <v>0</v>
      </c>
      <c r="L66" s="203">
        <v>0</v>
      </c>
      <c r="M66" s="203">
        <v>0</v>
      </c>
      <c r="N66" s="200">
        <v>0</v>
      </c>
      <c r="O66" s="200">
        <v>0</v>
      </c>
      <c r="P66" s="201">
        <v>0</v>
      </c>
      <c r="Q66" s="200">
        <v>0</v>
      </c>
      <c r="T66" s="211"/>
    </row>
    <row r="67" spans="1:20" s="210" customFormat="1" ht="17.25" customHeight="1">
      <c r="A67" s="696"/>
      <c r="B67" s="699"/>
      <c r="C67" s="192" t="s">
        <v>15</v>
      </c>
      <c r="D67" s="193">
        <f t="shared" si="11"/>
        <v>463378727</v>
      </c>
      <c r="E67" s="200">
        <f aca="true" t="shared" si="15" ref="E67:P67">E65+E66</f>
        <v>302496090</v>
      </c>
      <c r="F67" s="200">
        <f t="shared" si="15"/>
        <v>1714000</v>
      </c>
      <c r="G67" s="200">
        <f t="shared" si="15"/>
        <v>99314839</v>
      </c>
      <c r="H67" s="200">
        <f t="shared" si="15"/>
        <v>36753000</v>
      </c>
      <c r="I67" s="200">
        <f t="shared" si="15"/>
        <v>23100798</v>
      </c>
      <c r="J67" s="200">
        <f t="shared" si="15"/>
        <v>0</v>
      </c>
      <c r="K67" s="200">
        <f t="shared" si="15"/>
        <v>0</v>
      </c>
      <c r="L67" s="200">
        <f t="shared" si="15"/>
        <v>0</v>
      </c>
      <c r="M67" s="200">
        <f t="shared" si="15"/>
        <v>0</v>
      </c>
      <c r="N67" s="200">
        <f t="shared" si="15"/>
        <v>0</v>
      </c>
      <c r="O67" s="200">
        <f t="shared" si="15"/>
        <v>0</v>
      </c>
      <c r="P67" s="203">
        <f t="shared" si="15"/>
        <v>0</v>
      </c>
      <c r="Q67" s="200">
        <f>Q65+Q66</f>
        <v>0</v>
      </c>
      <c r="T67" s="211"/>
    </row>
    <row r="68" spans="1:20" s="210" customFormat="1" ht="6.75" customHeight="1">
      <c r="A68" s="252"/>
      <c r="B68" s="212"/>
      <c r="C68" s="212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7"/>
      <c r="T68" s="211"/>
    </row>
    <row r="69" spans="1:20" s="210" customFormat="1" ht="18" customHeight="1" hidden="1">
      <c r="A69" s="694" t="s">
        <v>31</v>
      </c>
      <c r="B69" s="697" t="s">
        <v>32</v>
      </c>
      <c r="C69" s="192" t="s">
        <v>13</v>
      </c>
      <c r="D69" s="193">
        <f>SUM(E69:Q69)</f>
        <v>1441417</v>
      </c>
      <c r="E69" s="207">
        <v>0</v>
      </c>
      <c r="F69" s="207">
        <v>552565</v>
      </c>
      <c r="G69" s="208">
        <v>164268</v>
      </c>
      <c r="H69" s="207">
        <v>0</v>
      </c>
      <c r="I69" s="209">
        <v>21671</v>
      </c>
      <c r="J69" s="207">
        <v>0</v>
      </c>
      <c r="K69" s="209">
        <v>0</v>
      </c>
      <c r="L69" s="207">
        <v>22913</v>
      </c>
      <c r="M69" s="207">
        <v>0</v>
      </c>
      <c r="N69" s="207">
        <v>0</v>
      </c>
      <c r="O69" s="207">
        <v>680000</v>
      </c>
      <c r="P69" s="208">
        <v>0</v>
      </c>
      <c r="Q69" s="207">
        <v>0</v>
      </c>
      <c r="T69" s="211"/>
    </row>
    <row r="70" spans="1:20" s="210" customFormat="1" ht="18" customHeight="1" hidden="1">
      <c r="A70" s="695"/>
      <c r="B70" s="698"/>
      <c r="C70" s="192" t="s">
        <v>14</v>
      </c>
      <c r="D70" s="193">
        <f t="shared" si="11"/>
        <v>0</v>
      </c>
      <c r="E70" s="200">
        <v>0</v>
      </c>
      <c r="F70" s="200">
        <v>0</v>
      </c>
      <c r="G70" s="201">
        <v>0</v>
      </c>
      <c r="H70" s="200">
        <v>0</v>
      </c>
      <c r="I70" s="201">
        <v>0</v>
      </c>
      <c r="J70" s="200">
        <v>0</v>
      </c>
      <c r="K70" s="202">
        <v>0</v>
      </c>
      <c r="L70" s="203">
        <v>0</v>
      </c>
      <c r="M70" s="203">
        <v>0</v>
      </c>
      <c r="N70" s="200">
        <v>0</v>
      </c>
      <c r="O70" s="200">
        <v>0</v>
      </c>
      <c r="P70" s="201">
        <v>0</v>
      </c>
      <c r="Q70" s="200">
        <v>0</v>
      </c>
      <c r="T70" s="211"/>
    </row>
    <row r="71" spans="1:20" s="210" customFormat="1" ht="18" customHeight="1" hidden="1">
      <c r="A71" s="696"/>
      <c r="B71" s="699"/>
      <c r="C71" s="192" t="s">
        <v>15</v>
      </c>
      <c r="D71" s="193">
        <f t="shared" si="11"/>
        <v>1441417</v>
      </c>
      <c r="E71" s="200">
        <f aca="true" t="shared" si="16" ref="E71:P71">E69+E70</f>
        <v>0</v>
      </c>
      <c r="F71" s="200">
        <f t="shared" si="16"/>
        <v>552565</v>
      </c>
      <c r="G71" s="200">
        <f t="shared" si="16"/>
        <v>164268</v>
      </c>
      <c r="H71" s="200">
        <f t="shared" si="16"/>
        <v>0</v>
      </c>
      <c r="I71" s="200">
        <f t="shared" si="16"/>
        <v>21671</v>
      </c>
      <c r="J71" s="200">
        <f t="shared" si="16"/>
        <v>0</v>
      </c>
      <c r="K71" s="200">
        <f t="shared" si="16"/>
        <v>0</v>
      </c>
      <c r="L71" s="200">
        <f t="shared" si="16"/>
        <v>22913</v>
      </c>
      <c r="M71" s="200">
        <f t="shared" si="16"/>
        <v>0</v>
      </c>
      <c r="N71" s="200">
        <f t="shared" si="16"/>
        <v>0</v>
      </c>
      <c r="O71" s="200">
        <f t="shared" si="16"/>
        <v>680000</v>
      </c>
      <c r="P71" s="203">
        <f t="shared" si="16"/>
        <v>0</v>
      </c>
      <c r="Q71" s="200">
        <f>Q69+Q70</f>
        <v>0</v>
      </c>
      <c r="T71" s="211"/>
    </row>
    <row r="72" spans="1:20" s="210" customFormat="1" ht="7.5" customHeight="1" hidden="1">
      <c r="A72" s="252"/>
      <c r="B72" s="212"/>
      <c r="C72" s="212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7"/>
      <c r="T72" s="211"/>
    </row>
    <row r="73" spans="1:20" s="210" customFormat="1" ht="20.25" customHeight="1" hidden="1">
      <c r="A73" s="694" t="s">
        <v>34</v>
      </c>
      <c r="B73" s="697" t="s">
        <v>35</v>
      </c>
      <c r="C73" s="192" t="s">
        <v>13</v>
      </c>
      <c r="D73" s="193">
        <f>SUM(E73:Q73)</f>
        <v>1218324</v>
      </c>
      <c r="E73" s="207">
        <v>0</v>
      </c>
      <c r="F73" s="207">
        <v>0</v>
      </c>
      <c r="G73" s="208">
        <v>0</v>
      </c>
      <c r="H73" s="207">
        <v>0</v>
      </c>
      <c r="I73" s="209">
        <v>0</v>
      </c>
      <c r="J73" s="207">
        <v>0</v>
      </c>
      <c r="K73" s="209">
        <v>0</v>
      </c>
      <c r="L73" s="207">
        <v>0</v>
      </c>
      <c r="M73" s="207">
        <v>0</v>
      </c>
      <c r="N73" s="207">
        <v>1153324</v>
      </c>
      <c r="O73" s="207">
        <v>65000</v>
      </c>
      <c r="P73" s="208">
        <v>0</v>
      </c>
      <c r="Q73" s="207">
        <v>0</v>
      </c>
      <c r="T73" s="211"/>
    </row>
    <row r="74" spans="1:20" s="210" customFormat="1" ht="20.25" customHeight="1" hidden="1">
      <c r="A74" s="695"/>
      <c r="B74" s="698"/>
      <c r="C74" s="192" t="s">
        <v>14</v>
      </c>
      <c r="D74" s="193">
        <f t="shared" si="11"/>
        <v>0</v>
      </c>
      <c r="E74" s="200">
        <v>0</v>
      </c>
      <c r="F74" s="200">
        <v>0</v>
      </c>
      <c r="G74" s="201">
        <v>0</v>
      </c>
      <c r="H74" s="200">
        <v>0</v>
      </c>
      <c r="I74" s="201">
        <v>0</v>
      </c>
      <c r="J74" s="200">
        <v>0</v>
      </c>
      <c r="K74" s="202">
        <v>0</v>
      </c>
      <c r="L74" s="203">
        <v>0</v>
      </c>
      <c r="M74" s="203">
        <v>0</v>
      </c>
      <c r="N74" s="200">
        <v>0</v>
      </c>
      <c r="O74" s="200">
        <v>0</v>
      </c>
      <c r="P74" s="201">
        <v>0</v>
      </c>
      <c r="Q74" s="200">
        <v>0</v>
      </c>
      <c r="T74" s="211"/>
    </row>
    <row r="75" spans="1:20" s="210" customFormat="1" ht="20.25" customHeight="1" hidden="1">
      <c r="A75" s="696"/>
      <c r="B75" s="699"/>
      <c r="C75" s="192" t="s">
        <v>15</v>
      </c>
      <c r="D75" s="193">
        <f>SUM(E75:Q75)</f>
        <v>1218324</v>
      </c>
      <c r="E75" s="200">
        <f aca="true" t="shared" si="17" ref="E75:P75">E73+E74</f>
        <v>0</v>
      </c>
      <c r="F75" s="200">
        <f t="shared" si="17"/>
        <v>0</v>
      </c>
      <c r="G75" s="200">
        <f t="shared" si="17"/>
        <v>0</v>
      </c>
      <c r="H75" s="200">
        <f t="shared" si="17"/>
        <v>0</v>
      </c>
      <c r="I75" s="200">
        <f t="shared" si="17"/>
        <v>0</v>
      </c>
      <c r="J75" s="200">
        <f t="shared" si="17"/>
        <v>0</v>
      </c>
      <c r="K75" s="200">
        <f t="shared" si="17"/>
        <v>0</v>
      </c>
      <c r="L75" s="200">
        <f t="shared" si="17"/>
        <v>0</v>
      </c>
      <c r="M75" s="200">
        <f t="shared" si="17"/>
        <v>0</v>
      </c>
      <c r="N75" s="200">
        <f t="shared" si="17"/>
        <v>1153324</v>
      </c>
      <c r="O75" s="200">
        <f t="shared" si="17"/>
        <v>65000</v>
      </c>
      <c r="P75" s="203">
        <f t="shared" si="17"/>
        <v>0</v>
      </c>
      <c r="Q75" s="200">
        <f>Q73+Q74</f>
        <v>0</v>
      </c>
      <c r="T75" s="211"/>
    </row>
    <row r="76" spans="1:20" s="210" customFormat="1" ht="6.75" customHeight="1" hidden="1">
      <c r="A76" s="252"/>
      <c r="B76" s="212"/>
      <c r="C76" s="212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7"/>
      <c r="T76" s="211"/>
    </row>
    <row r="77" spans="1:20" s="210" customFormat="1" ht="17.25" customHeight="1">
      <c r="A77" s="694" t="s">
        <v>220</v>
      </c>
      <c r="B77" s="697" t="s">
        <v>36</v>
      </c>
      <c r="C77" s="192" t="s">
        <v>13</v>
      </c>
      <c r="D77" s="193">
        <f>SUM(E77:Q77)</f>
        <v>4022178</v>
      </c>
      <c r="E77" s="207">
        <v>0</v>
      </c>
      <c r="F77" s="207">
        <v>3135</v>
      </c>
      <c r="G77" s="208">
        <v>3239752</v>
      </c>
      <c r="H77" s="207">
        <v>0</v>
      </c>
      <c r="I77" s="209">
        <v>601291</v>
      </c>
      <c r="J77" s="207">
        <v>0</v>
      </c>
      <c r="K77" s="209">
        <v>0</v>
      </c>
      <c r="L77" s="207">
        <v>0</v>
      </c>
      <c r="M77" s="207">
        <v>0</v>
      </c>
      <c r="N77" s="207">
        <v>100000</v>
      </c>
      <c r="O77" s="207">
        <v>78000</v>
      </c>
      <c r="P77" s="208">
        <v>0</v>
      </c>
      <c r="Q77" s="207">
        <v>0</v>
      </c>
      <c r="T77" s="211"/>
    </row>
    <row r="78" spans="1:20" s="210" customFormat="1" ht="17.25" customHeight="1">
      <c r="A78" s="695"/>
      <c r="B78" s="698"/>
      <c r="C78" s="192" t="s">
        <v>14</v>
      </c>
      <c r="D78" s="193">
        <f t="shared" si="11"/>
        <v>3003797</v>
      </c>
      <c r="E78" s="200">
        <v>0</v>
      </c>
      <c r="F78" s="200">
        <v>0</v>
      </c>
      <c r="G78" s="201">
        <f>1712647+883611</f>
        <v>2596258</v>
      </c>
      <c r="H78" s="200">
        <v>0</v>
      </c>
      <c r="I78" s="201">
        <f>319444+88095</f>
        <v>407539</v>
      </c>
      <c r="J78" s="200">
        <v>0</v>
      </c>
      <c r="K78" s="202">
        <v>0</v>
      </c>
      <c r="L78" s="203">
        <v>0</v>
      </c>
      <c r="M78" s="203">
        <v>0</v>
      </c>
      <c r="N78" s="200">
        <v>0</v>
      </c>
      <c r="O78" s="200">
        <v>0</v>
      </c>
      <c r="P78" s="201">
        <v>0</v>
      </c>
      <c r="Q78" s="200">
        <v>0</v>
      </c>
      <c r="T78" s="211"/>
    </row>
    <row r="79" spans="1:20" s="210" customFormat="1" ht="17.25" customHeight="1">
      <c r="A79" s="696"/>
      <c r="B79" s="699"/>
      <c r="C79" s="192" t="s">
        <v>15</v>
      </c>
      <c r="D79" s="193">
        <f t="shared" si="11"/>
        <v>7025975</v>
      </c>
      <c r="E79" s="200">
        <f aca="true" t="shared" si="18" ref="E79:P79">E77+E78</f>
        <v>0</v>
      </c>
      <c r="F79" s="200">
        <f t="shared" si="18"/>
        <v>3135</v>
      </c>
      <c r="G79" s="200">
        <f t="shared" si="18"/>
        <v>5836010</v>
      </c>
      <c r="H79" s="200">
        <f t="shared" si="18"/>
        <v>0</v>
      </c>
      <c r="I79" s="200">
        <f t="shared" si="18"/>
        <v>1008830</v>
      </c>
      <c r="J79" s="200">
        <f t="shared" si="18"/>
        <v>0</v>
      </c>
      <c r="K79" s="200">
        <f t="shared" si="18"/>
        <v>0</v>
      </c>
      <c r="L79" s="200">
        <f t="shared" si="18"/>
        <v>0</v>
      </c>
      <c r="M79" s="200">
        <f t="shared" si="18"/>
        <v>0</v>
      </c>
      <c r="N79" s="200">
        <f t="shared" si="18"/>
        <v>100000</v>
      </c>
      <c r="O79" s="200">
        <f t="shared" si="18"/>
        <v>78000</v>
      </c>
      <c r="P79" s="203">
        <f t="shared" si="18"/>
        <v>0</v>
      </c>
      <c r="Q79" s="200">
        <f>Q77+Q78</f>
        <v>0</v>
      </c>
      <c r="T79" s="211"/>
    </row>
    <row r="80" spans="1:20" s="210" customFormat="1" ht="6.75" customHeight="1">
      <c r="A80" s="252"/>
      <c r="B80" s="212"/>
      <c r="C80" s="212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7"/>
      <c r="T80" s="211"/>
    </row>
    <row r="81" spans="1:20" s="210" customFormat="1" ht="18" customHeight="1">
      <c r="A81" s="694" t="s">
        <v>76</v>
      </c>
      <c r="B81" s="697" t="s">
        <v>448</v>
      </c>
      <c r="C81" s="192" t="s">
        <v>13</v>
      </c>
      <c r="D81" s="193">
        <f>SUM(E81:Q81)</f>
        <v>7429424</v>
      </c>
      <c r="E81" s="207">
        <v>0</v>
      </c>
      <c r="F81" s="207">
        <v>1678273</v>
      </c>
      <c r="G81" s="218">
        <v>0</v>
      </c>
      <c r="H81" s="207">
        <v>2509151</v>
      </c>
      <c r="I81" s="209">
        <v>3228000</v>
      </c>
      <c r="J81" s="207">
        <v>0</v>
      </c>
      <c r="K81" s="209">
        <v>0</v>
      </c>
      <c r="L81" s="207">
        <v>0</v>
      </c>
      <c r="M81" s="207">
        <v>0</v>
      </c>
      <c r="N81" s="207">
        <v>14000</v>
      </c>
      <c r="O81" s="207">
        <v>0</v>
      </c>
      <c r="P81" s="208">
        <v>0</v>
      </c>
      <c r="Q81" s="207">
        <v>0</v>
      </c>
      <c r="T81" s="211"/>
    </row>
    <row r="82" spans="1:20" s="210" customFormat="1" ht="18" customHeight="1">
      <c r="A82" s="695"/>
      <c r="B82" s="698"/>
      <c r="C82" s="192" t="s">
        <v>14</v>
      </c>
      <c r="D82" s="193">
        <f t="shared" si="11"/>
        <v>748732</v>
      </c>
      <c r="E82" s="200">
        <v>0</v>
      </c>
      <c r="F82" s="200">
        <f>748732</f>
        <v>748732</v>
      </c>
      <c r="G82" s="201">
        <v>0</v>
      </c>
      <c r="H82" s="200">
        <v>0</v>
      </c>
      <c r="I82" s="201">
        <v>0</v>
      </c>
      <c r="J82" s="200">
        <v>0</v>
      </c>
      <c r="K82" s="202">
        <v>0</v>
      </c>
      <c r="L82" s="203">
        <v>0</v>
      </c>
      <c r="M82" s="203">
        <v>0</v>
      </c>
      <c r="N82" s="200">
        <v>0</v>
      </c>
      <c r="O82" s="200">
        <v>0</v>
      </c>
      <c r="P82" s="201">
        <v>0</v>
      </c>
      <c r="Q82" s="200">
        <v>0</v>
      </c>
      <c r="T82" s="211"/>
    </row>
    <row r="83" spans="1:20" s="210" customFormat="1" ht="18" customHeight="1">
      <c r="A83" s="696"/>
      <c r="B83" s="699"/>
      <c r="C83" s="192" t="s">
        <v>15</v>
      </c>
      <c r="D83" s="193">
        <f t="shared" si="11"/>
        <v>8178156</v>
      </c>
      <c r="E83" s="200">
        <f aca="true" t="shared" si="19" ref="E83:P83">E81+E82</f>
        <v>0</v>
      </c>
      <c r="F83" s="200">
        <f t="shared" si="19"/>
        <v>2427005</v>
      </c>
      <c r="G83" s="200">
        <f t="shared" si="19"/>
        <v>0</v>
      </c>
      <c r="H83" s="200">
        <f t="shared" si="19"/>
        <v>2509151</v>
      </c>
      <c r="I83" s="200">
        <f t="shared" si="19"/>
        <v>3228000</v>
      </c>
      <c r="J83" s="200">
        <f t="shared" si="19"/>
        <v>0</v>
      </c>
      <c r="K83" s="200">
        <f t="shared" si="19"/>
        <v>0</v>
      </c>
      <c r="L83" s="200">
        <f t="shared" si="19"/>
        <v>0</v>
      </c>
      <c r="M83" s="200">
        <f t="shared" si="19"/>
        <v>0</v>
      </c>
      <c r="N83" s="200">
        <f t="shared" si="19"/>
        <v>14000</v>
      </c>
      <c r="O83" s="200">
        <f t="shared" si="19"/>
        <v>0</v>
      </c>
      <c r="P83" s="203">
        <f t="shared" si="19"/>
        <v>0</v>
      </c>
      <c r="Q83" s="200">
        <f>Q81+Q82</f>
        <v>0</v>
      </c>
      <c r="T83" s="211"/>
    </row>
    <row r="84" spans="1:20" s="210" customFormat="1" ht="6.75" customHeight="1">
      <c r="A84" s="252"/>
      <c r="B84" s="212"/>
      <c r="C84" s="212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7"/>
      <c r="T84" s="211"/>
    </row>
    <row r="85" spans="1:20" s="210" customFormat="1" ht="20.25" customHeight="1" hidden="1">
      <c r="A85" s="694" t="s">
        <v>221</v>
      </c>
      <c r="B85" s="697" t="s">
        <v>224</v>
      </c>
      <c r="C85" s="192" t="s">
        <v>13</v>
      </c>
      <c r="D85" s="193">
        <f>SUM(E85:Q85)</f>
        <v>6320</v>
      </c>
      <c r="E85" s="207">
        <v>0</v>
      </c>
      <c r="F85" s="207">
        <v>6320</v>
      </c>
      <c r="G85" s="218">
        <v>0</v>
      </c>
      <c r="H85" s="207">
        <v>0</v>
      </c>
      <c r="I85" s="208">
        <v>0</v>
      </c>
      <c r="J85" s="207">
        <v>0</v>
      </c>
      <c r="K85" s="209">
        <v>0</v>
      </c>
      <c r="L85" s="218">
        <v>0</v>
      </c>
      <c r="M85" s="207">
        <v>0</v>
      </c>
      <c r="N85" s="207">
        <v>0</v>
      </c>
      <c r="O85" s="207">
        <v>0</v>
      </c>
      <c r="P85" s="208">
        <v>0</v>
      </c>
      <c r="Q85" s="207">
        <v>0</v>
      </c>
      <c r="T85" s="211"/>
    </row>
    <row r="86" spans="1:20" s="210" customFormat="1" ht="20.25" customHeight="1" hidden="1">
      <c r="A86" s="695"/>
      <c r="B86" s="698"/>
      <c r="C86" s="192" t="s">
        <v>14</v>
      </c>
      <c r="D86" s="193">
        <f t="shared" si="11"/>
        <v>0</v>
      </c>
      <c r="E86" s="200">
        <v>0</v>
      </c>
      <c r="F86" s="200">
        <v>0</v>
      </c>
      <c r="G86" s="201">
        <v>0</v>
      </c>
      <c r="H86" s="200">
        <v>0</v>
      </c>
      <c r="I86" s="201">
        <v>0</v>
      </c>
      <c r="J86" s="200">
        <v>0</v>
      </c>
      <c r="K86" s="202">
        <v>0</v>
      </c>
      <c r="L86" s="203">
        <v>0</v>
      </c>
      <c r="M86" s="203">
        <v>0</v>
      </c>
      <c r="N86" s="200">
        <v>0</v>
      </c>
      <c r="O86" s="200">
        <v>0</v>
      </c>
      <c r="P86" s="201">
        <v>0</v>
      </c>
      <c r="Q86" s="200">
        <v>0</v>
      </c>
      <c r="T86" s="211"/>
    </row>
    <row r="87" spans="1:20" s="210" customFormat="1" ht="20.25" customHeight="1" hidden="1">
      <c r="A87" s="696"/>
      <c r="B87" s="699"/>
      <c r="C87" s="192" t="s">
        <v>15</v>
      </c>
      <c r="D87" s="193">
        <f t="shared" si="11"/>
        <v>6320</v>
      </c>
      <c r="E87" s="200">
        <f aca="true" t="shared" si="20" ref="E87:P87">E85+E86</f>
        <v>0</v>
      </c>
      <c r="F87" s="200">
        <f t="shared" si="20"/>
        <v>6320</v>
      </c>
      <c r="G87" s="200">
        <f t="shared" si="20"/>
        <v>0</v>
      </c>
      <c r="H87" s="200">
        <f t="shared" si="20"/>
        <v>0</v>
      </c>
      <c r="I87" s="200">
        <f t="shared" si="20"/>
        <v>0</v>
      </c>
      <c r="J87" s="200">
        <f t="shared" si="20"/>
        <v>0</v>
      </c>
      <c r="K87" s="200">
        <f t="shared" si="20"/>
        <v>0</v>
      </c>
      <c r="L87" s="200">
        <f t="shared" si="20"/>
        <v>0</v>
      </c>
      <c r="M87" s="200">
        <f t="shared" si="20"/>
        <v>0</v>
      </c>
      <c r="N87" s="200">
        <f t="shared" si="20"/>
        <v>0</v>
      </c>
      <c r="O87" s="200">
        <f t="shared" si="20"/>
        <v>0</v>
      </c>
      <c r="P87" s="203">
        <f t="shared" si="20"/>
        <v>0</v>
      </c>
      <c r="Q87" s="200">
        <f>Q85+Q86</f>
        <v>0</v>
      </c>
      <c r="T87" s="211"/>
    </row>
    <row r="88" spans="1:20" s="210" customFormat="1" ht="20.25" customHeight="1" hidden="1">
      <c r="A88" s="252"/>
      <c r="B88" s="212"/>
      <c r="C88" s="212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7"/>
      <c r="T88" s="211"/>
    </row>
    <row r="89" spans="1:20" s="210" customFormat="1" ht="20.25" customHeight="1" hidden="1">
      <c r="A89" s="694" t="s">
        <v>351</v>
      </c>
      <c r="B89" s="697" t="s">
        <v>63</v>
      </c>
      <c r="C89" s="192" t="s">
        <v>13</v>
      </c>
      <c r="D89" s="193">
        <f>SUM(E89:Q89)</f>
        <v>1852000</v>
      </c>
      <c r="E89" s="207">
        <v>0</v>
      </c>
      <c r="F89" s="207">
        <v>0</v>
      </c>
      <c r="G89" s="218">
        <v>0</v>
      </c>
      <c r="H89" s="207">
        <v>0</v>
      </c>
      <c r="I89" s="208">
        <v>0</v>
      </c>
      <c r="J89" s="207">
        <v>0</v>
      </c>
      <c r="K89" s="209">
        <v>0</v>
      </c>
      <c r="L89" s="218">
        <v>0</v>
      </c>
      <c r="M89" s="207">
        <v>0</v>
      </c>
      <c r="N89" s="207">
        <v>1852000</v>
      </c>
      <c r="O89" s="207">
        <v>0</v>
      </c>
      <c r="P89" s="208">
        <v>0</v>
      </c>
      <c r="Q89" s="207">
        <v>0</v>
      </c>
      <c r="T89" s="211"/>
    </row>
    <row r="90" spans="1:20" s="210" customFormat="1" ht="20.25" customHeight="1" hidden="1">
      <c r="A90" s="695"/>
      <c r="B90" s="698"/>
      <c r="C90" s="192" t="s">
        <v>14</v>
      </c>
      <c r="D90" s="193">
        <f t="shared" si="11"/>
        <v>0</v>
      </c>
      <c r="E90" s="200">
        <v>0</v>
      </c>
      <c r="F90" s="200">
        <v>0</v>
      </c>
      <c r="G90" s="201">
        <v>0</v>
      </c>
      <c r="H90" s="200">
        <v>0</v>
      </c>
      <c r="I90" s="201">
        <v>0</v>
      </c>
      <c r="J90" s="200">
        <v>0</v>
      </c>
      <c r="K90" s="202">
        <v>0</v>
      </c>
      <c r="L90" s="203">
        <v>0</v>
      </c>
      <c r="M90" s="203">
        <v>0</v>
      </c>
      <c r="N90" s="200">
        <v>0</v>
      </c>
      <c r="O90" s="200">
        <v>0</v>
      </c>
      <c r="P90" s="201">
        <v>0</v>
      </c>
      <c r="Q90" s="200">
        <v>0</v>
      </c>
      <c r="T90" s="211"/>
    </row>
    <row r="91" spans="1:20" s="210" customFormat="1" ht="20.25" customHeight="1" hidden="1">
      <c r="A91" s="696"/>
      <c r="B91" s="699"/>
      <c r="C91" s="192" t="s">
        <v>15</v>
      </c>
      <c r="D91" s="193">
        <f t="shared" si="11"/>
        <v>1852000</v>
      </c>
      <c r="E91" s="200">
        <f aca="true" t="shared" si="21" ref="E91:P91">E89+E90</f>
        <v>0</v>
      </c>
      <c r="F91" s="200">
        <f t="shared" si="21"/>
        <v>0</v>
      </c>
      <c r="G91" s="200">
        <f t="shared" si="21"/>
        <v>0</v>
      </c>
      <c r="H91" s="200">
        <f t="shared" si="21"/>
        <v>0</v>
      </c>
      <c r="I91" s="200">
        <f t="shared" si="21"/>
        <v>0</v>
      </c>
      <c r="J91" s="200">
        <f t="shared" si="21"/>
        <v>0</v>
      </c>
      <c r="K91" s="200">
        <f t="shared" si="21"/>
        <v>0</v>
      </c>
      <c r="L91" s="200">
        <f t="shared" si="21"/>
        <v>0</v>
      </c>
      <c r="M91" s="200">
        <f t="shared" si="21"/>
        <v>0</v>
      </c>
      <c r="N91" s="200">
        <f t="shared" si="21"/>
        <v>1852000</v>
      </c>
      <c r="O91" s="200">
        <f t="shared" si="21"/>
        <v>0</v>
      </c>
      <c r="P91" s="203">
        <f t="shared" si="21"/>
        <v>0</v>
      </c>
      <c r="Q91" s="200">
        <f>Q89+Q90</f>
        <v>0</v>
      </c>
      <c r="T91" s="211"/>
    </row>
    <row r="92" spans="1:20" s="210" customFormat="1" ht="9" customHeight="1" hidden="1">
      <c r="A92" s="255"/>
      <c r="B92" s="219"/>
      <c r="C92" s="212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7"/>
      <c r="T92" s="211"/>
    </row>
    <row r="93" spans="1:20" s="210" customFormat="1" ht="20.25" customHeight="1" hidden="1">
      <c r="A93" s="694" t="s">
        <v>352</v>
      </c>
      <c r="B93" s="697" t="s">
        <v>38</v>
      </c>
      <c r="C93" s="192" t="s">
        <v>13</v>
      </c>
      <c r="D93" s="193">
        <f>SUM(E93:Q93)</f>
        <v>3651700</v>
      </c>
      <c r="E93" s="207">
        <v>0</v>
      </c>
      <c r="F93" s="207">
        <v>1203263</v>
      </c>
      <c r="G93" s="218">
        <v>626378</v>
      </c>
      <c r="H93" s="207">
        <v>0</v>
      </c>
      <c r="I93" s="208">
        <v>0</v>
      </c>
      <c r="J93" s="207">
        <v>0</v>
      </c>
      <c r="K93" s="209">
        <v>695954</v>
      </c>
      <c r="L93" s="218">
        <v>224105</v>
      </c>
      <c r="M93" s="207">
        <v>0</v>
      </c>
      <c r="N93" s="207">
        <v>744000</v>
      </c>
      <c r="O93" s="207">
        <v>0</v>
      </c>
      <c r="P93" s="208">
        <v>158000</v>
      </c>
      <c r="Q93" s="207">
        <v>0</v>
      </c>
      <c r="T93" s="211"/>
    </row>
    <row r="94" spans="1:20" s="210" customFormat="1" ht="20.25" customHeight="1" hidden="1">
      <c r="A94" s="695"/>
      <c r="B94" s="698"/>
      <c r="C94" s="192" t="s">
        <v>14</v>
      </c>
      <c r="D94" s="193">
        <f t="shared" si="11"/>
        <v>0</v>
      </c>
      <c r="E94" s="200">
        <v>0</v>
      </c>
      <c r="F94" s="200">
        <v>0</v>
      </c>
      <c r="G94" s="201">
        <v>0</v>
      </c>
      <c r="H94" s="200">
        <v>0</v>
      </c>
      <c r="I94" s="201">
        <v>0</v>
      </c>
      <c r="J94" s="200">
        <v>0</v>
      </c>
      <c r="K94" s="202">
        <v>0</v>
      </c>
      <c r="L94" s="203">
        <v>0</v>
      </c>
      <c r="M94" s="203">
        <v>0</v>
      </c>
      <c r="N94" s="200">
        <v>0</v>
      </c>
      <c r="O94" s="200">
        <v>0</v>
      </c>
      <c r="P94" s="201">
        <v>0</v>
      </c>
      <c r="Q94" s="200">
        <v>0</v>
      </c>
      <c r="T94" s="211"/>
    </row>
    <row r="95" spans="1:20" s="210" customFormat="1" ht="20.25" customHeight="1" hidden="1">
      <c r="A95" s="696"/>
      <c r="B95" s="699"/>
      <c r="C95" s="192" t="s">
        <v>15</v>
      </c>
      <c r="D95" s="193">
        <f t="shared" si="11"/>
        <v>3651700</v>
      </c>
      <c r="E95" s="200">
        <f aca="true" t="shared" si="22" ref="E95:P95">E93+E94</f>
        <v>0</v>
      </c>
      <c r="F95" s="200">
        <f t="shared" si="22"/>
        <v>1203263</v>
      </c>
      <c r="G95" s="200">
        <f t="shared" si="22"/>
        <v>626378</v>
      </c>
      <c r="H95" s="200">
        <f t="shared" si="22"/>
        <v>0</v>
      </c>
      <c r="I95" s="200">
        <f t="shared" si="22"/>
        <v>0</v>
      </c>
      <c r="J95" s="200">
        <f t="shared" si="22"/>
        <v>0</v>
      </c>
      <c r="K95" s="200">
        <f t="shared" si="22"/>
        <v>695954</v>
      </c>
      <c r="L95" s="200">
        <f t="shared" si="22"/>
        <v>224105</v>
      </c>
      <c r="M95" s="200">
        <f t="shared" si="22"/>
        <v>0</v>
      </c>
      <c r="N95" s="200">
        <f t="shared" si="22"/>
        <v>744000</v>
      </c>
      <c r="O95" s="200">
        <f t="shared" si="22"/>
        <v>0</v>
      </c>
      <c r="P95" s="203">
        <f t="shared" si="22"/>
        <v>158000</v>
      </c>
      <c r="Q95" s="200">
        <f>Q93+Q94</f>
        <v>0</v>
      </c>
      <c r="T95" s="211"/>
    </row>
    <row r="96" spans="1:20" s="210" customFormat="1" ht="12" customHeight="1" hidden="1">
      <c r="A96" s="252"/>
      <c r="B96" s="212"/>
      <c r="C96" s="212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7"/>
      <c r="T96" s="211"/>
    </row>
    <row r="97" spans="1:20" s="210" customFormat="1" ht="18" customHeight="1">
      <c r="A97" s="694" t="s">
        <v>222</v>
      </c>
      <c r="B97" s="697" t="s">
        <v>39</v>
      </c>
      <c r="C97" s="192" t="s">
        <v>13</v>
      </c>
      <c r="D97" s="193">
        <f>SUM(E97:Q97)</f>
        <v>4419360</v>
      </c>
      <c r="E97" s="207">
        <v>0</v>
      </c>
      <c r="F97" s="207">
        <v>0</v>
      </c>
      <c r="G97" s="218">
        <v>269942</v>
      </c>
      <c r="H97" s="207">
        <v>0</v>
      </c>
      <c r="I97" s="208">
        <v>0</v>
      </c>
      <c r="J97" s="207">
        <v>0</v>
      </c>
      <c r="K97" s="209">
        <v>0</v>
      </c>
      <c r="L97" s="218">
        <v>209554</v>
      </c>
      <c r="M97" s="207">
        <v>0</v>
      </c>
      <c r="N97" s="207">
        <v>0</v>
      </c>
      <c r="O97" s="207">
        <v>3939864</v>
      </c>
      <c r="P97" s="208">
        <v>0</v>
      </c>
      <c r="Q97" s="207">
        <v>0</v>
      </c>
      <c r="T97" s="211"/>
    </row>
    <row r="98" spans="1:20" s="210" customFormat="1" ht="18" customHeight="1">
      <c r="A98" s="695"/>
      <c r="B98" s="698"/>
      <c r="C98" s="192" t="s">
        <v>14</v>
      </c>
      <c r="D98" s="193">
        <f t="shared" si="11"/>
        <v>-240000</v>
      </c>
      <c r="E98" s="200">
        <v>0</v>
      </c>
      <c r="F98" s="200">
        <v>0</v>
      </c>
      <c r="G98" s="201">
        <v>0</v>
      </c>
      <c r="H98" s="200">
        <v>0</v>
      </c>
      <c r="I98" s="201">
        <v>0</v>
      </c>
      <c r="J98" s="200">
        <v>0</v>
      </c>
      <c r="K98" s="202">
        <v>0</v>
      </c>
      <c r="L98" s="203">
        <v>0</v>
      </c>
      <c r="M98" s="203">
        <v>0</v>
      </c>
      <c r="N98" s="200">
        <v>0</v>
      </c>
      <c r="O98" s="200">
        <v>-240000</v>
      </c>
      <c r="P98" s="201">
        <v>0</v>
      </c>
      <c r="Q98" s="200">
        <v>0</v>
      </c>
      <c r="T98" s="211"/>
    </row>
    <row r="99" spans="1:20" s="210" customFormat="1" ht="18" customHeight="1">
      <c r="A99" s="696"/>
      <c r="B99" s="699"/>
      <c r="C99" s="192" t="s">
        <v>15</v>
      </c>
      <c r="D99" s="193">
        <f t="shared" si="11"/>
        <v>4179360</v>
      </c>
      <c r="E99" s="200">
        <f aca="true" t="shared" si="23" ref="E99:P99">E97+E98</f>
        <v>0</v>
      </c>
      <c r="F99" s="200">
        <f t="shared" si="23"/>
        <v>0</v>
      </c>
      <c r="G99" s="200">
        <f t="shared" si="23"/>
        <v>269942</v>
      </c>
      <c r="H99" s="200">
        <f t="shared" si="23"/>
        <v>0</v>
      </c>
      <c r="I99" s="200">
        <f t="shared" si="23"/>
        <v>0</v>
      </c>
      <c r="J99" s="200">
        <f t="shared" si="23"/>
        <v>0</v>
      </c>
      <c r="K99" s="200">
        <f t="shared" si="23"/>
        <v>0</v>
      </c>
      <c r="L99" s="200">
        <f t="shared" si="23"/>
        <v>209554</v>
      </c>
      <c r="M99" s="200">
        <f t="shared" si="23"/>
        <v>0</v>
      </c>
      <c r="N99" s="200">
        <f t="shared" si="23"/>
        <v>0</v>
      </c>
      <c r="O99" s="200">
        <f t="shared" si="23"/>
        <v>3699864</v>
      </c>
      <c r="P99" s="203">
        <f t="shared" si="23"/>
        <v>0</v>
      </c>
      <c r="Q99" s="200">
        <f>Q97+Q98</f>
        <v>0</v>
      </c>
      <c r="T99" s="211"/>
    </row>
    <row r="100" spans="1:20" s="210" customFormat="1" ht="6.75" customHeight="1">
      <c r="A100" s="252"/>
      <c r="B100" s="212"/>
      <c r="C100" s="212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7"/>
      <c r="T100" s="211"/>
    </row>
    <row r="101" spans="1:20" s="210" customFormat="1" ht="18.75" customHeight="1">
      <c r="A101" s="694" t="s">
        <v>223</v>
      </c>
      <c r="B101" s="697" t="s">
        <v>40</v>
      </c>
      <c r="C101" s="192" t="s">
        <v>13</v>
      </c>
      <c r="D101" s="193">
        <f>SUM(E101:Q101)</f>
        <v>2286000</v>
      </c>
      <c r="E101" s="207">
        <v>0</v>
      </c>
      <c r="F101" s="207">
        <v>106000</v>
      </c>
      <c r="G101" s="218">
        <v>0</v>
      </c>
      <c r="H101" s="207">
        <v>0</v>
      </c>
      <c r="I101" s="209">
        <v>0</v>
      </c>
      <c r="J101" s="207">
        <v>0</v>
      </c>
      <c r="K101" s="207">
        <v>0</v>
      </c>
      <c r="L101" s="207">
        <v>0</v>
      </c>
      <c r="M101" s="207">
        <v>0</v>
      </c>
      <c r="N101" s="207">
        <v>2180000</v>
      </c>
      <c r="O101" s="207">
        <v>0</v>
      </c>
      <c r="P101" s="218">
        <v>0</v>
      </c>
      <c r="Q101" s="207">
        <v>0</v>
      </c>
      <c r="T101" s="211"/>
    </row>
    <row r="102" spans="1:20" s="210" customFormat="1" ht="18.75" customHeight="1">
      <c r="A102" s="695"/>
      <c r="B102" s="698"/>
      <c r="C102" s="192" t="s">
        <v>14</v>
      </c>
      <c r="D102" s="193">
        <f t="shared" si="11"/>
        <v>40651</v>
      </c>
      <c r="E102" s="200">
        <v>0</v>
      </c>
      <c r="F102" s="200">
        <v>40651</v>
      </c>
      <c r="G102" s="201">
        <v>0</v>
      </c>
      <c r="H102" s="200">
        <v>0</v>
      </c>
      <c r="I102" s="201">
        <v>0</v>
      </c>
      <c r="J102" s="200">
        <v>0</v>
      </c>
      <c r="K102" s="202">
        <v>0</v>
      </c>
      <c r="L102" s="203">
        <v>0</v>
      </c>
      <c r="M102" s="203">
        <v>0</v>
      </c>
      <c r="N102" s="200">
        <v>0</v>
      </c>
      <c r="O102" s="200">
        <v>0</v>
      </c>
      <c r="P102" s="201">
        <v>0</v>
      </c>
      <c r="Q102" s="200">
        <v>0</v>
      </c>
      <c r="T102" s="211"/>
    </row>
    <row r="103" spans="1:20" s="210" customFormat="1" ht="18.75" customHeight="1">
      <c r="A103" s="696"/>
      <c r="B103" s="699"/>
      <c r="C103" s="192" t="s">
        <v>15</v>
      </c>
      <c r="D103" s="193">
        <f t="shared" si="11"/>
        <v>2326651</v>
      </c>
      <c r="E103" s="200">
        <f aca="true" t="shared" si="24" ref="E103:P103">E101+E102</f>
        <v>0</v>
      </c>
      <c r="F103" s="200">
        <f t="shared" si="24"/>
        <v>146651</v>
      </c>
      <c r="G103" s="200">
        <f t="shared" si="24"/>
        <v>0</v>
      </c>
      <c r="H103" s="200">
        <f t="shared" si="24"/>
        <v>0</v>
      </c>
      <c r="I103" s="200">
        <f t="shared" si="24"/>
        <v>0</v>
      </c>
      <c r="J103" s="200">
        <f t="shared" si="24"/>
        <v>0</v>
      </c>
      <c r="K103" s="200">
        <f t="shared" si="24"/>
        <v>0</v>
      </c>
      <c r="L103" s="200">
        <f t="shared" si="24"/>
        <v>0</v>
      </c>
      <c r="M103" s="200">
        <f t="shared" si="24"/>
        <v>0</v>
      </c>
      <c r="N103" s="200">
        <f t="shared" si="24"/>
        <v>2180000</v>
      </c>
      <c r="O103" s="200">
        <f t="shared" si="24"/>
        <v>0</v>
      </c>
      <c r="P103" s="203">
        <f t="shared" si="24"/>
        <v>0</v>
      </c>
      <c r="Q103" s="200">
        <f>Q101+Q102</f>
        <v>0</v>
      </c>
      <c r="T103" s="211"/>
    </row>
    <row r="104" spans="1:20" s="190" customFormat="1" ht="6.75" customHeight="1">
      <c r="A104" s="249"/>
      <c r="B104" s="184"/>
      <c r="C104" s="219"/>
      <c r="D104" s="185"/>
      <c r="E104" s="186"/>
      <c r="F104" s="187"/>
      <c r="G104" s="187"/>
      <c r="H104" s="188"/>
      <c r="I104" s="187"/>
      <c r="J104" s="187"/>
      <c r="K104" s="189"/>
      <c r="L104" s="187"/>
      <c r="M104" s="187"/>
      <c r="N104" s="187"/>
      <c r="O104" s="187"/>
      <c r="P104" s="187"/>
      <c r="Q104" s="188"/>
      <c r="T104" s="191"/>
    </row>
    <row r="105" spans="1:20" s="182" customFormat="1" ht="18" customHeight="1">
      <c r="A105" s="709"/>
      <c r="B105" s="712" t="s">
        <v>449</v>
      </c>
      <c r="C105" s="220" t="s">
        <v>13</v>
      </c>
      <c r="D105" s="180">
        <f>SUM(E105:P105)</f>
        <v>277578678</v>
      </c>
      <c r="E105" s="221">
        <f>E109+E113+E117+E121+E125+E129+E137+E141+E149+E145+E133</f>
        <v>0</v>
      </c>
      <c r="F105" s="221">
        <f aca="true" t="shared" si="25" ref="F105:Q107">F109+F113+F117+F121+F125+F129+F137+F141+F149+F145+F133</f>
        <v>280000</v>
      </c>
      <c r="G105" s="221">
        <f t="shared" si="25"/>
        <v>237788974</v>
      </c>
      <c r="H105" s="221">
        <f t="shared" si="25"/>
        <v>57598</v>
      </c>
      <c r="I105" s="221">
        <f t="shared" si="25"/>
        <v>17896117</v>
      </c>
      <c r="J105" s="221">
        <f t="shared" si="25"/>
        <v>16121939</v>
      </c>
      <c r="K105" s="221">
        <f t="shared" si="25"/>
        <v>480958</v>
      </c>
      <c r="L105" s="221">
        <f t="shared" si="25"/>
        <v>0</v>
      </c>
      <c r="M105" s="221">
        <f t="shared" si="25"/>
        <v>62738</v>
      </c>
      <c r="N105" s="221">
        <f t="shared" si="25"/>
        <v>4290354</v>
      </c>
      <c r="O105" s="221">
        <f t="shared" si="25"/>
        <v>285000</v>
      </c>
      <c r="P105" s="221">
        <f t="shared" si="25"/>
        <v>315000</v>
      </c>
      <c r="Q105" s="221">
        <f t="shared" si="25"/>
        <v>0</v>
      </c>
      <c r="T105" s="183"/>
    </row>
    <row r="106" spans="1:20" s="182" customFormat="1" ht="18" customHeight="1">
      <c r="A106" s="710"/>
      <c r="B106" s="713"/>
      <c r="C106" s="220" t="s">
        <v>14</v>
      </c>
      <c r="D106" s="180">
        <f>SUM(E106:P106)</f>
        <v>-3133506</v>
      </c>
      <c r="E106" s="180">
        <f>E110+E114+E118+E122+E126+E130+E138+E142+E150+E146+E134</f>
        <v>0</v>
      </c>
      <c r="F106" s="180">
        <f t="shared" si="25"/>
        <v>0</v>
      </c>
      <c r="G106" s="180">
        <f t="shared" si="25"/>
        <v>-5307323</v>
      </c>
      <c r="H106" s="180">
        <f t="shared" si="25"/>
        <v>2014500</v>
      </c>
      <c r="I106" s="180">
        <f t="shared" si="25"/>
        <v>0</v>
      </c>
      <c r="J106" s="180">
        <f t="shared" si="25"/>
        <v>177817</v>
      </c>
      <c r="K106" s="180">
        <f t="shared" si="25"/>
        <v>0</v>
      </c>
      <c r="L106" s="180">
        <f t="shared" si="25"/>
        <v>0</v>
      </c>
      <c r="M106" s="180">
        <f t="shared" si="25"/>
        <v>-37500</v>
      </c>
      <c r="N106" s="180">
        <f t="shared" si="25"/>
        <v>0</v>
      </c>
      <c r="O106" s="180">
        <f t="shared" si="25"/>
        <v>19000</v>
      </c>
      <c r="P106" s="180">
        <f t="shared" si="25"/>
        <v>0</v>
      </c>
      <c r="Q106" s="180">
        <f t="shared" si="25"/>
        <v>0</v>
      </c>
      <c r="T106" s="183"/>
    </row>
    <row r="107" spans="1:20" s="182" customFormat="1" ht="18" customHeight="1">
      <c r="A107" s="711"/>
      <c r="B107" s="714"/>
      <c r="C107" s="220" t="s">
        <v>15</v>
      </c>
      <c r="D107" s="180">
        <f>SUM(E107:P107)</f>
        <v>274445172</v>
      </c>
      <c r="E107" s="180">
        <f>E111+E115+E119+E123+E127+E131+E139+E143+E151+E147+E135</f>
        <v>0</v>
      </c>
      <c r="F107" s="180">
        <f t="shared" si="25"/>
        <v>280000</v>
      </c>
      <c r="G107" s="180">
        <f t="shared" si="25"/>
        <v>232481651</v>
      </c>
      <c r="H107" s="180">
        <f t="shared" si="25"/>
        <v>2072098</v>
      </c>
      <c r="I107" s="180">
        <f t="shared" si="25"/>
        <v>17896117</v>
      </c>
      <c r="J107" s="180">
        <f t="shared" si="25"/>
        <v>16299756</v>
      </c>
      <c r="K107" s="180">
        <f t="shared" si="25"/>
        <v>480958</v>
      </c>
      <c r="L107" s="180">
        <f t="shared" si="25"/>
        <v>0</v>
      </c>
      <c r="M107" s="180">
        <f t="shared" si="25"/>
        <v>25238</v>
      </c>
      <c r="N107" s="180">
        <f t="shared" si="25"/>
        <v>4290354</v>
      </c>
      <c r="O107" s="180">
        <f t="shared" si="25"/>
        <v>304000</v>
      </c>
      <c r="P107" s="180">
        <f t="shared" si="25"/>
        <v>315000</v>
      </c>
      <c r="Q107" s="180">
        <f t="shared" si="25"/>
        <v>0</v>
      </c>
      <c r="T107" s="183"/>
    </row>
    <row r="108" spans="1:20" s="190" customFormat="1" ht="6.75" customHeight="1">
      <c r="A108" s="258"/>
      <c r="B108" s="259"/>
      <c r="C108" s="259"/>
      <c r="D108" s="260"/>
      <c r="E108" s="261"/>
      <c r="F108" s="262"/>
      <c r="G108" s="262"/>
      <c r="H108" s="263"/>
      <c r="I108" s="262"/>
      <c r="J108" s="262"/>
      <c r="K108" s="264"/>
      <c r="L108" s="262"/>
      <c r="M108" s="262"/>
      <c r="N108" s="262"/>
      <c r="O108" s="262"/>
      <c r="P108" s="262"/>
      <c r="Q108" s="263"/>
      <c r="T108" s="191"/>
    </row>
    <row r="109" spans="1:20" s="198" customFormat="1" ht="20.25" customHeight="1" hidden="1">
      <c r="A109" s="715" t="s">
        <v>16</v>
      </c>
      <c r="B109" s="716" t="s">
        <v>445</v>
      </c>
      <c r="C109" s="192" t="s">
        <v>13</v>
      </c>
      <c r="D109" s="193">
        <f aca="true" t="shared" si="26" ref="D109:D151">SUM(E109:Q109)</f>
        <v>0</v>
      </c>
      <c r="E109" s="194">
        <v>0</v>
      </c>
      <c r="F109" s="194">
        <v>0</v>
      </c>
      <c r="G109" s="194">
        <v>0</v>
      </c>
      <c r="H109" s="194">
        <v>0</v>
      </c>
      <c r="I109" s="194">
        <v>0</v>
      </c>
      <c r="J109" s="194">
        <v>0</v>
      </c>
      <c r="K109" s="194">
        <v>0</v>
      </c>
      <c r="L109" s="194">
        <v>0</v>
      </c>
      <c r="M109" s="207">
        <v>0</v>
      </c>
      <c r="N109" s="194">
        <v>0</v>
      </c>
      <c r="O109" s="194">
        <v>0</v>
      </c>
      <c r="P109" s="195">
        <v>0</v>
      </c>
      <c r="Q109" s="194">
        <v>0</v>
      </c>
      <c r="T109" s="199"/>
    </row>
    <row r="110" spans="1:20" s="198" customFormat="1" ht="20.25" customHeight="1" hidden="1">
      <c r="A110" s="715"/>
      <c r="B110" s="716"/>
      <c r="C110" s="192" t="s">
        <v>14</v>
      </c>
      <c r="D110" s="193">
        <f t="shared" si="26"/>
        <v>0</v>
      </c>
      <c r="E110" s="200">
        <v>0</v>
      </c>
      <c r="F110" s="200">
        <v>0</v>
      </c>
      <c r="G110" s="201">
        <v>0</v>
      </c>
      <c r="H110" s="200">
        <v>0</v>
      </c>
      <c r="I110" s="201">
        <v>0</v>
      </c>
      <c r="J110" s="200">
        <v>0</v>
      </c>
      <c r="K110" s="202">
        <v>0</v>
      </c>
      <c r="L110" s="203">
        <v>0</v>
      </c>
      <c r="M110" s="203">
        <v>0</v>
      </c>
      <c r="N110" s="200">
        <v>0</v>
      </c>
      <c r="O110" s="200">
        <v>0</v>
      </c>
      <c r="P110" s="201">
        <v>0</v>
      </c>
      <c r="Q110" s="200">
        <v>0</v>
      </c>
      <c r="T110" s="199"/>
    </row>
    <row r="111" spans="1:20" s="198" customFormat="1" ht="20.25" customHeight="1" hidden="1">
      <c r="A111" s="715"/>
      <c r="B111" s="716"/>
      <c r="C111" s="192" t="s">
        <v>15</v>
      </c>
      <c r="D111" s="193">
        <f t="shared" si="26"/>
        <v>0</v>
      </c>
      <c r="E111" s="200">
        <f aca="true" t="shared" si="27" ref="E111:P111">E109+E110</f>
        <v>0</v>
      </c>
      <c r="F111" s="200">
        <f t="shared" si="27"/>
        <v>0</v>
      </c>
      <c r="G111" s="200">
        <f t="shared" si="27"/>
        <v>0</v>
      </c>
      <c r="H111" s="200">
        <f t="shared" si="27"/>
        <v>0</v>
      </c>
      <c r="I111" s="200">
        <f t="shared" si="27"/>
        <v>0</v>
      </c>
      <c r="J111" s="200">
        <f t="shared" si="27"/>
        <v>0</v>
      </c>
      <c r="K111" s="200">
        <f t="shared" si="27"/>
        <v>0</v>
      </c>
      <c r="L111" s="200">
        <f t="shared" si="27"/>
        <v>0</v>
      </c>
      <c r="M111" s="200">
        <f t="shared" si="27"/>
        <v>0</v>
      </c>
      <c r="N111" s="200">
        <f t="shared" si="27"/>
        <v>0</v>
      </c>
      <c r="O111" s="200">
        <f t="shared" si="27"/>
        <v>0</v>
      </c>
      <c r="P111" s="203">
        <f t="shared" si="27"/>
        <v>0</v>
      </c>
      <c r="Q111" s="200">
        <f>Q109+Q110</f>
        <v>0</v>
      </c>
      <c r="T111" s="199"/>
    </row>
    <row r="112" spans="1:20" s="198" customFormat="1" ht="20.25" customHeight="1" hidden="1">
      <c r="A112" s="250"/>
      <c r="B112" s="204"/>
      <c r="C112" s="204"/>
      <c r="D112" s="185"/>
      <c r="E112" s="196"/>
      <c r="F112" s="196"/>
      <c r="G112" s="196"/>
      <c r="H112" s="196"/>
      <c r="I112" s="196"/>
      <c r="J112" s="196"/>
      <c r="K112" s="196"/>
      <c r="L112" s="196"/>
      <c r="M112" s="187"/>
      <c r="N112" s="196"/>
      <c r="O112" s="196"/>
      <c r="P112" s="196"/>
      <c r="Q112" s="194"/>
      <c r="T112" s="199"/>
    </row>
    <row r="113" spans="1:20" s="210" customFormat="1" ht="16.5" customHeight="1">
      <c r="A113" s="694" t="s">
        <v>19</v>
      </c>
      <c r="B113" s="697" t="s">
        <v>20</v>
      </c>
      <c r="C113" s="192" t="s">
        <v>13</v>
      </c>
      <c r="D113" s="193">
        <f t="shared" si="26"/>
        <v>16521396</v>
      </c>
      <c r="E113" s="207">
        <v>0</v>
      </c>
      <c r="F113" s="207">
        <v>60000</v>
      </c>
      <c r="G113" s="218">
        <v>0</v>
      </c>
      <c r="H113" s="207">
        <v>0</v>
      </c>
      <c r="I113" s="208">
        <v>0</v>
      </c>
      <c r="J113" s="207">
        <v>15996396</v>
      </c>
      <c r="K113" s="208">
        <v>0</v>
      </c>
      <c r="L113" s="218">
        <v>0</v>
      </c>
      <c r="M113" s="207">
        <v>0</v>
      </c>
      <c r="N113" s="207">
        <v>0</v>
      </c>
      <c r="O113" s="207">
        <v>150000</v>
      </c>
      <c r="P113" s="208">
        <v>315000</v>
      </c>
      <c r="Q113" s="207">
        <v>0</v>
      </c>
      <c r="T113" s="211"/>
    </row>
    <row r="114" spans="1:20" s="210" customFormat="1" ht="16.5" customHeight="1">
      <c r="A114" s="695"/>
      <c r="B114" s="698"/>
      <c r="C114" s="192" t="s">
        <v>14</v>
      </c>
      <c r="D114" s="193">
        <f t="shared" si="26"/>
        <v>19000</v>
      </c>
      <c r="E114" s="200">
        <v>0</v>
      </c>
      <c r="F114" s="200">
        <v>0</v>
      </c>
      <c r="G114" s="201">
        <v>0</v>
      </c>
      <c r="H114" s="200">
        <v>0</v>
      </c>
      <c r="I114" s="201">
        <v>0</v>
      </c>
      <c r="J114" s="200">
        <v>0</v>
      </c>
      <c r="K114" s="202">
        <v>0</v>
      </c>
      <c r="L114" s="203">
        <v>0</v>
      </c>
      <c r="M114" s="203">
        <v>0</v>
      </c>
      <c r="N114" s="200">
        <v>0</v>
      </c>
      <c r="O114" s="200">
        <v>19000</v>
      </c>
      <c r="P114" s="201">
        <v>0</v>
      </c>
      <c r="Q114" s="200">
        <v>0</v>
      </c>
      <c r="T114" s="211"/>
    </row>
    <row r="115" spans="1:20" s="210" customFormat="1" ht="16.5" customHeight="1">
      <c r="A115" s="696"/>
      <c r="B115" s="699"/>
      <c r="C115" s="192" t="s">
        <v>15</v>
      </c>
      <c r="D115" s="193">
        <f t="shared" si="26"/>
        <v>16540396</v>
      </c>
      <c r="E115" s="200">
        <f aca="true" t="shared" si="28" ref="E115:P115">E113+E114</f>
        <v>0</v>
      </c>
      <c r="F115" s="200">
        <f t="shared" si="28"/>
        <v>60000</v>
      </c>
      <c r="G115" s="200">
        <f t="shared" si="28"/>
        <v>0</v>
      </c>
      <c r="H115" s="200">
        <f t="shared" si="28"/>
        <v>0</v>
      </c>
      <c r="I115" s="200">
        <f t="shared" si="28"/>
        <v>0</v>
      </c>
      <c r="J115" s="200">
        <f t="shared" si="28"/>
        <v>15996396</v>
      </c>
      <c r="K115" s="200">
        <f t="shared" si="28"/>
        <v>0</v>
      </c>
      <c r="L115" s="200">
        <f t="shared" si="28"/>
        <v>0</v>
      </c>
      <c r="M115" s="200">
        <f t="shared" si="28"/>
        <v>0</v>
      </c>
      <c r="N115" s="200">
        <f t="shared" si="28"/>
        <v>0</v>
      </c>
      <c r="O115" s="200">
        <f t="shared" si="28"/>
        <v>169000</v>
      </c>
      <c r="P115" s="203">
        <f t="shared" si="28"/>
        <v>315000</v>
      </c>
      <c r="Q115" s="200">
        <f>Q113+Q114</f>
        <v>0</v>
      </c>
      <c r="T115" s="211"/>
    </row>
    <row r="116" spans="1:20" s="210" customFormat="1" ht="6.75" customHeight="1">
      <c r="A116" s="252"/>
      <c r="B116" s="212"/>
      <c r="C116" s="204"/>
      <c r="D116" s="222"/>
      <c r="E116" s="208"/>
      <c r="F116" s="208"/>
      <c r="G116" s="208"/>
      <c r="H116" s="208"/>
      <c r="I116" s="208"/>
      <c r="J116" s="208"/>
      <c r="K116" s="208"/>
      <c r="L116" s="208"/>
      <c r="M116" s="223"/>
      <c r="N116" s="208"/>
      <c r="O116" s="208"/>
      <c r="P116" s="208"/>
      <c r="Q116" s="207"/>
      <c r="T116" s="211"/>
    </row>
    <row r="117" spans="1:20" s="156" customFormat="1" ht="20.25" customHeight="1" hidden="1">
      <c r="A117" s="694" t="s">
        <v>22</v>
      </c>
      <c r="B117" s="706" t="s">
        <v>23</v>
      </c>
      <c r="C117" s="192" t="s">
        <v>13</v>
      </c>
      <c r="D117" s="193">
        <f t="shared" si="26"/>
        <v>215000</v>
      </c>
      <c r="E117" s="207">
        <v>0</v>
      </c>
      <c r="F117" s="207">
        <v>215000</v>
      </c>
      <c r="G117" s="218">
        <v>0</v>
      </c>
      <c r="H117" s="207">
        <v>0</v>
      </c>
      <c r="I117" s="209">
        <v>0</v>
      </c>
      <c r="J117" s="207">
        <v>0</v>
      </c>
      <c r="K117" s="209">
        <v>0</v>
      </c>
      <c r="L117" s="207">
        <v>0</v>
      </c>
      <c r="M117" s="207">
        <v>0</v>
      </c>
      <c r="N117" s="207">
        <v>0</v>
      </c>
      <c r="O117" s="207">
        <v>0</v>
      </c>
      <c r="P117" s="208">
        <v>0</v>
      </c>
      <c r="Q117" s="207">
        <v>0</v>
      </c>
      <c r="T117" s="214"/>
    </row>
    <row r="118" spans="1:20" s="156" customFormat="1" ht="20.25" customHeight="1" hidden="1">
      <c r="A118" s="695"/>
      <c r="B118" s="707"/>
      <c r="C118" s="192" t="s">
        <v>14</v>
      </c>
      <c r="D118" s="193">
        <f t="shared" si="26"/>
        <v>0</v>
      </c>
      <c r="E118" s="200">
        <v>0</v>
      </c>
      <c r="F118" s="200">
        <v>0</v>
      </c>
      <c r="G118" s="201">
        <v>0</v>
      </c>
      <c r="H118" s="200">
        <v>0</v>
      </c>
      <c r="I118" s="201">
        <v>0</v>
      </c>
      <c r="J118" s="200">
        <v>0</v>
      </c>
      <c r="K118" s="202">
        <v>0</v>
      </c>
      <c r="L118" s="203">
        <v>0</v>
      </c>
      <c r="M118" s="203">
        <v>0</v>
      </c>
      <c r="N118" s="200">
        <v>0</v>
      </c>
      <c r="O118" s="200">
        <v>0</v>
      </c>
      <c r="P118" s="201">
        <v>0</v>
      </c>
      <c r="Q118" s="200">
        <v>0</v>
      </c>
      <c r="T118" s="214"/>
    </row>
    <row r="119" spans="1:20" s="156" customFormat="1" ht="20.25" customHeight="1" hidden="1">
      <c r="A119" s="696"/>
      <c r="B119" s="708"/>
      <c r="C119" s="192" t="s">
        <v>15</v>
      </c>
      <c r="D119" s="193">
        <f t="shared" si="26"/>
        <v>215000</v>
      </c>
      <c r="E119" s="200">
        <f aca="true" t="shared" si="29" ref="E119:P119">E117+E118</f>
        <v>0</v>
      </c>
      <c r="F119" s="200">
        <f t="shared" si="29"/>
        <v>215000</v>
      </c>
      <c r="G119" s="200">
        <f t="shared" si="29"/>
        <v>0</v>
      </c>
      <c r="H119" s="200">
        <f t="shared" si="29"/>
        <v>0</v>
      </c>
      <c r="I119" s="200">
        <f t="shared" si="29"/>
        <v>0</v>
      </c>
      <c r="J119" s="200">
        <f t="shared" si="29"/>
        <v>0</v>
      </c>
      <c r="K119" s="200">
        <f t="shared" si="29"/>
        <v>0</v>
      </c>
      <c r="L119" s="200">
        <f t="shared" si="29"/>
        <v>0</v>
      </c>
      <c r="M119" s="200">
        <f t="shared" si="29"/>
        <v>0</v>
      </c>
      <c r="N119" s="200">
        <f t="shared" si="29"/>
        <v>0</v>
      </c>
      <c r="O119" s="200">
        <f t="shared" si="29"/>
        <v>0</v>
      </c>
      <c r="P119" s="203">
        <f t="shared" si="29"/>
        <v>0</v>
      </c>
      <c r="Q119" s="200">
        <f>Q117+Q118</f>
        <v>0</v>
      </c>
      <c r="T119" s="214"/>
    </row>
    <row r="120" spans="1:20" s="156" customFormat="1" ht="9" customHeight="1" hidden="1">
      <c r="A120" s="252"/>
      <c r="B120" s="212"/>
      <c r="C120" s="204"/>
      <c r="D120" s="185"/>
      <c r="E120" s="208"/>
      <c r="F120" s="208"/>
      <c r="G120" s="208"/>
      <c r="H120" s="208"/>
      <c r="I120" s="208"/>
      <c r="J120" s="208"/>
      <c r="K120" s="208"/>
      <c r="L120" s="208"/>
      <c r="M120" s="187"/>
      <c r="N120" s="208"/>
      <c r="O120" s="208"/>
      <c r="P120" s="208"/>
      <c r="Q120" s="207"/>
      <c r="T120" s="214"/>
    </row>
    <row r="121" spans="1:20" s="156" customFormat="1" ht="18.75" customHeight="1">
      <c r="A121" s="694" t="s">
        <v>70</v>
      </c>
      <c r="B121" s="697" t="s">
        <v>71</v>
      </c>
      <c r="C121" s="192" t="s">
        <v>13</v>
      </c>
      <c r="D121" s="193">
        <f t="shared" si="26"/>
        <v>62738</v>
      </c>
      <c r="E121" s="207">
        <v>0</v>
      </c>
      <c r="F121" s="207">
        <v>0</v>
      </c>
      <c r="G121" s="218">
        <v>0</v>
      </c>
      <c r="H121" s="207">
        <v>0</v>
      </c>
      <c r="I121" s="208">
        <v>0</v>
      </c>
      <c r="J121" s="207">
        <v>0</v>
      </c>
      <c r="K121" s="209">
        <v>0</v>
      </c>
      <c r="L121" s="218">
        <v>0</v>
      </c>
      <c r="M121" s="207">
        <v>62738</v>
      </c>
      <c r="N121" s="207">
        <v>0</v>
      </c>
      <c r="O121" s="207">
        <v>0</v>
      </c>
      <c r="P121" s="208">
        <v>0</v>
      </c>
      <c r="Q121" s="207">
        <v>0</v>
      </c>
      <c r="T121" s="214"/>
    </row>
    <row r="122" spans="1:20" s="156" customFormat="1" ht="18.75" customHeight="1">
      <c r="A122" s="695"/>
      <c r="B122" s="698"/>
      <c r="C122" s="192" t="s">
        <v>14</v>
      </c>
      <c r="D122" s="193">
        <f t="shared" si="26"/>
        <v>-37500</v>
      </c>
      <c r="E122" s="200">
        <v>0</v>
      </c>
      <c r="F122" s="200">
        <v>0</v>
      </c>
      <c r="G122" s="201">
        <v>0</v>
      </c>
      <c r="H122" s="200">
        <v>0</v>
      </c>
      <c r="I122" s="201">
        <v>0</v>
      </c>
      <c r="J122" s="200">
        <v>0</v>
      </c>
      <c r="K122" s="202">
        <v>0</v>
      </c>
      <c r="L122" s="203">
        <v>0</v>
      </c>
      <c r="M122" s="203">
        <f>-37500</f>
        <v>-37500</v>
      </c>
      <c r="N122" s="200">
        <v>0</v>
      </c>
      <c r="O122" s="200">
        <v>0</v>
      </c>
      <c r="P122" s="201">
        <v>0</v>
      </c>
      <c r="Q122" s="200">
        <v>0</v>
      </c>
      <c r="T122" s="214"/>
    </row>
    <row r="123" spans="1:20" s="156" customFormat="1" ht="18.75" customHeight="1">
      <c r="A123" s="696"/>
      <c r="B123" s="699"/>
      <c r="C123" s="192" t="s">
        <v>15</v>
      </c>
      <c r="D123" s="193">
        <f t="shared" si="26"/>
        <v>25238</v>
      </c>
      <c r="E123" s="200">
        <f aca="true" t="shared" si="30" ref="E123:P123">E121+E122</f>
        <v>0</v>
      </c>
      <c r="F123" s="200">
        <f t="shared" si="30"/>
        <v>0</v>
      </c>
      <c r="G123" s="200">
        <f t="shared" si="30"/>
        <v>0</v>
      </c>
      <c r="H123" s="200">
        <f t="shared" si="30"/>
        <v>0</v>
      </c>
      <c r="I123" s="200">
        <f t="shared" si="30"/>
        <v>0</v>
      </c>
      <c r="J123" s="200">
        <f t="shared" si="30"/>
        <v>0</v>
      </c>
      <c r="K123" s="200">
        <f t="shared" si="30"/>
        <v>0</v>
      </c>
      <c r="L123" s="200">
        <f t="shared" si="30"/>
        <v>0</v>
      </c>
      <c r="M123" s="200">
        <f t="shared" si="30"/>
        <v>25238</v>
      </c>
      <c r="N123" s="200">
        <f t="shared" si="30"/>
        <v>0</v>
      </c>
      <c r="O123" s="200">
        <f t="shared" si="30"/>
        <v>0</v>
      </c>
      <c r="P123" s="203">
        <f t="shared" si="30"/>
        <v>0</v>
      </c>
      <c r="Q123" s="200">
        <f>Q121+Q122</f>
        <v>0</v>
      </c>
      <c r="T123" s="214"/>
    </row>
    <row r="124" spans="1:20" s="156" customFormat="1" ht="6.75" customHeight="1">
      <c r="A124" s="252"/>
      <c r="B124" s="212"/>
      <c r="C124" s="204"/>
      <c r="D124" s="185"/>
      <c r="E124" s="208"/>
      <c r="F124" s="208"/>
      <c r="G124" s="208"/>
      <c r="H124" s="208"/>
      <c r="I124" s="208"/>
      <c r="J124" s="208"/>
      <c r="K124" s="208"/>
      <c r="L124" s="208"/>
      <c r="M124" s="187"/>
      <c r="N124" s="208"/>
      <c r="O124" s="208"/>
      <c r="P124" s="208"/>
      <c r="Q124" s="207"/>
      <c r="T124" s="214"/>
    </row>
    <row r="125" spans="1:20" s="210" customFormat="1" ht="20.25" customHeight="1" hidden="1">
      <c r="A125" s="694" t="s">
        <v>28</v>
      </c>
      <c r="B125" s="697" t="s">
        <v>29</v>
      </c>
      <c r="C125" s="192" t="s">
        <v>13</v>
      </c>
      <c r="D125" s="193">
        <f t="shared" si="26"/>
        <v>0</v>
      </c>
      <c r="E125" s="207">
        <v>0</v>
      </c>
      <c r="F125" s="207">
        <v>0</v>
      </c>
      <c r="G125" s="218">
        <v>0</v>
      </c>
      <c r="H125" s="207">
        <v>0</v>
      </c>
      <c r="I125" s="209">
        <v>0</v>
      </c>
      <c r="J125" s="207">
        <v>0</v>
      </c>
      <c r="K125" s="209">
        <v>0</v>
      </c>
      <c r="L125" s="207">
        <v>0</v>
      </c>
      <c r="M125" s="207">
        <v>0</v>
      </c>
      <c r="N125" s="207">
        <v>0</v>
      </c>
      <c r="O125" s="207">
        <v>0</v>
      </c>
      <c r="P125" s="208">
        <v>0</v>
      </c>
      <c r="Q125" s="207">
        <v>0</v>
      </c>
      <c r="T125" s="211"/>
    </row>
    <row r="126" spans="1:20" s="210" customFormat="1" ht="20.25" customHeight="1" hidden="1">
      <c r="A126" s="695"/>
      <c r="B126" s="698"/>
      <c r="C126" s="192" t="s">
        <v>14</v>
      </c>
      <c r="D126" s="193">
        <f t="shared" si="26"/>
        <v>0</v>
      </c>
      <c r="E126" s="200">
        <v>0</v>
      </c>
      <c r="F126" s="200">
        <v>0</v>
      </c>
      <c r="G126" s="201">
        <v>0</v>
      </c>
      <c r="H126" s="200">
        <v>0</v>
      </c>
      <c r="I126" s="201">
        <v>0</v>
      </c>
      <c r="J126" s="200">
        <v>0</v>
      </c>
      <c r="K126" s="202">
        <v>0</v>
      </c>
      <c r="L126" s="203">
        <v>0</v>
      </c>
      <c r="M126" s="203">
        <v>0</v>
      </c>
      <c r="N126" s="200">
        <v>0</v>
      </c>
      <c r="O126" s="200">
        <v>0</v>
      </c>
      <c r="P126" s="201">
        <v>0</v>
      </c>
      <c r="Q126" s="200">
        <v>0</v>
      </c>
      <c r="T126" s="211"/>
    </row>
    <row r="127" spans="1:20" s="210" customFormat="1" ht="20.25" customHeight="1" hidden="1">
      <c r="A127" s="696"/>
      <c r="B127" s="699"/>
      <c r="C127" s="192" t="s">
        <v>15</v>
      </c>
      <c r="D127" s="193">
        <f t="shared" si="26"/>
        <v>0</v>
      </c>
      <c r="E127" s="200">
        <f aca="true" t="shared" si="31" ref="E127:P127">E125+E126</f>
        <v>0</v>
      </c>
      <c r="F127" s="200">
        <f t="shared" si="31"/>
        <v>0</v>
      </c>
      <c r="G127" s="200">
        <f t="shared" si="31"/>
        <v>0</v>
      </c>
      <c r="H127" s="200">
        <f t="shared" si="31"/>
        <v>0</v>
      </c>
      <c r="I127" s="200">
        <f t="shared" si="31"/>
        <v>0</v>
      </c>
      <c r="J127" s="200">
        <f t="shared" si="31"/>
        <v>0</v>
      </c>
      <c r="K127" s="200">
        <f t="shared" si="31"/>
        <v>0</v>
      </c>
      <c r="L127" s="200">
        <f t="shared" si="31"/>
        <v>0</v>
      </c>
      <c r="M127" s="200">
        <f t="shared" si="31"/>
        <v>0</v>
      </c>
      <c r="N127" s="200">
        <f t="shared" si="31"/>
        <v>0</v>
      </c>
      <c r="O127" s="200">
        <f t="shared" si="31"/>
        <v>0</v>
      </c>
      <c r="P127" s="203">
        <f t="shared" si="31"/>
        <v>0</v>
      </c>
      <c r="Q127" s="200">
        <f>Q125+Q126</f>
        <v>0</v>
      </c>
      <c r="T127" s="211"/>
    </row>
    <row r="128" spans="1:20" s="210" customFormat="1" ht="5.25" customHeight="1" hidden="1">
      <c r="A128" s="252"/>
      <c r="B128" s="212"/>
      <c r="C128" s="204"/>
      <c r="D128" s="185"/>
      <c r="E128" s="208"/>
      <c r="F128" s="208"/>
      <c r="G128" s="208"/>
      <c r="H128" s="208"/>
      <c r="I128" s="208"/>
      <c r="J128" s="208"/>
      <c r="K128" s="208"/>
      <c r="L128" s="208"/>
      <c r="M128" s="187"/>
      <c r="N128" s="208"/>
      <c r="O128" s="208"/>
      <c r="P128" s="208"/>
      <c r="Q128" s="207"/>
      <c r="T128" s="211"/>
    </row>
    <row r="129" spans="1:20" s="210" customFormat="1" ht="18" customHeight="1">
      <c r="A129" s="694" t="s">
        <v>140</v>
      </c>
      <c r="B129" s="697" t="s">
        <v>141</v>
      </c>
      <c r="C129" s="192" t="s">
        <v>13</v>
      </c>
      <c r="D129" s="193">
        <f t="shared" si="26"/>
        <v>244875347</v>
      </c>
      <c r="E129" s="207">
        <v>0</v>
      </c>
      <c r="F129" s="207">
        <v>0</v>
      </c>
      <c r="G129" s="207">
        <v>226945230</v>
      </c>
      <c r="H129" s="218">
        <v>34000</v>
      </c>
      <c r="I129" s="207">
        <v>17896117</v>
      </c>
      <c r="J129" s="207">
        <v>0</v>
      </c>
      <c r="K129" s="209">
        <v>0</v>
      </c>
      <c r="L129" s="218">
        <v>0</v>
      </c>
      <c r="M129" s="207">
        <v>0</v>
      </c>
      <c r="N129" s="207">
        <v>0</v>
      </c>
      <c r="O129" s="207">
        <v>0</v>
      </c>
      <c r="P129" s="218">
        <v>0</v>
      </c>
      <c r="Q129" s="207">
        <v>0</v>
      </c>
      <c r="T129" s="211"/>
    </row>
    <row r="130" spans="1:20" s="210" customFormat="1" ht="18" customHeight="1">
      <c r="A130" s="695"/>
      <c r="B130" s="698"/>
      <c r="C130" s="192" t="s">
        <v>14</v>
      </c>
      <c r="D130" s="193">
        <f t="shared" si="26"/>
        <v>-3292823</v>
      </c>
      <c r="E130" s="200">
        <v>0</v>
      </c>
      <c r="F130" s="200">
        <v>0</v>
      </c>
      <c r="G130" s="201">
        <f>-9091978+3784655</f>
        <v>-5307323</v>
      </c>
      <c r="H130" s="200">
        <v>2014500</v>
      </c>
      <c r="I130" s="201">
        <f>100000-100000</f>
        <v>0</v>
      </c>
      <c r="J130" s="200">
        <v>0</v>
      </c>
      <c r="K130" s="202">
        <v>0</v>
      </c>
      <c r="L130" s="203">
        <v>0</v>
      </c>
      <c r="M130" s="203">
        <v>0</v>
      </c>
      <c r="N130" s="200">
        <v>0</v>
      </c>
      <c r="O130" s="200">
        <v>0</v>
      </c>
      <c r="P130" s="201">
        <v>0</v>
      </c>
      <c r="Q130" s="200">
        <v>0</v>
      </c>
      <c r="T130" s="211"/>
    </row>
    <row r="131" spans="1:20" s="210" customFormat="1" ht="18" customHeight="1">
      <c r="A131" s="696"/>
      <c r="B131" s="699"/>
      <c r="C131" s="192" t="s">
        <v>15</v>
      </c>
      <c r="D131" s="193">
        <f t="shared" si="26"/>
        <v>241582524</v>
      </c>
      <c r="E131" s="200">
        <f aca="true" t="shared" si="32" ref="E131:P131">E129+E130</f>
        <v>0</v>
      </c>
      <c r="F131" s="200">
        <f t="shared" si="32"/>
        <v>0</v>
      </c>
      <c r="G131" s="200">
        <f t="shared" si="32"/>
        <v>221637907</v>
      </c>
      <c r="H131" s="200">
        <f t="shared" si="32"/>
        <v>2048500</v>
      </c>
      <c r="I131" s="200">
        <f t="shared" si="32"/>
        <v>17896117</v>
      </c>
      <c r="J131" s="200">
        <f t="shared" si="32"/>
        <v>0</v>
      </c>
      <c r="K131" s="200">
        <f t="shared" si="32"/>
        <v>0</v>
      </c>
      <c r="L131" s="200">
        <f t="shared" si="32"/>
        <v>0</v>
      </c>
      <c r="M131" s="200">
        <f t="shared" si="32"/>
        <v>0</v>
      </c>
      <c r="N131" s="200">
        <f t="shared" si="32"/>
        <v>0</v>
      </c>
      <c r="O131" s="200">
        <f t="shared" si="32"/>
        <v>0</v>
      </c>
      <c r="P131" s="203">
        <f t="shared" si="32"/>
        <v>0</v>
      </c>
      <c r="Q131" s="200">
        <f>Q129+Q130</f>
        <v>0</v>
      </c>
      <c r="T131" s="211"/>
    </row>
    <row r="132" spans="1:20" s="210" customFormat="1" ht="6.75" customHeight="1">
      <c r="A132" s="252"/>
      <c r="B132" s="212"/>
      <c r="C132" s="204"/>
      <c r="D132" s="185"/>
      <c r="E132" s="208"/>
      <c r="F132" s="208"/>
      <c r="G132" s="208"/>
      <c r="H132" s="208"/>
      <c r="I132" s="208"/>
      <c r="J132" s="208"/>
      <c r="K132" s="208"/>
      <c r="L132" s="208"/>
      <c r="M132" s="187"/>
      <c r="N132" s="208"/>
      <c r="O132" s="208"/>
      <c r="P132" s="208"/>
      <c r="Q132" s="207"/>
      <c r="T132" s="211"/>
    </row>
    <row r="133" spans="1:20" s="210" customFormat="1" ht="20.25" customHeight="1" hidden="1">
      <c r="A133" s="694" t="s">
        <v>34</v>
      </c>
      <c r="B133" s="697" t="s">
        <v>35</v>
      </c>
      <c r="C133" s="192" t="s">
        <v>13</v>
      </c>
      <c r="D133" s="193">
        <f>SUM(E133:Q133)</f>
        <v>4425354</v>
      </c>
      <c r="E133" s="207">
        <v>0</v>
      </c>
      <c r="F133" s="207">
        <v>0</v>
      </c>
      <c r="G133" s="208">
        <v>0</v>
      </c>
      <c r="H133" s="207">
        <v>0</v>
      </c>
      <c r="I133" s="209">
        <v>0</v>
      </c>
      <c r="J133" s="207">
        <v>0</v>
      </c>
      <c r="K133" s="209">
        <v>0</v>
      </c>
      <c r="L133" s="207">
        <v>0</v>
      </c>
      <c r="M133" s="207">
        <v>0</v>
      </c>
      <c r="N133" s="207">
        <v>4290354</v>
      </c>
      <c r="O133" s="207">
        <v>135000</v>
      </c>
      <c r="P133" s="208">
        <v>0</v>
      </c>
      <c r="Q133" s="207">
        <v>0</v>
      </c>
      <c r="T133" s="211"/>
    </row>
    <row r="134" spans="1:20" s="210" customFormat="1" ht="20.25" customHeight="1" hidden="1">
      <c r="A134" s="695"/>
      <c r="B134" s="698"/>
      <c r="C134" s="192" t="s">
        <v>14</v>
      </c>
      <c r="D134" s="193">
        <f>SUM(E134:Q134)</f>
        <v>0</v>
      </c>
      <c r="E134" s="200">
        <v>0</v>
      </c>
      <c r="F134" s="200">
        <v>0</v>
      </c>
      <c r="G134" s="201">
        <v>0</v>
      </c>
      <c r="H134" s="200">
        <v>0</v>
      </c>
      <c r="I134" s="201">
        <v>0</v>
      </c>
      <c r="J134" s="200">
        <v>0</v>
      </c>
      <c r="K134" s="202">
        <v>0</v>
      </c>
      <c r="L134" s="203">
        <v>0</v>
      </c>
      <c r="M134" s="203">
        <v>0</v>
      </c>
      <c r="N134" s="200">
        <v>0</v>
      </c>
      <c r="O134" s="200">
        <v>0</v>
      </c>
      <c r="P134" s="201">
        <v>0</v>
      </c>
      <c r="Q134" s="200">
        <v>0</v>
      </c>
      <c r="T134" s="211"/>
    </row>
    <row r="135" spans="1:20" s="210" customFormat="1" ht="20.25" customHeight="1" hidden="1">
      <c r="A135" s="696"/>
      <c r="B135" s="699"/>
      <c r="C135" s="192" t="s">
        <v>15</v>
      </c>
      <c r="D135" s="193">
        <f>SUM(E135:Q135)</f>
        <v>4425354</v>
      </c>
      <c r="E135" s="200">
        <f aca="true" t="shared" si="33" ref="E135:P135">E133+E134</f>
        <v>0</v>
      </c>
      <c r="F135" s="200">
        <f t="shared" si="33"/>
        <v>0</v>
      </c>
      <c r="G135" s="200">
        <f t="shared" si="33"/>
        <v>0</v>
      </c>
      <c r="H135" s="200">
        <f t="shared" si="33"/>
        <v>0</v>
      </c>
      <c r="I135" s="200">
        <f t="shared" si="33"/>
        <v>0</v>
      </c>
      <c r="J135" s="200">
        <f t="shared" si="33"/>
        <v>0</v>
      </c>
      <c r="K135" s="200">
        <f t="shared" si="33"/>
        <v>0</v>
      </c>
      <c r="L135" s="200">
        <f t="shared" si="33"/>
        <v>0</v>
      </c>
      <c r="M135" s="200">
        <f t="shared" si="33"/>
        <v>0</v>
      </c>
      <c r="N135" s="200">
        <f t="shared" si="33"/>
        <v>4290354</v>
      </c>
      <c r="O135" s="200">
        <f t="shared" si="33"/>
        <v>135000</v>
      </c>
      <c r="P135" s="203">
        <f t="shared" si="33"/>
        <v>0</v>
      </c>
      <c r="Q135" s="200">
        <f>Q133+Q134</f>
        <v>0</v>
      </c>
      <c r="T135" s="211"/>
    </row>
    <row r="136" spans="1:20" s="210" customFormat="1" ht="11.25" customHeight="1" hidden="1">
      <c r="A136" s="255"/>
      <c r="B136" s="219"/>
      <c r="C136" s="204"/>
      <c r="D136" s="185"/>
      <c r="E136" s="208"/>
      <c r="F136" s="208"/>
      <c r="G136" s="208"/>
      <c r="H136" s="208"/>
      <c r="I136" s="208"/>
      <c r="J136" s="208"/>
      <c r="K136" s="208"/>
      <c r="L136" s="208"/>
      <c r="M136" s="187"/>
      <c r="N136" s="208"/>
      <c r="O136" s="208"/>
      <c r="P136" s="208"/>
      <c r="Q136" s="207"/>
      <c r="T136" s="211"/>
    </row>
    <row r="137" spans="1:20" s="210" customFormat="1" ht="20.25" customHeight="1" hidden="1">
      <c r="A137" s="694" t="s">
        <v>76</v>
      </c>
      <c r="B137" s="697" t="s">
        <v>448</v>
      </c>
      <c r="C137" s="192" t="s">
        <v>13</v>
      </c>
      <c r="D137" s="193">
        <f t="shared" si="26"/>
        <v>28598</v>
      </c>
      <c r="E137" s="207">
        <v>0</v>
      </c>
      <c r="F137" s="207">
        <v>5000</v>
      </c>
      <c r="G137" s="218">
        <v>0</v>
      </c>
      <c r="H137" s="207">
        <v>23598</v>
      </c>
      <c r="I137" s="208">
        <v>0</v>
      </c>
      <c r="J137" s="207">
        <v>0</v>
      </c>
      <c r="K137" s="209">
        <v>0</v>
      </c>
      <c r="L137" s="218">
        <v>0</v>
      </c>
      <c r="M137" s="207">
        <v>0</v>
      </c>
      <c r="N137" s="207">
        <v>0</v>
      </c>
      <c r="O137" s="207">
        <v>0</v>
      </c>
      <c r="P137" s="208">
        <v>0</v>
      </c>
      <c r="Q137" s="207">
        <v>0</v>
      </c>
      <c r="T137" s="211"/>
    </row>
    <row r="138" spans="1:20" s="210" customFormat="1" ht="20.25" customHeight="1" hidden="1">
      <c r="A138" s="695"/>
      <c r="B138" s="698"/>
      <c r="C138" s="192" t="s">
        <v>14</v>
      </c>
      <c r="D138" s="193">
        <f t="shared" si="26"/>
        <v>0</v>
      </c>
      <c r="E138" s="200">
        <v>0</v>
      </c>
      <c r="F138" s="200">
        <v>0</v>
      </c>
      <c r="G138" s="201">
        <v>0</v>
      </c>
      <c r="H138" s="200">
        <v>0</v>
      </c>
      <c r="I138" s="201">
        <v>0</v>
      </c>
      <c r="J138" s="194">
        <v>0</v>
      </c>
      <c r="K138" s="202">
        <v>0</v>
      </c>
      <c r="L138" s="203">
        <v>0</v>
      </c>
      <c r="M138" s="203">
        <v>0</v>
      </c>
      <c r="N138" s="200">
        <v>0</v>
      </c>
      <c r="O138" s="200">
        <v>0</v>
      </c>
      <c r="P138" s="201">
        <v>0</v>
      </c>
      <c r="Q138" s="200">
        <v>0</v>
      </c>
      <c r="T138" s="211"/>
    </row>
    <row r="139" spans="1:20" s="210" customFormat="1" ht="20.25" customHeight="1" hidden="1">
      <c r="A139" s="696"/>
      <c r="B139" s="699"/>
      <c r="C139" s="192" t="s">
        <v>15</v>
      </c>
      <c r="D139" s="193">
        <f t="shared" si="26"/>
        <v>28598</v>
      </c>
      <c r="E139" s="200">
        <f aca="true" t="shared" si="34" ref="E139:P139">E137+E138</f>
        <v>0</v>
      </c>
      <c r="F139" s="200">
        <f t="shared" si="34"/>
        <v>5000</v>
      </c>
      <c r="G139" s="200">
        <f t="shared" si="34"/>
        <v>0</v>
      </c>
      <c r="H139" s="200">
        <f t="shared" si="34"/>
        <v>23598</v>
      </c>
      <c r="I139" s="200">
        <f t="shared" si="34"/>
        <v>0</v>
      </c>
      <c r="J139" s="200">
        <f t="shared" si="34"/>
        <v>0</v>
      </c>
      <c r="K139" s="200">
        <f t="shared" si="34"/>
        <v>0</v>
      </c>
      <c r="L139" s="200">
        <f t="shared" si="34"/>
        <v>0</v>
      </c>
      <c r="M139" s="200">
        <f t="shared" si="34"/>
        <v>0</v>
      </c>
      <c r="N139" s="200">
        <f t="shared" si="34"/>
        <v>0</v>
      </c>
      <c r="O139" s="200">
        <f t="shared" si="34"/>
        <v>0</v>
      </c>
      <c r="P139" s="203">
        <f t="shared" si="34"/>
        <v>0</v>
      </c>
      <c r="Q139" s="200">
        <f>Q137+Q138</f>
        <v>0</v>
      </c>
      <c r="T139" s="211"/>
    </row>
    <row r="140" spans="1:20" s="210" customFormat="1" ht="20.25" customHeight="1" hidden="1">
      <c r="A140" s="252"/>
      <c r="B140" s="212"/>
      <c r="C140" s="204"/>
      <c r="D140" s="185"/>
      <c r="E140" s="208"/>
      <c r="F140" s="208"/>
      <c r="G140" s="208"/>
      <c r="H140" s="208"/>
      <c r="I140" s="208"/>
      <c r="J140" s="208"/>
      <c r="K140" s="208"/>
      <c r="L140" s="208"/>
      <c r="M140" s="187"/>
      <c r="N140" s="208"/>
      <c r="O140" s="208"/>
      <c r="P140" s="208"/>
      <c r="Q140" s="207"/>
      <c r="T140" s="211"/>
    </row>
    <row r="141" spans="1:20" s="210" customFormat="1" ht="20.25" customHeight="1" hidden="1">
      <c r="A141" s="694" t="s">
        <v>352</v>
      </c>
      <c r="B141" s="697" t="s">
        <v>38</v>
      </c>
      <c r="C141" s="192" t="s">
        <v>13</v>
      </c>
      <c r="D141" s="193">
        <f t="shared" si="26"/>
        <v>0</v>
      </c>
      <c r="E141" s="207">
        <v>0</v>
      </c>
      <c r="F141" s="207">
        <v>0</v>
      </c>
      <c r="G141" s="218">
        <v>0</v>
      </c>
      <c r="H141" s="207">
        <v>0</v>
      </c>
      <c r="I141" s="208">
        <v>0</v>
      </c>
      <c r="J141" s="207">
        <v>0</v>
      </c>
      <c r="K141" s="209">
        <v>0</v>
      </c>
      <c r="L141" s="218">
        <v>0</v>
      </c>
      <c r="M141" s="207">
        <v>0</v>
      </c>
      <c r="N141" s="207">
        <v>0</v>
      </c>
      <c r="O141" s="207">
        <v>0</v>
      </c>
      <c r="P141" s="208">
        <v>0</v>
      </c>
      <c r="Q141" s="207">
        <v>0</v>
      </c>
      <c r="T141" s="211"/>
    </row>
    <row r="142" spans="1:20" s="210" customFormat="1" ht="20.25" customHeight="1" hidden="1">
      <c r="A142" s="695"/>
      <c r="B142" s="698"/>
      <c r="C142" s="192" t="s">
        <v>14</v>
      </c>
      <c r="D142" s="193">
        <f t="shared" si="26"/>
        <v>0</v>
      </c>
      <c r="E142" s="200">
        <v>0</v>
      </c>
      <c r="F142" s="200">
        <v>0</v>
      </c>
      <c r="G142" s="201">
        <v>0</v>
      </c>
      <c r="H142" s="200">
        <v>0</v>
      </c>
      <c r="I142" s="201">
        <v>0</v>
      </c>
      <c r="J142" s="200">
        <v>0</v>
      </c>
      <c r="K142" s="202">
        <v>0</v>
      </c>
      <c r="L142" s="203">
        <v>0</v>
      </c>
      <c r="M142" s="203">
        <v>0</v>
      </c>
      <c r="N142" s="200">
        <v>0</v>
      </c>
      <c r="O142" s="200">
        <v>0</v>
      </c>
      <c r="P142" s="201">
        <v>0</v>
      </c>
      <c r="Q142" s="200">
        <v>0</v>
      </c>
      <c r="T142" s="211"/>
    </row>
    <row r="143" spans="1:20" s="210" customFormat="1" ht="20.25" customHeight="1" hidden="1">
      <c r="A143" s="695"/>
      <c r="B143" s="698"/>
      <c r="C143" s="192" t="s">
        <v>15</v>
      </c>
      <c r="D143" s="193">
        <f t="shared" si="26"/>
        <v>0</v>
      </c>
      <c r="E143" s="200">
        <f aca="true" t="shared" si="35" ref="E143:P143">E141+E142</f>
        <v>0</v>
      </c>
      <c r="F143" s="200">
        <f t="shared" si="35"/>
        <v>0</v>
      </c>
      <c r="G143" s="200">
        <f t="shared" si="35"/>
        <v>0</v>
      </c>
      <c r="H143" s="200">
        <f t="shared" si="35"/>
        <v>0</v>
      </c>
      <c r="I143" s="200">
        <f t="shared" si="35"/>
        <v>0</v>
      </c>
      <c r="J143" s="200">
        <f t="shared" si="35"/>
        <v>0</v>
      </c>
      <c r="K143" s="200">
        <f t="shared" si="35"/>
        <v>0</v>
      </c>
      <c r="L143" s="200">
        <f t="shared" si="35"/>
        <v>0</v>
      </c>
      <c r="M143" s="200">
        <f t="shared" si="35"/>
        <v>0</v>
      </c>
      <c r="N143" s="200">
        <f t="shared" si="35"/>
        <v>0</v>
      </c>
      <c r="O143" s="200">
        <f t="shared" si="35"/>
        <v>0</v>
      </c>
      <c r="P143" s="203">
        <f t="shared" si="35"/>
        <v>0</v>
      </c>
      <c r="Q143" s="200">
        <f>Q141+Q142</f>
        <v>0</v>
      </c>
      <c r="T143" s="211"/>
    </row>
    <row r="144" spans="1:20" s="210" customFormat="1" ht="10.5" customHeight="1" hidden="1">
      <c r="A144" s="252"/>
      <c r="B144" s="212"/>
      <c r="C144" s="204"/>
      <c r="D144" s="185"/>
      <c r="E144" s="208"/>
      <c r="F144" s="208"/>
      <c r="G144" s="208"/>
      <c r="H144" s="208"/>
      <c r="I144" s="208"/>
      <c r="J144" s="208"/>
      <c r="K144" s="208"/>
      <c r="L144" s="208"/>
      <c r="M144" s="187"/>
      <c r="N144" s="208"/>
      <c r="O144" s="208"/>
      <c r="P144" s="208"/>
      <c r="Q144" s="207"/>
      <c r="T144" s="211"/>
    </row>
    <row r="145" spans="1:20" s="210" customFormat="1" ht="20.25" customHeight="1" hidden="1">
      <c r="A145" s="694" t="s">
        <v>222</v>
      </c>
      <c r="B145" s="697" t="s">
        <v>39</v>
      </c>
      <c r="C145" s="192" t="s">
        <v>13</v>
      </c>
      <c r="D145" s="193">
        <f t="shared" si="26"/>
        <v>10843744</v>
      </c>
      <c r="E145" s="207">
        <v>0</v>
      </c>
      <c r="F145" s="207">
        <v>0</v>
      </c>
      <c r="G145" s="218">
        <v>10843744</v>
      </c>
      <c r="H145" s="207">
        <v>0</v>
      </c>
      <c r="I145" s="208">
        <v>0</v>
      </c>
      <c r="J145" s="207">
        <v>0</v>
      </c>
      <c r="K145" s="209">
        <v>0</v>
      </c>
      <c r="L145" s="218">
        <v>0</v>
      </c>
      <c r="M145" s="207">
        <v>0</v>
      </c>
      <c r="N145" s="207">
        <v>0</v>
      </c>
      <c r="O145" s="207">
        <v>0</v>
      </c>
      <c r="P145" s="208">
        <v>0</v>
      </c>
      <c r="Q145" s="207">
        <v>0</v>
      </c>
      <c r="T145" s="211"/>
    </row>
    <row r="146" spans="1:20" s="210" customFormat="1" ht="20.25" customHeight="1" hidden="1">
      <c r="A146" s="695"/>
      <c r="B146" s="698"/>
      <c r="C146" s="192" t="s">
        <v>14</v>
      </c>
      <c r="D146" s="193">
        <f t="shared" si="26"/>
        <v>0</v>
      </c>
      <c r="E146" s="200">
        <v>0</v>
      </c>
      <c r="F146" s="200">
        <v>0</v>
      </c>
      <c r="G146" s="201">
        <v>0</v>
      </c>
      <c r="H146" s="200">
        <v>0</v>
      </c>
      <c r="I146" s="201">
        <v>0</v>
      </c>
      <c r="J146" s="200">
        <v>0</v>
      </c>
      <c r="K146" s="202">
        <v>0</v>
      </c>
      <c r="L146" s="203">
        <v>0</v>
      </c>
      <c r="M146" s="203">
        <v>0</v>
      </c>
      <c r="N146" s="200">
        <v>0</v>
      </c>
      <c r="O146" s="200">
        <v>0</v>
      </c>
      <c r="P146" s="201">
        <v>0</v>
      </c>
      <c r="Q146" s="200">
        <v>0</v>
      </c>
      <c r="T146" s="211"/>
    </row>
    <row r="147" spans="1:20" s="210" customFormat="1" ht="20.25" customHeight="1" hidden="1">
      <c r="A147" s="696"/>
      <c r="B147" s="699"/>
      <c r="C147" s="192" t="s">
        <v>15</v>
      </c>
      <c r="D147" s="193">
        <f t="shared" si="26"/>
        <v>10843744</v>
      </c>
      <c r="E147" s="200">
        <f aca="true" t="shared" si="36" ref="E147:P147">E145+E146</f>
        <v>0</v>
      </c>
      <c r="F147" s="200">
        <f t="shared" si="36"/>
        <v>0</v>
      </c>
      <c r="G147" s="200">
        <f t="shared" si="36"/>
        <v>10843744</v>
      </c>
      <c r="H147" s="200">
        <f t="shared" si="36"/>
        <v>0</v>
      </c>
      <c r="I147" s="200">
        <f t="shared" si="36"/>
        <v>0</v>
      </c>
      <c r="J147" s="200">
        <f t="shared" si="36"/>
        <v>0</v>
      </c>
      <c r="K147" s="200">
        <f t="shared" si="36"/>
        <v>0</v>
      </c>
      <c r="L147" s="200">
        <f t="shared" si="36"/>
        <v>0</v>
      </c>
      <c r="M147" s="200">
        <f t="shared" si="36"/>
        <v>0</v>
      </c>
      <c r="N147" s="200">
        <f t="shared" si="36"/>
        <v>0</v>
      </c>
      <c r="O147" s="200">
        <f t="shared" si="36"/>
        <v>0</v>
      </c>
      <c r="P147" s="203">
        <f t="shared" si="36"/>
        <v>0</v>
      </c>
      <c r="Q147" s="200">
        <f>Q145+Q146</f>
        <v>0</v>
      </c>
      <c r="T147" s="211"/>
    </row>
    <row r="148" spans="1:20" s="210" customFormat="1" ht="10.5" customHeight="1" hidden="1">
      <c r="A148" s="255"/>
      <c r="B148" s="219"/>
      <c r="C148" s="205"/>
      <c r="D148" s="185"/>
      <c r="E148" s="224"/>
      <c r="F148" s="224"/>
      <c r="G148" s="224"/>
      <c r="H148" s="224"/>
      <c r="I148" s="224"/>
      <c r="J148" s="224"/>
      <c r="K148" s="224"/>
      <c r="L148" s="224"/>
      <c r="M148" s="187"/>
      <c r="N148" s="224"/>
      <c r="O148" s="224"/>
      <c r="P148" s="224"/>
      <c r="Q148" s="257"/>
      <c r="T148" s="211"/>
    </row>
    <row r="149" spans="1:20" s="210" customFormat="1" ht="18" customHeight="1">
      <c r="A149" s="694" t="s">
        <v>223</v>
      </c>
      <c r="B149" s="697" t="s">
        <v>40</v>
      </c>
      <c r="C149" s="192" t="s">
        <v>13</v>
      </c>
      <c r="D149" s="193">
        <f t="shared" si="26"/>
        <v>606501</v>
      </c>
      <c r="E149" s="225">
        <v>0</v>
      </c>
      <c r="F149" s="225">
        <v>0</v>
      </c>
      <c r="G149" s="226">
        <v>0</v>
      </c>
      <c r="H149" s="225">
        <v>0</v>
      </c>
      <c r="I149" s="227">
        <v>0</v>
      </c>
      <c r="J149" s="225">
        <v>125543</v>
      </c>
      <c r="K149" s="228">
        <v>480958</v>
      </c>
      <c r="L149" s="226">
        <v>0</v>
      </c>
      <c r="M149" s="207">
        <v>0</v>
      </c>
      <c r="N149" s="225">
        <v>0</v>
      </c>
      <c r="O149" s="225">
        <v>0</v>
      </c>
      <c r="P149" s="227">
        <v>0</v>
      </c>
      <c r="Q149" s="225">
        <v>0</v>
      </c>
      <c r="T149" s="211"/>
    </row>
    <row r="150" spans="1:20" s="210" customFormat="1" ht="18" customHeight="1">
      <c r="A150" s="695"/>
      <c r="B150" s="698"/>
      <c r="C150" s="192" t="s">
        <v>14</v>
      </c>
      <c r="D150" s="193">
        <f t="shared" si="26"/>
        <v>177817</v>
      </c>
      <c r="E150" s="194">
        <v>0</v>
      </c>
      <c r="F150" s="194">
        <v>0</v>
      </c>
      <c r="G150" s="194">
        <v>0</v>
      </c>
      <c r="H150" s="194">
        <v>0</v>
      </c>
      <c r="I150" s="194">
        <v>0</v>
      </c>
      <c r="J150" s="194">
        <v>177817</v>
      </c>
      <c r="K150" s="194">
        <v>0</v>
      </c>
      <c r="L150" s="194">
        <v>0</v>
      </c>
      <c r="M150" s="203">
        <v>0</v>
      </c>
      <c r="N150" s="194">
        <v>0</v>
      </c>
      <c r="O150" s="194">
        <v>0</v>
      </c>
      <c r="P150" s="195">
        <v>0</v>
      </c>
      <c r="Q150" s="194">
        <v>0</v>
      </c>
      <c r="T150" s="211"/>
    </row>
    <row r="151" spans="1:20" s="210" customFormat="1" ht="18" customHeight="1">
      <c r="A151" s="696"/>
      <c r="B151" s="699"/>
      <c r="C151" s="192" t="s">
        <v>15</v>
      </c>
      <c r="D151" s="193">
        <f t="shared" si="26"/>
        <v>784318</v>
      </c>
      <c r="E151" s="200">
        <f aca="true" t="shared" si="37" ref="E151:P151">E149+E150</f>
        <v>0</v>
      </c>
      <c r="F151" s="200">
        <f t="shared" si="37"/>
        <v>0</v>
      </c>
      <c r="G151" s="200">
        <f t="shared" si="37"/>
        <v>0</v>
      </c>
      <c r="H151" s="200">
        <f t="shared" si="37"/>
        <v>0</v>
      </c>
      <c r="I151" s="200">
        <f t="shared" si="37"/>
        <v>0</v>
      </c>
      <c r="J151" s="200">
        <f t="shared" si="37"/>
        <v>303360</v>
      </c>
      <c r="K151" s="200">
        <f t="shared" si="37"/>
        <v>480958</v>
      </c>
      <c r="L151" s="200">
        <f t="shared" si="37"/>
        <v>0</v>
      </c>
      <c r="M151" s="200">
        <f t="shared" si="37"/>
        <v>0</v>
      </c>
      <c r="N151" s="200">
        <f t="shared" si="37"/>
        <v>0</v>
      </c>
      <c r="O151" s="200">
        <f t="shared" si="37"/>
        <v>0</v>
      </c>
      <c r="P151" s="203">
        <f t="shared" si="37"/>
        <v>0</v>
      </c>
      <c r="Q151" s="200">
        <f>Q149+Q150</f>
        <v>0</v>
      </c>
      <c r="T151" s="211"/>
    </row>
    <row r="152" spans="1:20" s="210" customFormat="1" ht="6.75" customHeight="1">
      <c r="A152" s="255"/>
      <c r="B152" s="219"/>
      <c r="C152" s="219"/>
      <c r="D152" s="229"/>
      <c r="E152" s="227"/>
      <c r="F152" s="227"/>
      <c r="G152" s="227"/>
      <c r="H152" s="227"/>
      <c r="I152" s="227"/>
      <c r="J152" s="227"/>
      <c r="K152" s="227"/>
      <c r="L152" s="227"/>
      <c r="M152" s="227"/>
      <c r="N152" s="227"/>
      <c r="O152" s="227"/>
      <c r="P152" s="227"/>
      <c r="Q152" s="225"/>
      <c r="T152" s="211"/>
    </row>
    <row r="153" spans="1:20" s="233" customFormat="1" ht="18" customHeight="1">
      <c r="A153" s="700" t="s">
        <v>450</v>
      </c>
      <c r="B153" s="701"/>
      <c r="C153" s="230" t="s">
        <v>13</v>
      </c>
      <c r="D153" s="231">
        <f aca="true" t="shared" si="38" ref="D153:P154">D13+D105</f>
        <v>1128320209.0700002</v>
      </c>
      <c r="E153" s="231">
        <f>E13+E105</f>
        <v>618905129</v>
      </c>
      <c r="F153" s="231">
        <f t="shared" si="38"/>
        <v>20909956</v>
      </c>
      <c r="G153" s="231">
        <f t="shared" si="38"/>
        <v>301288297</v>
      </c>
      <c r="H153" s="231">
        <f t="shared" si="38"/>
        <v>43867281</v>
      </c>
      <c r="I153" s="231">
        <f t="shared" si="38"/>
        <v>47248387</v>
      </c>
      <c r="J153" s="231">
        <f t="shared" si="38"/>
        <v>16941845</v>
      </c>
      <c r="K153" s="231">
        <f t="shared" si="38"/>
        <v>1176912</v>
      </c>
      <c r="L153" s="231">
        <f t="shared" si="38"/>
        <v>1487257</v>
      </c>
      <c r="M153" s="231">
        <f>M13+M105</f>
        <v>63183</v>
      </c>
      <c r="N153" s="231">
        <f t="shared" si="38"/>
        <v>48498437.07</v>
      </c>
      <c r="O153" s="231">
        <f t="shared" si="38"/>
        <v>8518128</v>
      </c>
      <c r="P153" s="232">
        <f t="shared" si="38"/>
        <v>12947599</v>
      </c>
      <c r="Q153" s="231">
        <f>Q13+Q105</f>
        <v>6467798</v>
      </c>
      <c r="T153" s="234"/>
    </row>
    <row r="154" spans="1:17" ht="18" customHeight="1">
      <c r="A154" s="702"/>
      <c r="B154" s="703"/>
      <c r="C154" s="230" t="s">
        <v>14</v>
      </c>
      <c r="D154" s="231">
        <f>SUM(E154:P154)</f>
        <v>-4755892</v>
      </c>
      <c r="E154" s="231">
        <f>E14+E106</f>
        <v>-63184218</v>
      </c>
      <c r="F154" s="231">
        <f t="shared" si="38"/>
        <v>1849457</v>
      </c>
      <c r="G154" s="231">
        <f t="shared" si="38"/>
        <v>37567933</v>
      </c>
      <c r="H154" s="231">
        <f t="shared" si="38"/>
        <v>2780450</v>
      </c>
      <c r="I154" s="231">
        <f t="shared" si="38"/>
        <v>407539</v>
      </c>
      <c r="J154" s="231">
        <f t="shared" si="38"/>
        <v>177817</v>
      </c>
      <c r="K154" s="231">
        <f t="shared" si="38"/>
        <v>0</v>
      </c>
      <c r="L154" s="231">
        <f t="shared" si="38"/>
        <v>0</v>
      </c>
      <c r="M154" s="231">
        <f>M14+M106</f>
        <v>-37500</v>
      </c>
      <c r="N154" s="231">
        <f t="shared" si="38"/>
        <v>0</v>
      </c>
      <c r="O154" s="231">
        <f t="shared" si="38"/>
        <v>-221000</v>
      </c>
      <c r="P154" s="232">
        <f t="shared" si="38"/>
        <v>15903630</v>
      </c>
      <c r="Q154" s="231">
        <f>Q14+Q106</f>
        <v>0</v>
      </c>
    </row>
    <row r="155" spans="1:17" ht="18" customHeight="1">
      <c r="A155" s="704"/>
      <c r="B155" s="705"/>
      <c r="C155" s="230" t="s">
        <v>15</v>
      </c>
      <c r="D155" s="231">
        <f>D153+D154</f>
        <v>1123564317.0700002</v>
      </c>
      <c r="E155" s="231">
        <f>E15+E107</f>
        <v>555720911</v>
      </c>
      <c r="F155" s="231">
        <f aca="true" t="shared" si="39" ref="F155:P155">F153+F154</f>
        <v>22759413</v>
      </c>
      <c r="G155" s="231">
        <f t="shared" si="39"/>
        <v>338856230</v>
      </c>
      <c r="H155" s="231">
        <f t="shared" si="39"/>
        <v>46647731</v>
      </c>
      <c r="I155" s="231">
        <f t="shared" si="39"/>
        <v>47655926</v>
      </c>
      <c r="J155" s="231">
        <f t="shared" si="39"/>
        <v>17119662</v>
      </c>
      <c r="K155" s="231">
        <f t="shared" si="39"/>
        <v>1176912</v>
      </c>
      <c r="L155" s="231">
        <f t="shared" si="39"/>
        <v>1487257</v>
      </c>
      <c r="M155" s="231">
        <f>M153+M154</f>
        <v>25683</v>
      </c>
      <c r="N155" s="231">
        <f t="shared" si="39"/>
        <v>48498437.07</v>
      </c>
      <c r="O155" s="231">
        <f t="shared" si="39"/>
        <v>8297128</v>
      </c>
      <c r="P155" s="232">
        <f t="shared" si="39"/>
        <v>28851229</v>
      </c>
      <c r="Q155" s="231">
        <f>Q153+Q154</f>
        <v>6467798</v>
      </c>
    </row>
    <row r="156" spans="1:17" s="157" customFormat="1" ht="6" customHeight="1">
      <c r="A156" s="235"/>
      <c r="B156" s="235"/>
      <c r="C156" s="235"/>
      <c r="D156" s="236"/>
      <c r="E156" s="236"/>
      <c r="F156" s="236"/>
      <c r="G156" s="236"/>
      <c r="H156" s="236"/>
      <c r="I156" s="236"/>
      <c r="J156" s="236"/>
      <c r="K156" s="236"/>
      <c r="L156" s="236"/>
      <c r="M156" s="236"/>
      <c r="N156" s="236"/>
      <c r="O156" s="236"/>
      <c r="P156" s="236"/>
      <c r="Q156" s="236"/>
    </row>
    <row r="157" spans="1:17" s="241" customFormat="1" ht="15" customHeight="1">
      <c r="A157" s="237" t="s">
        <v>13</v>
      </c>
      <c r="B157" s="238" t="s">
        <v>451</v>
      </c>
      <c r="C157" s="239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1:17" s="241" customFormat="1" ht="15" customHeight="1">
      <c r="A158" s="237" t="s">
        <v>14</v>
      </c>
      <c r="B158" s="238" t="s">
        <v>452</v>
      </c>
      <c r="C158" s="239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1:17" s="241" customFormat="1" ht="15" customHeight="1">
      <c r="A159" s="237" t="s">
        <v>15</v>
      </c>
      <c r="B159" s="238" t="s">
        <v>453</v>
      </c>
      <c r="C159" s="239"/>
      <c r="D159" s="240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1:17" s="241" customFormat="1" ht="36" customHeight="1">
      <c r="A160" s="237"/>
      <c r="B160" s="238"/>
      <c r="C160" s="239"/>
      <c r="D160" s="240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4:7" ht="12.75">
      <c r="D161" s="242"/>
      <c r="E161" s="243"/>
      <c r="F161" s="243"/>
      <c r="G161" s="243"/>
    </row>
  </sheetData>
  <sheetProtection password="C25B" sheet="1"/>
  <mergeCells count="91">
    <mergeCell ref="G8:M8"/>
    <mergeCell ref="N8:Q8"/>
    <mergeCell ref="L9:L10"/>
    <mergeCell ref="M9:M10"/>
    <mergeCell ref="A4:P4"/>
    <mergeCell ref="A5:Q5"/>
    <mergeCell ref="A7:A10"/>
    <mergeCell ref="B7:B10"/>
    <mergeCell ref="D7:D10"/>
    <mergeCell ref="E7:E10"/>
    <mergeCell ref="F7:F10"/>
    <mergeCell ref="G7:Q7"/>
    <mergeCell ref="N9:N10"/>
    <mergeCell ref="O9:O10"/>
    <mergeCell ref="P9:P10"/>
    <mergeCell ref="Q9:Q10"/>
    <mergeCell ref="A13:A15"/>
    <mergeCell ref="B13:B15"/>
    <mergeCell ref="G9:G10"/>
    <mergeCell ref="H9:I9"/>
    <mergeCell ref="J9:J10"/>
    <mergeCell ref="K9:K10"/>
    <mergeCell ref="A17:A19"/>
    <mergeCell ref="B17:B19"/>
    <mergeCell ref="A21:A23"/>
    <mergeCell ref="B21:B23"/>
    <mergeCell ref="A25:A27"/>
    <mergeCell ref="B25:B27"/>
    <mergeCell ref="A29:A31"/>
    <mergeCell ref="B29:B31"/>
    <mergeCell ref="A33:A35"/>
    <mergeCell ref="B33:B35"/>
    <mergeCell ref="A37:A39"/>
    <mergeCell ref="B37:B39"/>
    <mergeCell ref="A41:A43"/>
    <mergeCell ref="B41:B43"/>
    <mergeCell ref="A45:A47"/>
    <mergeCell ref="B45:B47"/>
    <mergeCell ref="A49:A51"/>
    <mergeCell ref="B49:B51"/>
    <mergeCell ref="A53:A55"/>
    <mergeCell ref="B53:B55"/>
    <mergeCell ref="A57:A59"/>
    <mergeCell ref="B57:B59"/>
    <mergeCell ref="A61:A63"/>
    <mergeCell ref="B61:B63"/>
    <mergeCell ref="A65:A67"/>
    <mergeCell ref="B65:B67"/>
    <mergeCell ref="A69:A71"/>
    <mergeCell ref="B69:B71"/>
    <mergeCell ref="A73:A75"/>
    <mergeCell ref="B73:B75"/>
    <mergeCell ref="A77:A79"/>
    <mergeCell ref="B77:B79"/>
    <mergeCell ref="A81:A83"/>
    <mergeCell ref="B81:B83"/>
    <mergeCell ref="A85:A87"/>
    <mergeCell ref="B85:B87"/>
    <mergeCell ref="A89:A91"/>
    <mergeCell ref="B89:B91"/>
    <mergeCell ref="A93:A95"/>
    <mergeCell ref="B93:B95"/>
    <mergeCell ref="A97:A99"/>
    <mergeCell ref="B97:B99"/>
    <mergeCell ref="A101:A103"/>
    <mergeCell ref="B101:B103"/>
    <mergeCell ref="A105:A107"/>
    <mergeCell ref="B105:B107"/>
    <mergeCell ref="A109:A111"/>
    <mergeCell ref="B109:B111"/>
    <mergeCell ref="A113:A115"/>
    <mergeCell ref="B113:B115"/>
    <mergeCell ref="A117:A119"/>
    <mergeCell ref="B117:B119"/>
    <mergeCell ref="A121:A123"/>
    <mergeCell ref="B121:B123"/>
    <mergeCell ref="A125:A127"/>
    <mergeCell ref="B125:B127"/>
    <mergeCell ref="A129:A131"/>
    <mergeCell ref="B129:B131"/>
    <mergeCell ref="A133:A135"/>
    <mergeCell ref="B133:B135"/>
    <mergeCell ref="A149:A151"/>
    <mergeCell ref="B149:B151"/>
    <mergeCell ref="A153:B155"/>
    <mergeCell ref="A137:A139"/>
    <mergeCell ref="B137:B139"/>
    <mergeCell ref="A141:A143"/>
    <mergeCell ref="B141:B143"/>
    <mergeCell ref="A145:A147"/>
    <mergeCell ref="B145:B147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landscape" paperSize="9" scale="56" r:id="rId1"/>
  <rowBreaks count="1" manualBreakCount="1">
    <brk id="183" max="13" man="1"/>
  </rowBreaks>
  <colBreaks count="1" manualBreakCount="1">
    <brk id="17" max="15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4"/>
  <sheetViews>
    <sheetView view="pageBreakPreview" zoomScaleSheetLayoutView="100" zoomScalePageLayoutView="0" workbookViewId="0" topLeftCell="A13">
      <selection activeCell="D50" sqref="D50:D52"/>
    </sheetView>
  </sheetViews>
  <sheetFormatPr defaultColWidth="8" defaultRowHeight="14.25"/>
  <cols>
    <col min="1" max="1" width="4.59765625" style="611" customWidth="1"/>
    <col min="2" max="2" width="6.59765625" style="611" customWidth="1"/>
    <col min="3" max="3" width="15.59765625" style="604" customWidth="1"/>
    <col min="4" max="4" width="42" style="604" customWidth="1"/>
    <col min="5" max="5" width="2.3984375" style="613" customWidth="1"/>
    <col min="6" max="6" width="13.69921875" style="607" customWidth="1"/>
    <col min="7" max="7" width="16.09765625" style="604" customWidth="1"/>
    <col min="8" max="8" width="2.8984375" style="604" customWidth="1"/>
    <col min="9" max="16384" width="8" style="614" customWidth="1"/>
  </cols>
  <sheetData>
    <row r="1" spans="1:8" s="619" customFormat="1" ht="15" customHeight="1">
      <c r="A1" s="615"/>
      <c r="B1" s="615"/>
      <c r="C1" s="616"/>
      <c r="D1" s="617" t="s">
        <v>1040</v>
      </c>
      <c r="E1" s="1198" t="s">
        <v>1091</v>
      </c>
      <c r="F1" s="1198"/>
      <c r="G1" s="1198"/>
      <c r="H1" s="618"/>
    </row>
    <row r="2" spans="1:8" s="619" customFormat="1" ht="15" customHeight="1">
      <c r="A2" s="615"/>
      <c r="B2" s="615"/>
      <c r="C2" s="616"/>
      <c r="D2" s="616" t="s">
        <v>1041</v>
      </c>
      <c r="E2" s="1199" t="s">
        <v>1042</v>
      </c>
      <c r="F2" s="1199"/>
      <c r="G2" s="1199"/>
      <c r="H2" s="618"/>
    </row>
    <row r="3" spans="1:8" s="619" customFormat="1" ht="9.75" customHeight="1">
      <c r="A3" s="615"/>
      <c r="B3" s="615"/>
      <c r="C3" s="618"/>
      <c r="D3" s="1199" t="s">
        <v>1043</v>
      </c>
      <c r="E3" s="1199"/>
      <c r="F3" s="1199"/>
      <c r="G3" s="1199"/>
      <c r="H3" s="618"/>
    </row>
    <row r="4" spans="1:8" s="619" customFormat="1" ht="42" customHeight="1">
      <c r="A4" s="1200" t="s">
        <v>1044</v>
      </c>
      <c r="B4" s="1200"/>
      <c r="C4" s="1200"/>
      <c r="D4" s="1200"/>
      <c r="E4" s="1200"/>
      <c r="F4" s="1200"/>
      <c r="G4" s="1200"/>
      <c r="H4" s="618"/>
    </row>
    <row r="5" spans="6:7" ht="8.25" customHeight="1">
      <c r="F5" s="620"/>
      <c r="G5" s="620"/>
    </row>
    <row r="6" spans="6:7" ht="11.25" customHeight="1">
      <c r="F6" s="620"/>
      <c r="G6" s="621" t="s">
        <v>0</v>
      </c>
    </row>
    <row r="7" spans="1:8" s="467" customFormat="1" ht="15.75" customHeight="1">
      <c r="A7" s="1201" t="s">
        <v>1</v>
      </c>
      <c r="B7" s="1201" t="s">
        <v>8</v>
      </c>
      <c r="C7" s="1203" t="s">
        <v>510</v>
      </c>
      <c r="D7" s="1204"/>
      <c r="E7" s="1205" t="s">
        <v>11</v>
      </c>
      <c r="F7" s="1207" t="s">
        <v>1045</v>
      </c>
      <c r="G7" s="1205" t="s">
        <v>1046</v>
      </c>
      <c r="H7" s="623"/>
    </row>
    <row r="8" spans="1:8" s="467" customFormat="1" ht="38.25" customHeight="1">
      <c r="A8" s="1202"/>
      <c r="B8" s="1202"/>
      <c r="C8" s="622" t="s">
        <v>1047</v>
      </c>
      <c r="D8" s="622" t="s">
        <v>1048</v>
      </c>
      <c r="E8" s="1206"/>
      <c r="F8" s="1208"/>
      <c r="G8" s="1206"/>
      <c r="H8" s="623"/>
    </row>
    <row r="9" spans="1:8" s="497" customFormat="1" ht="11.25">
      <c r="A9" s="624">
        <v>1</v>
      </c>
      <c r="B9" s="624">
        <v>2</v>
      </c>
      <c r="C9" s="625">
        <v>3</v>
      </c>
      <c r="D9" s="625">
        <v>4</v>
      </c>
      <c r="E9" s="625"/>
      <c r="F9" s="626">
        <v>5</v>
      </c>
      <c r="G9" s="625">
        <v>6</v>
      </c>
      <c r="H9" s="627"/>
    </row>
    <row r="10" spans="1:7" s="630" customFormat="1" ht="22.5" customHeight="1">
      <c r="A10" s="1186" t="s">
        <v>12</v>
      </c>
      <c r="B10" s="1187"/>
      <c r="C10" s="1187"/>
      <c r="D10" s="1188"/>
      <c r="E10" s="628" t="s">
        <v>13</v>
      </c>
      <c r="F10" s="629">
        <f aca="true" t="shared" si="0" ref="F10:G12">F14+F17+F20+F23+F26+F29+F32+F35+F38+F41+F44+F47+F50+F53+F56+F59+F62+F65+F68+F71+F74+F77+F80+F83+F86+F89</f>
        <v>25459973</v>
      </c>
      <c r="G10" s="629">
        <f t="shared" si="0"/>
        <v>199550076</v>
      </c>
    </row>
    <row r="11" spans="1:7" s="630" customFormat="1" ht="22.5" customHeight="1">
      <c r="A11" s="1189"/>
      <c r="B11" s="1190"/>
      <c r="C11" s="1190"/>
      <c r="D11" s="1191"/>
      <c r="E11" s="631" t="s">
        <v>14</v>
      </c>
      <c r="F11" s="629">
        <f t="shared" si="0"/>
        <v>-43183</v>
      </c>
      <c r="G11" s="629">
        <f t="shared" si="0"/>
        <v>563029</v>
      </c>
    </row>
    <row r="12" spans="1:7" s="630" customFormat="1" ht="22.5" customHeight="1">
      <c r="A12" s="1192"/>
      <c r="B12" s="1193"/>
      <c r="C12" s="1193"/>
      <c r="D12" s="1194"/>
      <c r="E12" s="632" t="s">
        <v>15</v>
      </c>
      <c r="F12" s="629">
        <f t="shared" si="0"/>
        <v>25416790</v>
      </c>
      <c r="G12" s="629">
        <f t="shared" si="0"/>
        <v>200113105</v>
      </c>
    </row>
    <row r="13" spans="1:7" s="630" customFormat="1" ht="9" customHeight="1">
      <c r="A13" s="1195"/>
      <c r="B13" s="1196"/>
      <c r="C13" s="1196"/>
      <c r="D13" s="1196"/>
      <c r="E13" s="1196"/>
      <c r="F13" s="1196"/>
      <c r="G13" s="1197"/>
    </row>
    <row r="14" spans="1:8" s="545" customFormat="1" ht="15" customHeight="1" hidden="1">
      <c r="A14" s="633" t="s">
        <v>19</v>
      </c>
      <c r="B14" s="633" t="s">
        <v>111</v>
      </c>
      <c r="C14" s="1166" t="s">
        <v>1049</v>
      </c>
      <c r="D14" s="1169" t="s">
        <v>940</v>
      </c>
      <c r="E14" s="634" t="s">
        <v>13</v>
      </c>
      <c r="F14" s="635">
        <v>220175</v>
      </c>
      <c r="G14" s="636">
        <v>220175</v>
      </c>
      <c r="H14" s="637"/>
    </row>
    <row r="15" spans="1:8" s="545" customFormat="1" ht="15" customHeight="1" hidden="1">
      <c r="A15" s="638"/>
      <c r="B15" s="638"/>
      <c r="C15" s="1167"/>
      <c r="D15" s="1170"/>
      <c r="E15" s="543" t="s">
        <v>14</v>
      </c>
      <c r="F15" s="635">
        <v>0</v>
      </c>
      <c r="G15" s="636">
        <v>0</v>
      </c>
      <c r="H15" s="637"/>
    </row>
    <row r="16" spans="1:8" s="545" customFormat="1" ht="15" customHeight="1" hidden="1">
      <c r="A16" s="638"/>
      <c r="B16" s="638"/>
      <c r="C16" s="1168"/>
      <c r="D16" s="1171"/>
      <c r="E16" s="543" t="s">
        <v>15</v>
      </c>
      <c r="F16" s="635">
        <f>F14+F15</f>
        <v>220175</v>
      </c>
      <c r="G16" s="635">
        <f>G14+G15</f>
        <v>220175</v>
      </c>
      <c r="H16" s="637"/>
    </row>
    <row r="17" spans="1:8" s="545" customFormat="1" ht="15" customHeight="1" hidden="1">
      <c r="A17" s="638"/>
      <c r="B17" s="638"/>
      <c r="C17" s="1166" t="s">
        <v>1050</v>
      </c>
      <c r="D17" s="1169" t="s">
        <v>940</v>
      </c>
      <c r="E17" s="639" t="s">
        <v>13</v>
      </c>
      <c r="F17" s="635">
        <v>2502560</v>
      </c>
      <c r="G17" s="636">
        <v>2502560</v>
      </c>
      <c r="H17" s="637"/>
    </row>
    <row r="18" spans="1:8" s="545" customFormat="1" ht="15" customHeight="1" hidden="1">
      <c r="A18" s="638"/>
      <c r="B18" s="638"/>
      <c r="C18" s="1167"/>
      <c r="D18" s="1170"/>
      <c r="E18" s="543" t="s">
        <v>14</v>
      </c>
      <c r="F18" s="635">
        <v>0</v>
      </c>
      <c r="G18" s="636">
        <v>0</v>
      </c>
      <c r="H18" s="637"/>
    </row>
    <row r="19" spans="1:8" s="545" customFormat="1" ht="15" customHeight="1" hidden="1">
      <c r="A19" s="638"/>
      <c r="B19" s="640"/>
      <c r="C19" s="1168"/>
      <c r="D19" s="1171"/>
      <c r="E19" s="543" t="s">
        <v>15</v>
      </c>
      <c r="F19" s="635">
        <f>F17+F18</f>
        <v>2502560</v>
      </c>
      <c r="G19" s="635">
        <f>G17+G18</f>
        <v>2502560</v>
      </c>
      <c r="H19" s="637"/>
    </row>
    <row r="20" spans="1:8" s="647" customFormat="1" ht="19.5" customHeight="1">
      <c r="A20" s="641">
        <v>600</v>
      </c>
      <c r="B20" s="642">
        <v>60013</v>
      </c>
      <c r="C20" s="1180" t="s">
        <v>1051</v>
      </c>
      <c r="D20" s="1183" t="s">
        <v>1052</v>
      </c>
      <c r="E20" s="643" t="s">
        <v>13</v>
      </c>
      <c r="F20" s="644">
        <v>150000</v>
      </c>
      <c r="G20" s="645">
        <v>150000</v>
      </c>
      <c r="H20" s="646"/>
    </row>
    <row r="21" spans="1:8" s="647" customFormat="1" ht="19.5" customHeight="1">
      <c r="A21" s="648"/>
      <c r="B21" s="642"/>
      <c r="C21" s="1181"/>
      <c r="D21" s="1184"/>
      <c r="E21" s="643" t="s">
        <v>14</v>
      </c>
      <c r="F21" s="644">
        <v>19000</v>
      </c>
      <c r="G21" s="645">
        <v>19000</v>
      </c>
      <c r="H21" s="646"/>
    </row>
    <row r="22" spans="1:8" s="545" customFormat="1" ht="19.5" customHeight="1">
      <c r="A22" s="638"/>
      <c r="B22" s="638"/>
      <c r="C22" s="1182"/>
      <c r="D22" s="1185"/>
      <c r="E22" s="543" t="s">
        <v>15</v>
      </c>
      <c r="F22" s="635">
        <f>F20+F21</f>
        <v>169000</v>
      </c>
      <c r="G22" s="635">
        <f>G20+G21</f>
        <v>169000</v>
      </c>
      <c r="H22" s="637"/>
    </row>
    <row r="23" spans="1:8" s="647" customFormat="1" ht="15" customHeight="1" hidden="1">
      <c r="A23" s="648"/>
      <c r="B23" s="648"/>
      <c r="C23" s="1180" t="s">
        <v>1053</v>
      </c>
      <c r="D23" s="1183" t="s">
        <v>1054</v>
      </c>
      <c r="E23" s="643" t="s">
        <v>13</v>
      </c>
      <c r="F23" s="644">
        <v>269354</v>
      </c>
      <c r="G23" s="645">
        <v>1795693</v>
      </c>
      <c r="H23" s="646"/>
    </row>
    <row r="24" spans="1:8" s="647" customFormat="1" ht="15" customHeight="1" hidden="1">
      <c r="A24" s="648"/>
      <c r="B24" s="648"/>
      <c r="C24" s="1181"/>
      <c r="D24" s="1170"/>
      <c r="E24" s="543" t="s">
        <v>14</v>
      </c>
      <c r="F24" s="644">
        <v>0</v>
      </c>
      <c r="G24" s="645">
        <v>0</v>
      </c>
      <c r="H24" s="646"/>
    </row>
    <row r="25" spans="1:8" s="545" customFormat="1" ht="15" customHeight="1" hidden="1">
      <c r="A25" s="638"/>
      <c r="B25" s="638"/>
      <c r="C25" s="1182"/>
      <c r="D25" s="1171"/>
      <c r="E25" s="543" t="s">
        <v>15</v>
      </c>
      <c r="F25" s="635">
        <f>F23+F24</f>
        <v>269354</v>
      </c>
      <c r="G25" s="635">
        <f>G23+G24</f>
        <v>1795693</v>
      </c>
      <c r="H25" s="637"/>
    </row>
    <row r="26" spans="1:8" s="647" customFormat="1" ht="30" customHeight="1" hidden="1">
      <c r="A26" s="648"/>
      <c r="B26" s="648"/>
      <c r="C26" s="1180" t="s">
        <v>1055</v>
      </c>
      <c r="D26" s="1183" t="s">
        <v>1056</v>
      </c>
      <c r="E26" s="643" t="s">
        <v>13</v>
      </c>
      <c r="F26" s="644">
        <v>3523235</v>
      </c>
      <c r="G26" s="645">
        <v>6532240</v>
      </c>
      <c r="H26" s="646"/>
    </row>
    <row r="27" spans="1:8" s="647" customFormat="1" ht="30" customHeight="1" hidden="1">
      <c r="A27" s="648"/>
      <c r="B27" s="648"/>
      <c r="C27" s="1181"/>
      <c r="D27" s="1184"/>
      <c r="E27" s="643" t="s">
        <v>14</v>
      </c>
      <c r="F27" s="644">
        <v>0</v>
      </c>
      <c r="G27" s="645">
        <v>0</v>
      </c>
      <c r="H27" s="646"/>
    </row>
    <row r="28" spans="1:8" s="545" customFormat="1" ht="30" customHeight="1" hidden="1">
      <c r="A28" s="638"/>
      <c r="B28" s="638"/>
      <c r="C28" s="1182"/>
      <c r="D28" s="1185"/>
      <c r="E28" s="543" t="s">
        <v>15</v>
      </c>
      <c r="F28" s="635">
        <f>F26+F27</f>
        <v>3523235</v>
      </c>
      <c r="G28" s="635">
        <f>G26+G27</f>
        <v>6532240</v>
      </c>
      <c r="H28" s="637"/>
    </row>
    <row r="29" spans="1:8" s="647" customFormat="1" ht="24.75" customHeight="1" hidden="1">
      <c r="A29" s="648"/>
      <c r="B29" s="648"/>
      <c r="C29" s="1180" t="s">
        <v>1055</v>
      </c>
      <c r="D29" s="1183" t="s">
        <v>1057</v>
      </c>
      <c r="E29" s="643" t="s">
        <v>13</v>
      </c>
      <c r="F29" s="644">
        <v>2395875</v>
      </c>
      <c r="G29" s="645">
        <v>4333520</v>
      </c>
      <c r="H29" s="646"/>
    </row>
    <row r="30" spans="1:8" s="647" customFormat="1" ht="24.75" customHeight="1" hidden="1">
      <c r="A30" s="648"/>
      <c r="B30" s="648"/>
      <c r="C30" s="1181"/>
      <c r="D30" s="1184"/>
      <c r="E30" s="643" t="s">
        <v>14</v>
      </c>
      <c r="F30" s="644">
        <v>0</v>
      </c>
      <c r="G30" s="645">
        <v>0</v>
      </c>
      <c r="H30" s="646"/>
    </row>
    <row r="31" spans="1:8" s="545" customFormat="1" ht="24.75" customHeight="1" hidden="1">
      <c r="A31" s="638"/>
      <c r="B31" s="638"/>
      <c r="C31" s="1182"/>
      <c r="D31" s="1185"/>
      <c r="E31" s="543" t="s">
        <v>15</v>
      </c>
      <c r="F31" s="635">
        <f>F29+F30</f>
        <v>2395875</v>
      </c>
      <c r="G31" s="635">
        <f>G29+G30</f>
        <v>4333520</v>
      </c>
      <c r="H31" s="637"/>
    </row>
    <row r="32" spans="1:8" s="647" customFormat="1" ht="24.75" customHeight="1" hidden="1">
      <c r="A32" s="648"/>
      <c r="B32" s="648"/>
      <c r="C32" s="1180" t="s">
        <v>1055</v>
      </c>
      <c r="D32" s="1183" t="s">
        <v>1058</v>
      </c>
      <c r="E32" s="643" t="s">
        <v>13</v>
      </c>
      <c r="F32" s="644">
        <v>2183913</v>
      </c>
      <c r="G32" s="645">
        <v>4261394</v>
      </c>
      <c r="H32" s="646"/>
    </row>
    <row r="33" spans="1:8" s="647" customFormat="1" ht="24.75" customHeight="1" hidden="1">
      <c r="A33" s="648"/>
      <c r="B33" s="648"/>
      <c r="C33" s="1181"/>
      <c r="D33" s="1170"/>
      <c r="E33" s="543" t="s">
        <v>14</v>
      </c>
      <c r="F33" s="644">
        <v>0</v>
      </c>
      <c r="G33" s="645">
        <v>0</v>
      </c>
      <c r="H33" s="646"/>
    </row>
    <row r="34" spans="1:8" s="545" customFormat="1" ht="24.75" customHeight="1" hidden="1">
      <c r="A34" s="638"/>
      <c r="B34" s="638"/>
      <c r="C34" s="1182"/>
      <c r="D34" s="1171"/>
      <c r="E34" s="543" t="s">
        <v>15</v>
      </c>
      <c r="F34" s="635">
        <f>F32+F33</f>
        <v>2183913</v>
      </c>
      <c r="G34" s="635">
        <f>G32+G33</f>
        <v>4261394</v>
      </c>
      <c r="H34" s="637"/>
    </row>
    <row r="35" spans="1:8" s="647" customFormat="1" ht="24.75" customHeight="1" hidden="1">
      <c r="A35" s="648"/>
      <c r="B35" s="648"/>
      <c r="C35" s="1180" t="s">
        <v>1053</v>
      </c>
      <c r="D35" s="1183" t="s">
        <v>1059</v>
      </c>
      <c r="E35" s="643" t="s">
        <v>13</v>
      </c>
      <c r="F35" s="644">
        <v>1056000</v>
      </c>
      <c r="G35" s="645">
        <v>17256000</v>
      </c>
      <c r="H35" s="646"/>
    </row>
    <row r="36" spans="1:8" s="647" customFormat="1" ht="24.75" customHeight="1" hidden="1">
      <c r="A36" s="648"/>
      <c r="B36" s="648"/>
      <c r="C36" s="1181"/>
      <c r="D36" s="1184"/>
      <c r="E36" s="643" t="s">
        <v>14</v>
      </c>
      <c r="F36" s="644">
        <v>0</v>
      </c>
      <c r="G36" s="645">
        <v>0</v>
      </c>
      <c r="H36" s="646"/>
    </row>
    <row r="37" spans="1:8" s="545" customFormat="1" ht="24.75" customHeight="1" hidden="1">
      <c r="A37" s="638"/>
      <c r="B37" s="638"/>
      <c r="C37" s="1182"/>
      <c r="D37" s="1185"/>
      <c r="E37" s="543" t="s">
        <v>15</v>
      </c>
      <c r="F37" s="635">
        <f>F35+F36</f>
        <v>1056000</v>
      </c>
      <c r="G37" s="635">
        <f>G35+G36</f>
        <v>17256000</v>
      </c>
      <c r="H37" s="637"/>
    </row>
    <row r="38" spans="1:8" s="647" customFormat="1" ht="15" customHeight="1" hidden="1">
      <c r="A38" s="648"/>
      <c r="B38" s="648"/>
      <c r="C38" s="1180" t="s">
        <v>1055</v>
      </c>
      <c r="D38" s="1183" t="s">
        <v>1060</v>
      </c>
      <c r="E38" s="643" t="s">
        <v>13</v>
      </c>
      <c r="F38" s="644">
        <v>1004909</v>
      </c>
      <c r="G38" s="645">
        <v>12976021</v>
      </c>
      <c r="H38" s="646"/>
    </row>
    <row r="39" spans="1:8" s="647" customFormat="1" ht="15" customHeight="1" hidden="1">
      <c r="A39" s="648"/>
      <c r="B39" s="648"/>
      <c r="C39" s="1181"/>
      <c r="D39" s="1184"/>
      <c r="E39" s="643" t="s">
        <v>14</v>
      </c>
      <c r="F39" s="644">
        <v>0</v>
      </c>
      <c r="G39" s="645">
        <v>0</v>
      </c>
      <c r="H39" s="646"/>
    </row>
    <row r="40" spans="1:8" s="545" customFormat="1" ht="15" customHeight="1" hidden="1">
      <c r="A40" s="638"/>
      <c r="B40" s="638"/>
      <c r="C40" s="1182"/>
      <c r="D40" s="1185"/>
      <c r="E40" s="543" t="s">
        <v>15</v>
      </c>
      <c r="F40" s="635">
        <f>F38+F39</f>
        <v>1004909</v>
      </c>
      <c r="G40" s="635">
        <f>G38+G39</f>
        <v>12976021</v>
      </c>
      <c r="H40" s="637"/>
    </row>
    <row r="41" spans="1:8" s="647" customFormat="1" ht="15" customHeight="1" hidden="1">
      <c r="A41" s="648"/>
      <c r="B41" s="648"/>
      <c r="C41" s="1180" t="s">
        <v>1053</v>
      </c>
      <c r="D41" s="1183" t="s">
        <v>1061</v>
      </c>
      <c r="E41" s="643" t="s">
        <v>13</v>
      </c>
      <c r="F41" s="644">
        <v>4371456</v>
      </c>
      <c r="G41" s="645">
        <v>29550609</v>
      </c>
      <c r="H41" s="646"/>
    </row>
    <row r="42" spans="1:8" s="647" customFormat="1" ht="15" customHeight="1" hidden="1">
      <c r="A42" s="648"/>
      <c r="B42" s="648"/>
      <c r="C42" s="1181"/>
      <c r="D42" s="1184"/>
      <c r="E42" s="643" t="s">
        <v>14</v>
      </c>
      <c r="F42" s="644">
        <v>0</v>
      </c>
      <c r="G42" s="645">
        <v>0</v>
      </c>
      <c r="H42" s="646"/>
    </row>
    <row r="43" spans="1:8" s="545" customFormat="1" ht="15" customHeight="1" hidden="1">
      <c r="A43" s="638"/>
      <c r="B43" s="638"/>
      <c r="C43" s="1182"/>
      <c r="D43" s="1185"/>
      <c r="E43" s="543" t="s">
        <v>15</v>
      </c>
      <c r="F43" s="635">
        <f>F41+F42</f>
        <v>4371456</v>
      </c>
      <c r="G43" s="635">
        <f>G41+G42</f>
        <v>29550609</v>
      </c>
      <c r="H43" s="637"/>
    </row>
    <row r="44" spans="1:8" s="647" customFormat="1" ht="15" customHeight="1" hidden="1">
      <c r="A44" s="648"/>
      <c r="B44" s="648"/>
      <c r="C44" s="1180" t="s">
        <v>1053</v>
      </c>
      <c r="D44" s="1183" t="s">
        <v>1062</v>
      </c>
      <c r="E44" s="643" t="s">
        <v>13</v>
      </c>
      <c r="F44" s="644">
        <v>1191654</v>
      </c>
      <c r="G44" s="645">
        <f>39701971-4396959</f>
        <v>35305012</v>
      </c>
      <c r="H44" s="646"/>
    </row>
    <row r="45" spans="1:8" s="647" customFormat="1" ht="15" customHeight="1" hidden="1">
      <c r="A45" s="648"/>
      <c r="B45" s="648"/>
      <c r="C45" s="1181"/>
      <c r="D45" s="1184"/>
      <c r="E45" s="643" t="s">
        <v>14</v>
      </c>
      <c r="F45" s="644">
        <v>0</v>
      </c>
      <c r="G45" s="645">
        <v>0</v>
      </c>
      <c r="H45" s="646"/>
    </row>
    <row r="46" spans="1:8" s="545" customFormat="1" ht="15" customHeight="1" hidden="1">
      <c r="A46" s="638"/>
      <c r="B46" s="638"/>
      <c r="C46" s="1182"/>
      <c r="D46" s="1185"/>
      <c r="E46" s="543" t="s">
        <v>15</v>
      </c>
      <c r="F46" s="635">
        <f>F44+F45</f>
        <v>1191654</v>
      </c>
      <c r="G46" s="635">
        <f>G44+G45</f>
        <v>35305012</v>
      </c>
      <c r="H46" s="637"/>
    </row>
    <row r="47" spans="1:8" s="545" customFormat="1" ht="15" customHeight="1" hidden="1">
      <c r="A47" s="633" t="s">
        <v>70</v>
      </c>
      <c r="B47" s="633" t="s">
        <v>72</v>
      </c>
      <c r="C47" s="1166" t="s">
        <v>1053</v>
      </c>
      <c r="D47" s="1169" t="s">
        <v>1063</v>
      </c>
      <c r="E47" s="639" t="s">
        <v>13</v>
      </c>
      <c r="F47" s="635">
        <v>747529</v>
      </c>
      <c r="G47" s="636">
        <v>2449543</v>
      </c>
      <c r="H47" s="637"/>
    </row>
    <row r="48" spans="1:8" s="545" customFormat="1" ht="15" customHeight="1" hidden="1">
      <c r="A48" s="638"/>
      <c r="B48" s="638"/>
      <c r="C48" s="1167"/>
      <c r="D48" s="1170"/>
      <c r="E48" s="543" t="s">
        <v>14</v>
      </c>
      <c r="F48" s="635">
        <v>0</v>
      </c>
      <c r="G48" s="636">
        <v>0</v>
      </c>
      <c r="H48" s="637"/>
    </row>
    <row r="49" spans="1:8" s="545" customFormat="1" ht="15" customHeight="1" hidden="1">
      <c r="A49" s="638"/>
      <c r="B49" s="638"/>
      <c r="C49" s="1168"/>
      <c r="D49" s="1171"/>
      <c r="E49" s="543" t="s">
        <v>15</v>
      </c>
      <c r="F49" s="635">
        <f>F47+F48</f>
        <v>747529</v>
      </c>
      <c r="G49" s="635">
        <f>G47+G48</f>
        <v>2449543</v>
      </c>
      <c r="H49" s="637"/>
    </row>
    <row r="50" spans="1:8" s="545" customFormat="1" ht="15" customHeight="1">
      <c r="A50" s="633" t="s">
        <v>70</v>
      </c>
      <c r="B50" s="633" t="s">
        <v>72</v>
      </c>
      <c r="C50" s="1166" t="s">
        <v>1055</v>
      </c>
      <c r="D50" s="1169" t="s">
        <v>1064</v>
      </c>
      <c r="E50" s="639" t="s">
        <v>13</v>
      </c>
      <c r="F50" s="635">
        <v>57555</v>
      </c>
      <c r="G50" s="636">
        <v>49230046</v>
      </c>
      <c r="H50" s="637"/>
    </row>
    <row r="51" spans="1:8" s="545" customFormat="1" ht="15" customHeight="1">
      <c r="A51" s="638"/>
      <c r="B51" s="638"/>
      <c r="C51" s="1167"/>
      <c r="D51" s="1170"/>
      <c r="E51" s="543" t="s">
        <v>14</v>
      </c>
      <c r="F51" s="635">
        <v>0</v>
      </c>
      <c r="G51" s="636">
        <v>-810851</v>
      </c>
      <c r="H51" s="637"/>
    </row>
    <row r="52" spans="1:8" s="545" customFormat="1" ht="15" customHeight="1">
      <c r="A52" s="638"/>
      <c r="B52" s="638"/>
      <c r="C52" s="1168"/>
      <c r="D52" s="1171"/>
      <c r="E52" s="543" t="s">
        <v>15</v>
      </c>
      <c r="F52" s="635">
        <f>F50+F51</f>
        <v>57555</v>
      </c>
      <c r="G52" s="635">
        <f>G50+G51</f>
        <v>48419195</v>
      </c>
      <c r="H52" s="637"/>
    </row>
    <row r="53" spans="1:8" s="545" customFormat="1" ht="19.5" customHeight="1" hidden="1">
      <c r="A53" s="633" t="s">
        <v>28</v>
      </c>
      <c r="B53" s="633" t="s">
        <v>129</v>
      </c>
      <c r="C53" s="1166" t="s">
        <v>1053</v>
      </c>
      <c r="D53" s="1169" t="s">
        <v>1065</v>
      </c>
      <c r="E53" s="639" t="s">
        <v>13</v>
      </c>
      <c r="F53" s="635">
        <v>262351</v>
      </c>
      <c r="G53" s="636">
        <v>4120160</v>
      </c>
      <c r="H53" s="637"/>
    </row>
    <row r="54" spans="1:8" s="545" customFormat="1" ht="19.5" customHeight="1" hidden="1">
      <c r="A54" s="638"/>
      <c r="B54" s="638"/>
      <c r="C54" s="1167"/>
      <c r="D54" s="1170"/>
      <c r="E54" s="543" t="s">
        <v>14</v>
      </c>
      <c r="F54" s="635">
        <v>0</v>
      </c>
      <c r="G54" s="636">
        <v>0</v>
      </c>
      <c r="H54" s="637"/>
    </row>
    <row r="55" spans="1:8" s="545" customFormat="1" ht="19.5" customHeight="1" hidden="1">
      <c r="A55" s="638"/>
      <c r="B55" s="638"/>
      <c r="C55" s="1168"/>
      <c r="D55" s="1171"/>
      <c r="E55" s="543" t="s">
        <v>15</v>
      </c>
      <c r="F55" s="635">
        <f>F53+F54</f>
        <v>262351</v>
      </c>
      <c r="G55" s="635">
        <f>G53+G54</f>
        <v>4120160</v>
      </c>
      <c r="H55" s="637"/>
    </row>
    <row r="56" spans="1:8" s="545" customFormat="1" ht="15" customHeight="1" hidden="1">
      <c r="A56" s="638"/>
      <c r="B56" s="638"/>
      <c r="C56" s="1166" t="s">
        <v>1053</v>
      </c>
      <c r="D56" s="1169" t="s">
        <v>1066</v>
      </c>
      <c r="E56" s="639" t="s">
        <v>13</v>
      </c>
      <c r="F56" s="635">
        <v>500000</v>
      </c>
      <c r="G56" s="636">
        <v>2635231</v>
      </c>
      <c r="H56" s="637"/>
    </row>
    <row r="57" spans="1:8" s="545" customFormat="1" ht="15" customHeight="1" hidden="1">
      <c r="A57" s="638"/>
      <c r="B57" s="638"/>
      <c r="C57" s="1167"/>
      <c r="D57" s="1170"/>
      <c r="E57" s="543" t="s">
        <v>14</v>
      </c>
      <c r="F57" s="635">
        <v>0</v>
      </c>
      <c r="G57" s="636">
        <v>0</v>
      </c>
      <c r="H57" s="637"/>
    </row>
    <row r="58" spans="1:8" s="545" customFormat="1" ht="15" customHeight="1" hidden="1">
      <c r="A58" s="640"/>
      <c r="B58" s="640"/>
      <c r="C58" s="1168"/>
      <c r="D58" s="1171"/>
      <c r="E58" s="543" t="s">
        <v>15</v>
      </c>
      <c r="F58" s="635">
        <f>F56+F57</f>
        <v>500000</v>
      </c>
      <c r="G58" s="635">
        <f>G56+G57</f>
        <v>2635231</v>
      </c>
      <c r="H58" s="637"/>
    </row>
    <row r="59" spans="1:8" s="545" customFormat="1" ht="15" customHeight="1" hidden="1">
      <c r="A59" s="633" t="s">
        <v>31</v>
      </c>
      <c r="B59" s="1163" t="s">
        <v>156</v>
      </c>
      <c r="C59" s="1166" t="s">
        <v>1055</v>
      </c>
      <c r="D59" s="1169" t="s">
        <v>1067</v>
      </c>
      <c r="E59" s="639" t="s">
        <v>13</v>
      </c>
      <c r="F59" s="635">
        <v>680000</v>
      </c>
      <c r="G59" s="636">
        <v>680000</v>
      </c>
      <c r="H59" s="637"/>
    </row>
    <row r="60" spans="1:8" s="545" customFormat="1" ht="15" customHeight="1" hidden="1">
      <c r="A60" s="638"/>
      <c r="B60" s="1164"/>
      <c r="C60" s="1167"/>
      <c r="D60" s="1178"/>
      <c r="E60" s="639" t="s">
        <v>14</v>
      </c>
      <c r="F60" s="635">
        <v>0</v>
      </c>
      <c r="G60" s="636">
        <v>0</v>
      </c>
      <c r="H60" s="637"/>
    </row>
    <row r="61" spans="1:8" s="545" customFormat="1" ht="15" customHeight="1" hidden="1">
      <c r="A61" s="638"/>
      <c r="B61" s="1165"/>
      <c r="C61" s="1168"/>
      <c r="D61" s="1179"/>
      <c r="E61" s="543" t="s">
        <v>15</v>
      </c>
      <c r="F61" s="635">
        <f>F59+F60</f>
        <v>680000</v>
      </c>
      <c r="G61" s="635">
        <f>G59+G60</f>
        <v>680000</v>
      </c>
      <c r="H61" s="637"/>
    </row>
    <row r="62" spans="1:8" s="545" customFormat="1" ht="22.5" customHeight="1" hidden="1">
      <c r="A62" s="633" t="s">
        <v>34</v>
      </c>
      <c r="B62" s="1163" t="s">
        <v>251</v>
      </c>
      <c r="C62" s="1166" t="s">
        <v>1068</v>
      </c>
      <c r="D62" s="1169" t="s">
        <v>1069</v>
      </c>
      <c r="E62" s="639" t="s">
        <v>13</v>
      </c>
      <c r="F62" s="635">
        <v>200000</v>
      </c>
      <c r="G62" s="636">
        <v>200000</v>
      </c>
      <c r="H62" s="637"/>
    </row>
    <row r="63" spans="1:8" s="545" customFormat="1" ht="22.5" customHeight="1" hidden="1">
      <c r="A63" s="638"/>
      <c r="B63" s="1164"/>
      <c r="C63" s="1167"/>
      <c r="D63" s="1178"/>
      <c r="E63" s="639" t="s">
        <v>14</v>
      </c>
      <c r="F63" s="635">
        <v>0</v>
      </c>
      <c r="G63" s="636">
        <v>0</v>
      </c>
      <c r="H63" s="637"/>
    </row>
    <row r="64" spans="1:8" s="545" customFormat="1" ht="22.5" customHeight="1" hidden="1">
      <c r="A64" s="640"/>
      <c r="B64" s="1165"/>
      <c r="C64" s="1168"/>
      <c r="D64" s="1179"/>
      <c r="E64" s="543" t="s">
        <v>15</v>
      </c>
      <c r="F64" s="635">
        <f>F62+F63</f>
        <v>200000</v>
      </c>
      <c r="G64" s="635">
        <f>G62+G63</f>
        <v>200000</v>
      </c>
      <c r="H64" s="637"/>
    </row>
    <row r="65" spans="1:8" s="545" customFormat="1" ht="15" customHeight="1" hidden="1">
      <c r="A65" s="633" t="s">
        <v>220</v>
      </c>
      <c r="B65" s="1163" t="s">
        <v>970</v>
      </c>
      <c r="C65" s="1166" t="s">
        <v>1053</v>
      </c>
      <c r="D65" s="1169" t="s">
        <v>1070</v>
      </c>
      <c r="E65" s="639" t="s">
        <v>13</v>
      </c>
      <c r="F65" s="635">
        <v>78000</v>
      </c>
      <c r="G65" s="636">
        <v>400000</v>
      </c>
      <c r="H65" s="637"/>
    </row>
    <row r="66" spans="1:8" s="545" customFormat="1" ht="15" customHeight="1" hidden="1">
      <c r="A66" s="638"/>
      <c r="B66" s="1164"/>
      <c r="C66" s="1167"/>
      <c r="D66" s="1178"/>
      <c r="E66" s="639" t="s">
        <v>14</v>
      </c>
      <c r="F66" s="635">
        <v>0</v>
      </c>
      <c r="G66" s="636">
        <v>0</v>
      </c>
      <c r="H66" s="637"/>
    </row>
    <row r="67" spans="1:8" s="545" customFormat="1" ht="15" customHeight="1" hidden="1">
      <c r="A67" s="638"/>
      <c r="B67" s="1165"/>
      <c r="C67" s="1168"/>
      <c r="D67" s="1179"/>
      <c r="E67" s="543" t="s">
        <v>15</v>
      </c>
      <c r="F67" s="635">
        <f>F65+F66</f>
        <v>78000</v>
      </c>
      <c r="G67" s="635">
        <f>G65+G66</f>
        <v>400000</v>
      </c>
      <c r="H67" s="637"/>
    </row>
    <row r="68" spans="1:8" s="545" customFormat="1" ht="15" customHeight="1">
      <c r="A68" s="633" t="s">
        <v>222</v>
      </c>
      <c r="B68" s="1172" t="s">
        <v>1071</v>
      </c>
      <c r="C68" s="1166" t="s">
        <v>1072</v>
      </c>
      <c r="D68" s="1169" t="s">
        <v>1073</v>
      </c>
      <c r="E68" s="639" t="s">
        <v>13</v>
      </c>
      <c r="F68" s="635">
        <v>240000</v>
      </c>
      <c r="G68" s="636">
        <v>690000</v>
      </c>
      <c r="H68" s="637"/>
    </row>
    <row r="69" spans="1:8" s="545" customFormat="1" ht="15" customHeight="1">
      <c r="A69" s="638"/>
      <c r="B69" s="1173"/>
      <c r="C69" s="1167"/>
      <c r="D69" s="1170"/>
      <c r="E69" s="543" t="s">
        <v>14</v>
      </c>
      <c r="F69" s="635">
        <v>-240000</v>
      </c>
      <c r="G69" s="636">
        <v>-690000</v>
      </c>
      <c r="H69" s="637"/>
    </row>
    <row r="70" spans="1:8" s="545" customFormat="1" ht="15" customHeight="1">
      <c r="A70" s="638"/>
      <c r="B70" s="1174"/>
      <c r="C70" s="1168"/>
      <c r="D70" s="1171"/>
      <c r="E70" s="543" t="s">
        <v>15</v>
      </c>
      <c r="F70" s="635">
        <f>F68+F69</f>
        <v>0</v>
      </c>
      <c r="G70" s="635">
        <f>G68+G69</f>
        <v>0</v>
      </c>
      <c r="H70" s="637"/>
    </row>
    <row r="71" spans="1:8" s="545" customFormat="1" ht="15" customHeight="1" hidden="1">
      <c r="A71" s="638"/>
      <c r="B71" s="1172" t="s">
        <v>1071</v>
      </c>
      <c r="C71" s="1166" t="s">
        <v>1072</v>
      </c>
      <c r="D71" s="1169" t="s">
        <v>1074</v>
      </c>
      <c r="E71" s="639" t="s">
        <v>13</v>
      </c>
      <c r="F71" s="635">
        <v>200000</v>
      </c>
      <c r="G71" s="636">
        <v>650000</v>
      </c>
      <c r="H71" s="637"/>
    </row>
    <row r="72" spans="1:8" s="545" customFormat="1" ht="15" customHeight="1" hidden="1">
      <c r="A72" s="638"/>
      <c r="B72" s="1173"/>
      <c r="C72" s="1167"/>
      <c r="D72" s="1170"/>
      <c r="E72" s="543" t="s">
        <v>14</v>
      </c>
      <c r="F72" s="635">
        <v>0</v>
      </c>
      <c r="G72" s="636">
        <v>0</v>
      </c>
      <c r="H72" s="637"/>
    </row>
    <row r="73" spans="1:8" s="545" customFormat="1" ht="15" customHeight="1" hidden="1">
      <c r="A73" s="638"/>
      <c r="B73" s="1174"/>
      <c r="C73" s="1168"/>
      <c r="D73" s="1171"/>
      <c r="E73" s="543" t="s">
        <v>15</v>
      </c>
      <c r="F73" s="635">
        <f>F71+F72</f>
        <v>200000</v>
      </c>
      <c r="G73" s="635">
        <f>G71+G72</f>
        <v>650000</v>
      </c>
      <c r="H73" s="637"/>
    </row>
    <row r="74" spans="1:8" s="545" customFormat="1" ht="15" customHeight="1" hidden="1">
      <c r="A74" s="638"/>
      <c r="B74" s="1172" t="s">
        <v>1075</v>
      </c>
      <c r="C74" s="1166" t="s">
        <v>1072</v>
      </c>
      <c r="D74" s="1169" t="s">
        <v>1076</v>
      </c>
      <c r="E74" s="639" t="s">
        <v>13</v>
      </c>
      <c r="F74" s="635">
        <v>10000</v>
      </c>
      <c r="G74" s="636">
        <v>61000</v>
      </c>
      <c r="H74" s="637"/>
    </row>
    <row r="75" spans="1:8" s="545" customFormat="1" ht="15" customHeight="1" hidden="1">
      <c r="A75" s="638"/>
      <c r="B75" s="1173"/>
      <c r="C75" s="1167"/>
      <c r="D75" s="1170"/>
      <c r="E75" s="543" t="s">
        <v>14</v>
      </c>
      <c r="F75" s="635">
        <v>0</v>
      </c>
      <c r="G75" s="636">
        <v>0</v>
      </c>
      <c r="H75" s="637"/>
    </row>
    <row r="76" spans="1:8" s="545" customFormat="1" ht="15" customHeight="1" hidden="1">
      <c r="A76" s="638"/>
      <c r="B76" s="1174"/>
      <c r="C76" s="1168"/>
      <c r="D76" s="1171"/>
      <c r="E76" s="543" t="s">
        <v>15</v>
      </c>
      <c r="F76" s="635">
        <f>F74+F75</f>
        <v>10000</v>
      </c>
      <c r="G76" s="635">
        <f>G74+G75</f>
        <v>61000</v>
      </c>
      <c r="H76" s="637"/>
    </row>
    <row r="77" spans="1:8" s="545" customFormat="1" ht="15" customHeight="1" hidden="1">
      <c r="A77" s="638"/>
      <c r="B77" s="1172" t="s">
        <v>1077</v>
      </c>
      <c r="C77" s="1166" t="s">
        <v>1072</v>
      </c>
      <c r="D77" s="1169" t="s">
        <v>1078</v>
      </c>
      <c r="E77" s="639" t="s">
        <v>13</v>
      </c>
      <c r="F77" s="635">
        <v>20000</v>
      </c>
      <c r="G77" s="636">
        <v>65000</v>
      </c>
      <c r="H77" s="637"/>
    </row>
    <row r="78" spans="1:8" s="545" customFormat="1" ht="15" customHeight="1" hidden="1">
      <c r="A78" s="638"/>
      <c r="B78" s="1173"/>
      <c r="C78" s="1167"/>
      <c r="D78" s="1170"/>
      <c r="E78" s="543" t="s">
        <v>14</v>
      </c>
      <c r="F78" s="635">
        <v>0</v>
      </c>
      <c r="G78" s="636">
        <v>0</v>
      </c>
      <c r="H78" s="637"/>
    </row>
    <row r="79" spans="1:8" s="545" customFormat="1" ht="15" customHeight="1" hidden="1">
      <c r="A79" s="638"/>
      <c r="B79" s="1174"/>
      <c r="C79" s="1168"/>
      <c r="D79" s="1171"/>
      <c r="E79" s="543" t="s">
        <v>15</v>
      </c>
      <c r="F79" s="635">
        <f>F77+F78</f>
        <v>20000</v>
      </c>
      <c r="G79" s="635">
        <f>G77+G78</f>
        <v>65000</v>
      </c>
      <c r="H79" s="637"/>
    </row>
    <row r="80" spans="1:8" s="545" customFormat="1" ht="15" customHeight="1" hidden="1">
      <c r="A80" s="638"/>
      <c r="B80" s="1163" t="s">
        <v>273</v>
      </c>
      <c r="C80" s="1175" t="s">
        <v>1079</v>
      </c>
      <c r="D80" s="1169" t="s">
        <v>1080</v>
      </c>
      <c r="E80" s="639" t="s">
        <v>13</v>
      </c>
      <c r="F80" s="635">
        <v>69864</v>
      </c>
      <c r="G80" s="636">
        <v>920714</v>
      </c>
      <c r="H80" s="637"/>
    </row>
    <row r="81" spans="1:8" s="545" customFormat="1" ht="15" customHeight="1" hidden="1">
      <c r="A81" s="638"/>
      <c r="B81" s="1164"/>
      <c r="C81" s="1176"/>
      <c r="D81" s="1170"/>
      <c r="E81" s="543" t="s">
        <v>14</v>
      </c>
      <c r="F81" s="635">
        <v>0</v>
      </c>
      <c r="G81" s="636">
        <v>0</v>
      </c>
      <c r="H81" s="637"/>
    </row>
    <row r="82" spans="1:8" s="545" customFormat="1" ht="15" customHeight="1" hidden="1">
      <c r="A82" s="638"/>
      <c r="B82" s="1165"/>
      <c r="C82" s="1177"/>
      <c r="D82" s="1171"/>
      <c r="E82" s="543" t="s">
        <v>15</v>
      </c>
      <c r="F82" s="635">
        <f>F80+F81</f>
        <v>69864</v>
      </c>
      <c r="G82" s="635">
        <f>G80+G81</f>
        <v>920714</v>
      </c>
      <c r="H82" s="637"/>
    </row>
    <row r="83" spans="1:8" s="545" customFormat="1" ht="15" customHeight="1" hidden="1">
      <c r="A83" s="638"/>
      <c r="B83" s="1163" t="s">
        <v>278</v>
      </c>
      <c r="C83" s="1166" t="s">
        <v>1072</v>
      </c>
      <c r="D83" s="1169" t="s">
        <v>1081</v>
      </c>
      <c r="E83" s="639" t="s">
        <v>13</v>
      </c>
      <c r="F83" s="635">
        <v>2200000</v>
      </c>
      <c r="G83" s="636">
        <v>11510000</v>
      </c>
      <c r="H83" s="637"/>
    </row>
    <row r="84" spans="1:8" s="545" customFormat="1" ht="15" customHeight="1" hidden="1">
      <c r="A84" s="638"/>
      <c r="B84" s="1164"/>
      <c r="C84" s="1167"/>
      <c r="D84" s="1170"/>
      <c r="E84" s="543" t="s">
        <v>14</v>
      </c>
      <c r="F84" s="635">
        <v>0</v>
      </c>
      <c r="G84" s="636">
        <v>0</v>
      </c>
      <c r="H84" s="637"/>
    </row>
    <row r="85" spans="1:8" s="545" customFormat="1" ht="15" customHeight="1" hidden="1">
      <c r="A85" s="638"/>
      <c r="B85" s="1164"/>
      <c r="C85" s="1168"/>
      <c r="D85" s="1171"/>
      <c r="E85" s="543" t="s">
        <v>15</v>
      </c>
      <c r="F85" s="635">
        <f>F83+F84</f>
        <v>2200000</v>
      </c>
      <c r="G85" s="635">
        <f>G83+G84</f>
        <v>11510000</v>
      </c>
      <c r="H85" s="637"/>
    </row>
    <row r="86" spans="1:8" s="545" customFormat="1" ht="15" customHeight="1" hidden="1">
      <c r="A86" s="638"/>
      <c r="B86" s="1164"/>
      <c r="C86" s="1166" t="s">
        <v>1082</v>
      </c>
      <c r="D86" s="1169" t="s">
        <v>1083</v>
      </c>
      <c r="E86" s="639" t="s">
        <v>13</v>
      </c>
      <c r="F86" s="635">
        <v>1200000</v>
      </c>
      <c r="G86" s="636">
        <v>9717300</v>
      </c>
      <c r="H86" s="637"/>
    </row>
    <row r="87" spans="1:8" s="545" customFormat="1" ht="15" customHeight="1" hidden="1">
      <c r="A87" s="638"/>
      <c r="B87" s="1164"/>
      <c r="C87" s="1167"/>
      <c r="D87" s="1170"/>
      <c r="E87" s="543" t="s">
        <v>14</v>
      </c>
      <c r="F87" s="635">
        <v>0</v>
      </c>
      <c r="G87" s="636">
        <v>0</v>
      </c>
      <c r="H87" s="637"/>
    </row>
    <row r="88" spans="1:8" s="545" customFormat="1" ht="15" customHeight="1" hidden="1">
      <c r="A88" s="638"/>
      <c r="B88" s="1165"/>
      <c r="C88" s="1168"/>
      <c r="D88" s="1171"/>
      <c r="E88" s="543" t="s">
        <v>15</v>
      </c>
      <c r="F88" s="635">
        <f>F86+F87</f>
        <v>1200000</v>
      </c>
      <c r="G88" s="635">
        <f>G86+G87</f>
        <v>9717300</v>
      </c>
      <c r="H88" s="637"/>
    </row>
    <row r="89" spans="1:8" s="545" customFormat="1" ht="19.5" customHeight="1">
      <c r="A89" s="633" t="s">
        <v>223</v>
      </c>
      <c r="B89" s="1163" t="s">
        <v>291</v>
      </c>
      <c r="C89" s="1166" t="s">
        <v>1084</v>
      </c>
      <c r="D89" s="1169" t="s">
        <v>1085</v>
      </c>
      <c r="E89" s="639" t="s">
        <v>13</v>
      </c>
      <c r="F89" s="635">
        <v>125543</v>
      </c>
      <c r="G89" s="636">
        <v>1337858</v>
      </c>
      <c r="H89" s="637"/>
    </row>
    <row r="90" spans="1:8" s="545" customFormat="1" ht="19.5" customHeight="1">
      <c r="A90" s="638"/>
      <c r="B90" s="1164"/>
      <c r="C90" s="1167"/>
      <c r="D90" s="1170"/>
      <c r="E90" s="543" t="s">
        <v>14</v>
      </c>
      <c r="F90" s="635">
        <v>177817</v>
      </c>
      <c r="G90" s="636">
        <v>2044880</v>
      </c>
      <c r="H90" s="637"/>
    </row>
    <row r="91" spans="1:8" s="545" customFormat="1" ht="19.5" customHeight="1">
      <c r="A91" s="640"/>
      <c r="B91" s="1165"/>
      <c r="C91" s="1168"/>
      <c r="D91" s="1171"/>
      <c r="E91" s="543" t="s">
        <v>15</v>
      </c>
      <c r="F91" s="635">
        <f>F89+F90</f>
        <v>303360</v>
      </c>
      <c r="G91" s="635">
        <f>G89+G90</f>
        <v>3382738</v>
      </c>
      <c r="H91" s="637"/>
    </row>
    <row r="92" spans="1:14" ht="15">
      <c r="A92" s="601" t="s">
        <v>1033</v>
      </c>
      <c r="B92" s="602"/>
      <c r="C92" s="603"/>
      <c r="D92" s="602"/>
      <c r="E92" s="602"/>
      <c r="F92" s="603"/>
      <c r="H92" s="606"/>
      <c r="I92" s="607"/>
      <c r="J92" s="607"/>
      <c r="K92" s="607"/>
      <c r="L92" s="607"/>
      <c r="M92" s="607"/>
      <c r="N92" s="607"/>
    </row>
    <row r="93" spans="1:14" s="454" customFormat="1" ht="15.75" customHeight="1">
      <c r="A93" s="608" t="s">
        <v>1086</v>
      </c>
      <c r="B93" s="609"/>
      <c r="C93" s="610"/>
      <c r="D93" s="609"/>
      <c r="E93" s="609"/>
      <c r="F93" s="610"/>
      <c r="G93" s="460"/>
      <c r="H93" s="464"/>
      <c r="I93" s="649"/>
      <c r="J93" s="649"/>
      <c r="K93" s="649"/>
      <c r="L93" s="649"/>
      <c r="M93" s="649"/>
      <c r="N93" s="649"/>
    </row>
    <row r="94" ht="12.75" customHeight="1">
      <c r="A94" s="612" t="s">
        <v>1087</v>
      </c>
    </row>
    <row r="95" spans="1:8" s="650" customFormat="1" ht="12.75" customHeight="1">
      <c r="A95" s="612" t="s">
        <v>1088</v>
      </c>
      <c r="B95" s="611"/>
      <c r="C95" s="604"/>
      <c r="D95" s="604"/>
      <c r="E95" s="613"/>
      <c r="F95" s="607"/>
      <c r="G95" s="603"/>
      <c r="H95" s="603"/>
    </row>
    <row r="96" ht="12.75" customHeight="1">
      <c r="A96" s="612" t="s">
        <v>1089</v>
      </c>
    </row>
    <row r="97" ht="9" customHeight="1"/>
    <row r="98" spans="1:6" s="535" customFormat="1" ht="35.25" customHeight="1">
      <c r="A98" s="611"/>
      <c r="B98" s="611"/>
      <c r="C98" s="604"/>
      <c r="D98" s="604"/>
      <c r="E98" s="613"/>
      <c r="F98" s="607"/>
    </row>
    <row r="99" spans="1:8" s="651" customFormat="1" ht="22.5" customHeight="1">
      <c r="A99" s="611"/>
      <c r="B99" s="611"/>
      <c r="C99" s="604"/>
      <c r="D99" s="604"/>
      <c r="E99" s="613"/>
      <c r="F99" s="607"/>
      <c r="G99" s="610"/>
      <c r="H99" s="610"/>
    </row>
    <row r="100" ht="41.25" customHeight="1"/>
    <row r="101" spans="1:6" s="535" customFormat="1" ht="21.75" customHeight="1">
      <c r="A101" s="611"/>
      <c r="B101" s="611"/>
      <c r="C101" s="604"/>
      <c r="D101" s="604"/>
      <c r="E101" s="613"/>
      <c r="F101" s="607"/>
    </row>
    <row r="102" spans="7:8" ht="21.75" customHeight="1">
      <c r="G102" s="614"/>
      <c r="H102" s="614"/>
    </row>
    <row r="103" spans="7:8" ht="24.75" customHeight="1">
      <c r="G103" s="614"/>
      <c r="H103" s="614"/>
    </row>
    <row r="104" spans="7:8" ht="12" customHeight="1">
      <c r="G104" s="614"/>
      <c r="H104" s="614"/>
    </row>
    <row r="105" spans="1:6" s="652" customFormat="1" ht="30.75" customHeight="1">
      <c r="A105" s="611"/>
      <c r="B105" s="611"/>
      <c r="C105" s="604"/>
      <c r="D105" s="604"/>
      <c r="E105" s="613"/>
      <c r="F105" s="607"/>
    </row>
    <row r="106" spans="1:6" s="535" customFormat="1" ht="21.75" customHeight="1">
      <c r="A106" s="611"/>
      <c r="B106" s="611"/>
      <c r="C106" s="604"/>
      <c r="D106" s="604"/>
      <c r="E106" s="613"/>
      <c r="F106" s="607"/>
    </row>
    <row r="107" spans="1:6" s="653" customFormat="1" ht="21.75" customHeight="1">
      <c r="A107" s="611"/>
      <c r="B107" s="611"/>
      <c r="C107" s="604"/>
      <c r="D107" s="604"/>
      <c r="E107" s="613"/>
      <c r="F107" s="607"/>
    </row>
    <row r="108" spans="1:6" s="653" customFormat="1" ht="21.75" customHeight="1">
      <c r="A108" s="611"/>
      <c r="B108" s="611"/>
      <c r="C108" s="604"/>
      <c r="D108" s="604"/>
      <c r="E108" s="613"/>
      <c r="F108" s="607"/>
    </row>
    <row r="110" spans="1:8" s="467" customFormat="1" ht="24" customHeight="1">
      <c r="A110" s="611"/>
      <c r="B110" s="611"/>
      <c r="C110" s="604"/>
      <c r="D110" s="604"/>
      <c r="E110" s="613"/>
      <c r="F110" s="607"/>
      <c r="G110" s="623"/>
      <c r="H110" s="623"/>
    </row>
    <row r="111" spans="1:8" s="467" customFormat="1" ht="24" customHeight="1">
      <c r="A111" s="611"/>
      <c r="B111" s="611"/>
      <c r="C111" s="604"/>
      <c r="D111" s="604"/>
      <c r="E111" s="613"/>
      <c r="F111" s="607"/>
      <c r="G111" s="623"/>
      <c r="H111" s="623"/>
    </row>
    <row r="112" spans="1:8" s="454" customFormat="1" ht="24" customHeight="1">
      <c r="A112" s="611"/>
      <c r="B112" s="611"/>
      <c r="C112" s="604"/>
      <c r="D112" s="604"/>
      <c r="E112" s="613"/>
      <c r="F112" s="607"/>
      <c r="G112" s="460"/>
      <c r="H112" s="460"/>
    </row>
    <row r="113" spans="1:8" s="454" customFormat="1" ht="24" customHeight="1">
      <c r="A113" s="611"/>
      <c r="B113" s="611"/>
      <c r="C113" s="604"/>
      <c r="D113" s="604"/>
      <c r="E113" s="613"/>
      <c r="F113" s="607"/>
      <c r="G113" s="460"/>
      <c r="H113" s="460"/>
    </row>
    <row r="114" spans="1:8" s="467" customFormat="1" ht="21" customHeight="1">
      <c r="A114" s="611"/>
      <c r="B114" s="611"/>
      <c r="C114" s="604"/>
      <c r="D114" s="604"/>
      <c r="E114" s="613"/>
      <c r="F114" s="607"/>
      <c r="G114" s="623"/>
      <c r="H114" s="623"/>
    </row>
    <row r="115" ht="19.5" customHeight="1"/>
    <row r="116" ht="21.75" customHeight="1"/>
  </sheetData>
  <sheetProtection password="C25B" sheet="1"/>
  <mergeCells count="75">
    <mergeCell ref="E1:G1"/>
    <mergeCell ref="E2:G2"/>
    <mergeCell ref="D3:G3"/>
    <mergeCell ref="A4:G4"/>
    <mergeCell ref="A7:A8"/>
    <mergeCell ref="B7:B8"/>
    <mergeCell ref="C7:D7"/>
    <mergeCell ref="E7:E8"/>
    <mergeCell ref="F7:F8"/>
    <mergeCell ref="G7:G8"/>
    <mergeCell ref="A10:D12"/>
    <mergeCell ref="A13:G13"/>
    <mergeCell ref="C14:C16"/>
    <mergeCell ref="D14:D16"/>
    <mergeCell ref="C17:C19"/>
    <mergeCell ref="D17:D19"/>
    <mergeCell ref="C20:C22"/>
    <mergeCell ref="D20:D22"/>
    <mergeCell ref="C23:C25"/>
    <mergeCell ref="D23:D25"/>
    <mergeCell ref="C26:C28"/>
    <mergeCell ref="D26:D28"/>
    <mergeCell ref="C29:C31"/>
    <mergeCell ref="D29:D31"/>
    <mergeCell ref="C32:C34"/>
    <mergeCell ref="D32:D34"/>
    <mergeCell ref="C35:C37"/>
    <mergeCell ref="D35:D37"/>
    <mergeCell ref="C38:C40"/>
    <mergeCell ref="D38:D40"/>
    <mergeCell ref="C41:C43"/>
    <mergeCell ref="D41:D43"/>
    <mergeCell ref="C44:C46"/>
    <mergeCell ref="D44:D46"/>
    <mergeCell ref="C47:C49"/>
    <mergeCell ref="D47:D49"/>
    <mergeCell ref="C50:C52"/>
    <mergeCell ref="D50:D52"/>
    <mergeCell ref="C53:C55"/>
    <mergeCell ref="D53:D55"/>
    <mergeCell ref="C56:C58"/>
    <mergeCell ref="D56:D58"/>
    <mergeCell ref="B59:B61"/>
    <mergeCell ref="C59:C61"/>
    <mergeCell ref="D59:D61"/>
    <mergeCell ref="B62:B64"/>
    <mergeCell ref="C62:C64"/>
    <mergeCell ref="D62:D64"/>
    <mergeCell ref="B65:B67"/>
    <mergeCell ref="C65:C67"/>
    <mergeCell ref="D65:D67"/>
    <mergeCell ref="B68:B70"/>
    <mergeCell ref="C68:C70"/>
    <mergeCell ref="D68:D70"/>
    <mergeCell ref="B71:B73"/>
    <mergeCell ref="C71:C73"/>
    <mergeCell ref="D71:D73"/>
    <mergeCell ref="B74:B76"/>
    <mergeCell ref="C74:C76"/>
    <mergeCell ref="D74:D76"/>
    <mergeCell ref="B77:B79"/>
    <mergeCell ref="C77:C79"/>
    <mergeCell ref="D77:D79"/>
    <mergeCell ref="B80:B82"/>
    <mergeCell ref="C80:C82"/>
    <mergeCell ref="D80:D82"/>
    <mergeCell ref="B89:B91"/>
    <mergeCell ref="C89:C91"/>
    <mergeCell ref="D89:D91"/>
    <mergeCell ref="B83:B85"/>
    <mergeCell ref="C83:C85"/>
    <mergeCell ref="D83:D85"/>
    <mergeCell ref="B86:B88"/>
    <mergeCell ref="C86:C88"/>
    <mergeCell ref="D86:D88"/>
  </mergeCells>
  <printOptions horizontalCentered="1"/>
  <pageMargins left="0.7086614173228347" right="0.7086614173228347" top="0.984251968503937" bottom="0.7480314960629921" header="0" footer="0.1968503937007874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8" defaultRowHeight="14.25"/>
  <cols>
    <col min="1" max="1" width="3.59765625" style="661" customWidth="1"/>
    <col min="2" max="2" width="44.69921875" style="662" customWidth="1"/>
    <col min="3" max="3" width="6.8984375" style="663" customWidth="1"/>
    <col min="4" max="4" width="2" style="663" customWidth="1"/>
    <col min="5" max="5" width="11.09765625" style="664" customWidth="1"/>
    <col min="6" max="6" width="10.5" style="664" customWidth="1"/>
    <col min="7" max="7" width="10.59765625" style="664" customWidth="1"/>
    <col min="8" max="8" width="13.09765625" style="664" customWidth="1"/>
    <col min="9" max="16384" width="8" style="665" customWidth="1"/>
  </cols>
  <sheetData>
    <row r="1" spans="1:7" s="658" customFormat="1" ht="12.75">
      <c r="A1" s="654"/>
      <c r="B1" s="655"/>
      <c r="C1" s="656"/>
      <c r="D1" s="656"/>
      <c r="E1" s="657"/>
      <c r="F1" s="657" t="s">
        <v>1115</v>
      </c>
      <c r="G1" s="657"/>
    </row>
    <row r="2" spans="1:7" s="658" customFormat="1" ht="12.75">
      <c r="A2" s="654"/>
      <c r="B2" s="655"/>
      <c r="C2" s="656"/>
      <c r="D2" s="656"/>
      <c r="E2" s="659"/>
      <c r="F2" s="659" t="s">
        <v>1092</v>
      </c>
      <c r="G2" s="659"/>
    </row>
    <row r="3" spans="1:7" s="658" customFormat="1" ht="12.75">
      <c r="A3" s="654"/>
      <c r="B3" s="655"/>
      <c r="C3" s="656"/>
      <c r="D3" s="656"/>
      <c r="E3" s="660"/>
      <c r="F3" s="660" t="s">
        <v>411</v>
      </c>
      <c r="G3" s="660"/>
    </row>
    <row r="4" spans="1:8" s="658" customFormat="1" ht="18.75" customHeight="1">
      <c r="A4" s="654"/>
      <c r="B4" s="655"/>
      <c r="C4" s="660"/>
      <c r="D4" s="660"/>
      <c r="E4" s="660"/>
      <c r="F4" s="660"/>
      <c r="G4" s="660"/>
      <c r="H4" s="660"/>
    </row>
    <row r="5" spans="1:8" s="658" customFormat="1" ht="39" customHeight="1">
      <c r="A5" s="1233" t="s">
        <v>1093</v>
      </c>
      <c r="B5" s="1233"/>
      <c r="C5" s="1233"/>
      <c r="D5" s="1233"/>
      <c r="E5" s="1233"/>
      <c r="F5" s="1233"/>
      <c r="G5" s="1233"/>
      <c r="H5" s="1233"/>
    </row>
    <row r="6" ht="17.25" customHeight="1"/>
    <row r="7" ht="15.75" customHeight="1">
      <c r="H7" s="661" t="s">
        <v>0</v>
      </c>
    </row>
    <row r="8" spans="1:8" s="667" customFormat="1" ht="56.25" customHeight="1">
      <c r="A8" s="666" t="s">
        <v>509</v>
      </c>
      <c r="B8" s="666" t="s">
        <v>1094</v>
      </c>
      <c r="C8" s="666" t="s">
        <v>8</v>
      </c>
      <c r="D8" s="666" t="s">
        <v>11</v>
      </c>
      <c r="E8" s="666" t="s">
        <v>1095</v>
      </c>
      <c r="F8" s="666" t="s">
        <v>512</v>
      </c>
      <c r="G8" s="666" t="s">
        <v>527</v>
      </c>
      <c r="H8" s="666" t="s">
        <v>1096</v>
      </c>
    </row>
    <row r="9" spans="1:8" s="669" customFormat="1" ht="12.75">
      <c r="A9" s="668" t="s">
        <v>462</v>
      </c>
      <c r="B9" s="668" t="s">
        <v>463</v>
      </c>
      <c r="C9" s="668" t="s">
        <v>464</v>
      </c>
      <c r="D9" s="668"/>
      <c r="E9" s="668" t="s">
        <v>465</v>
      </c>
      <c r="F9" s="668" t="s">
        <v>466</v>
      </c>
      <c r="G9" s="668" t="s">
        <v>467</v>
      </c>
      <c r="H9" s="668" t="s">
        <v>468</v>
      </c>
    </row>
    <row r="10" spans="1:8" s="673" customFormat="1" ht="15" customHeight="1" hidden="1">
      <c r="A10" s="1215" t="s">
        <v>462</v>
      </c>
      <c r="B10" s="1218" t="s">
        <v>1097</v>
      </c>
      <c r="C10" s="1221">
        <v>80147</v>
      </c>
      <c r="D10" s="670" t="s">
        <v>13</v>
      </c>
      <c r="E10" s="671">
        <v>0</v>
      </c>
      <c r="F10" s="672">
        <v>34970</v>
      </c>
      <c r="G10" s="672">
        <v>34970</v>
      </c>
      <c r="H10" s="671">
        <v>0</v>
      </c>
    </row>
    <row r="11" spans="1:8" s="673" customFormat="1" ht="15" customHeight="1" hidden="1">
      <c r="A11" s="1216"/>
      <c r="B11" s="1219"/>
      <c r="C11" s="1222"/>
      <c r="D11" s="670" t="s">
        <v>14</v>
      </c>
      <c r="E11" s="671">
        <v>0</v>
      </c>
      <c r="F11" s="671">
        <v>0</v>
      </c>
      <c r="G11" s="671">
        <v>0</v>
      </c>
      <c r="H11" s="671">
        <v>0</v>
      </c>
    </row>
    <row r="12" spans="1:8" s="673" customFormat="1" ht="15" customHeight="1" hidden="1">
      <c r="A12" s="1217"/>
      <c r="B12" s="1220"/>
      <c r="C12" s="1223"/>
      <c r="D12" s="670" t="s">
        <v>15</v>
      </c>
      <c r="E12" s="671">
        <f>E10+E11</f>
        <v>0</v>
      </c>
      <c r="F12" s="671">
        <f>F10+F11</f>
        <v>34970</v>
      </c>
      <c r="G12" s="671">
        <f>G10+G11</f>
        <v>34970</v>
      </c>
      <c r="H12" s="671">
        <f>H10+H11</f>
        <v>0</v>
      </c>
    </row>
    <row r="13" spans="1:8" s="673" customFormat="1" ht="15" customHeight="1" hidden="1">
      <c r="A13" s="1215" t="s">
        <v>463</v>
      </c>
      <c r="B13" s="1218" t="s">
        <v>250</v>
      </c>
      <c r="C13" s="1221">
        <v>80146</v>
      </c>
      <c r="D13" s="670" t="s">
        <v>13</v>
      </c>
      <c r="E13" s="671">
        <v>0</v>
      </c>
      <c r="F13" s="672">
        <v>400000</v>
      </c>
      <c r="G13" s="672">
        <v>400000</v>
      </c>
      <c r="H13" s="671">
        <v>0</v>
      </c>
    </row>
    <row r="14" spans="1:8" s="673" customFormat="1" ht="15" customHeight="1" hidden="1">
      <c r="A14" s="1216"/>
      <c r="B14" s="1219"/>
      <c r="C14" s="1222"/>
      <c r="D14" s="670" t="s">
        <v>14</v>
      </c>
      <c r="E14" s="671">
        <v>0</v>
      </c>
      <c r="F14" s="671">
        <v>0</v>
      </c>
      <c r="G14" s="671">
        <v>0</v>
      </c>
      <c r="H14" s="671">
        <v>0</v>
      </c>
    </row>
    <row r="15" spans="1:8" s="673" customFormat="1" ht="15" customHeight="1" hidden="1">
      <c r="A15" s="1217"/>
      <c r="B15" s="1220"/>
      <c r="C15" s="1223"/>
      <c r="D15" s="670" t="s">
        <v>15</v>
      </c>
      <c r="E15" s="671">
        <f>E13+E14</f>
        <v>0</v>
      </c>
      <c r="F15" s="671">
        <f>F13+F14</f>
        <v>400000</v>
      </c>
      <c r="G15" s="671">
        <f>G13+G14</f>
        <v>400000</v>
      </c>
      <c r="H15" s="671">
        <f>H13+H14</f>
        <v>0</v>
      </c>
    </row>
    <row r="16" spans="1:8" s="673" customFormat="1" ht="15" customHeight="1" hidden="1">
      <c r="A16" s="1215" t="s">
        <v>464</v>
      </c>
      <c r="B16" s="1218" t="s">
        <v>1098</v>
      </c>
      <c r="C16" s="1221">
        <v>80146</v>
      </c>
      <c r="D16" s="670" t="s">
        <v>13</v>
      </c>
      <c r="E16" s="671">
        <v>0</v>
      </c>
      <c r="F16" s="671">
        <v>320000</v>
      </c>
      <c r="G16" s="671">
        <v>320000</v>
      </c>
      <c r="H16" s="671">
        <v>0</v>
      </c>
    </row>
    <row r="17" spans="1:8" s="673" customFormat="1" ht="15" customHeight="1" hidden="1">
      <c r="A17" s="1216"/>
      <c r="B17" s="1219"/>
      <c r="C17" s="1222"/>
      <c r="D17" s="670" t="s">
        <v>14</v>
      </c>
      <c r="E17" s="671">
        <v>0</v>
      </c>
      <c r="F17" s="671"/>
      <c r="G17" s="671"/>
      <c r="H17" s="671">
        <v>0</v>
      </c>
    </row>
    <row r="18" spans="1:8" s="673" customFormat="1" ht="15" customHeight="1" hidden="1">
      <c r="A18" s="1217"/>
      <c r="B18" s="1220"/>
      <c r="C18" s="1223"/>
      <c r="D18" s="670" t="s">
        <v>15</v>
      </c>
      <c r="E18" s="671">
        <f>E16+E17</f>
        <v>0</v>
      </c>
      <c r="F18" s="671">
        <f>F16+F17</f>
        <v>320000</v>
      </c>
      <c r="G18" s="671">
        <f>G16+G17</f>
        <v>320000</v>
      </c>
      <c r="H18" s="671">
        <f>H16+H17</f>
        <v>0</v>
      </c>
    </row>
    <row r="19" spans="1:8" s="673" customFormat="1" ht="15" customHeight="1" hidden="1">
      <c r="A19" s="1215" t="s">
        <v>465</v>
      </c>
      <c r="B19" s="1218" t="s">
        <v>1099</v>
      </c>
      <c r="C19" s="1221" t="s">
        <v>75</v>
      </c>
      <c r="D19" s="670" t="s">
        <v>13</v>
      </c>
      <c r="E19" s="671">
        <v>0</v>
      </c>
      <c r="F19" s="671">
        <f aca="true" t="shared" si="0" ref="F19:G21">F22+F25</f>
        <v>141500</v>
      </c>
      <c r="G19" s="671">
        <f t="shared" si="0"/>
        <v>141500</v>
      </c>
      <c r="H19" s="671">
        <v>0</v>
      </c>
    </row>
    <row r="20" spans="1:8" s="673" customFormat="1" ht="15" customHeight="1" hidden="1">
      <c r="A20" s="1216"/>
      <c r="B20" s="1219"/>
      <c r="C20" s="1222"/>
      <c r="D20" s="670" t="s">
        <v>14</v>
      </c>
      <c r="E20" s="671">
        <v>0</v>
      </c>
      <c r="F20" s="671">
        <f t="shared" si="0"/>
        <v>0</v>
      </c>
      <c r="G20" s="671">
        <f t="shared" si="0"/>
        <v>0</v>
      </c>
      <c r="H20" s="671">
        <v>0</v>
      </c>
    </row>
    <row r="21" spans="1:8" s="673" customFormat="1" ht="15" customHeight="1" hidden="1">
      <c r="A21" s="1216"/>
      <c r="B21" s="1219"/>
      <c r="C21" s="1223"/>
      <c r="D21" s="670" t="s">
        <v>15</v>
      </c>
      <c r="E21" s="671">
        <v>0</v>
      </c>
      <c r="F21" s="671">
        <f t="shared" si="0"/>
        <v>141500</v>
      </c>
      <c r="G21" s="671">
        <f t="shared" si="0"/>
        <v>141500</v>
      </c>
      <c r="H21" s="671">
        <v>0</v>
      </c>
    </row>
    <row r="22" spans="1:8" s="679" customFormat="1" ht="15" customHeight="1" hidden="1">
      <c r="A22" s="1229"/>
      <c r="B22" s="1230"/>
      <c r="C22" s="1212">
        <v>80146</v>
      </c>
      <c r="D22" s="677" t="s">
        <v>13</v>
      </c>
      <c r="E22" s="678">
        <v>0</v>
      </c>
      <c r="F22" s="678">
        <v>125800</v>
      </c>
      <c r="G22" s="678">
        <v>125800</v>
      </c>
      <c r="H22" s="678">
        <v>0</v>
      </c>
    </row>
    <row r="23" spans="1:8" s="679" customFormat="1" ht="15" customHeight="1" hidden="1">
      <c r="A23" s="1229"/>
      <c r="B23" s="1230"/>
      <c r="C23" s="1213"/>
      <c r="D23" s="677" t="s">
        <v>14</v>
      </c>
      <c r="E23" s="678">
        <v>0</v>
      </c>
      <c r="F23" s="678"/>
      <c r="G23" s="678"/>
      <c r="H23" s="678">
        <v>0</v>
      </c>
    </row>
    <row r="24" spans="1:8" s="679" customFormat="1" ht="15" customHeight="1" hidden="1">
      <c r="A24" s="1229"/>
      <c r="B24" s="1230"/>
      <c r="C24" s="1214"/>
      <c r="D24" s="677" t="s">
        <v>15</v>
      </c>
      <c r="E24" s="678">
        <v>0</v>
      </c>
      <c r="F24" s="678">
        <f>F22+F23</f>
        <v>125800</v>
      </c>
      <c r="G24" s="678">
        <f>G22+G23</f>
        <v>125800</v>
      </c>
      <c r="H24" s="678">
        <v>0</v>
      </c>
    </row>
    <row r="25" spans="1:8" s="679" customFormat="1" ht="15" customHeight="1" hidden="1">
      <c r="A25" s="1229"/>
      <c r="B25" s="1230"/>
      <c r="C25" s="1212">
        <v>80147</v>
      </c>
      <c r="D25" s="677" t="s">
        <v>13</v>
      </c>
      <c r="E25" s="678">
        <v>0</v>
      </c>
      <c r="F25" s="678">
        <v>15700</v>
      </c>
      <c r="G25" s="678">
        <v>15700</v>
      </c>
      <c r="H25" s="678">
        <v>0</v>
      </c>
    </row>
    <row r="26" spans="1:8" s="679" customFormat="1" ht="15" customHeight="1" hidden="1">
      <c r="A26" s="1229"/>
      <c r="B26" s="1230"/>
      <c r="C26" s="1213"/>
      <c r="D26" s="677" t="s">
        <v>14</v>
      </c>
      <c r="E26" s="678">
        <v>0</v>
      </c>
      <c r="F26" s="678"/>
      <c r="G26" s="678"/>
      <c r="H26" s="678">
        <v>0</v>
      </c>
    </row>
    <row r="27" spans="1:8" s="679" customFormat="1" ht="15" customHeight="1" hidden="1">
      <c r="A27" s="1231"/>
      <c r="B27" s="1232"/>
      <c r="C27" s="1214"/>
      <c r="D27" s="677" t="s">
        <v>15</v>
      </c>
      <c r="E27" s="678">
        <v>0</v>
      </c>
      <c r="F27" s="678">
        <f>F25+F26</f>
        <v>15700</v>
      </c>
      <c r="G27" s="678">
        <f>G25+G26</f>
        <v>15700</v>
      </c>
      <c r="H27" s="678">
        <v>0</v>
      </c>
    </row>
    <row r="28" spans="1:8" s="673" customFormat="1" ht="15" customHeight="1" hidden="1">
      <c r="A28" s="1215" t="s">
        <v>466</v>
      </c>
      <c r="B28" s="1218" t="s">
        <v>1100</v>
      </c>
      <c r="C28" s="1221">
        <v>85410</v>
      </c>
      <c r="D28" s="670" t="s">
        <v>13</v>
      </c>
      <c r="E28" s="671">
        <v>0</v>
      </c>
      <c r="F28" s="671">
        <v>444150</v>
      </c>
      <c r="G28" s="671">
        <v>444150</v>
      </c>
      <c r="H28" s="671">
        <v>0</v>
      </c>
    </row>
    <row r="29" spans="1:8" s="673" customFormat="1" ht="15" customHeight="1" hidden="1">
      <c r="A29" s="1216"/>
      <c r="B29" s="1219"/>
      <c r="C29" s="1222"/>
      <c r="D29" s="670" t="s">
        <v>14</v>
      </c>
      <c r="E29" s="671">
        <v>0</v>
      </c>
      <c r="F29" s="671"/>
      <c r="G29" s="671"/>
      <c r="H29" s="671">
        <v>0</v>
      </c>
    </row>
    <row r="30" spans="1:8" s="673" customFormat="1" ht="15" customHeight="1" hidden="1">
      <c r="A30" s="1217"/>
      <c r="B30" s="1220"/>
      <c r="C30" s="1223"/>
      <c r="D30" s="670" t="s">
        <v>15</v>
      </c>
      <c r="E30" s="671">
        <f>E28+E29</f>
        <v>0</v>
      </c>
      <c r="F30" s="671">
        <f>F28+F29</f>
        <v>444150</v>
      </c>
      <c r="G30" s="671">
        <f>G28+G29</f>
        <v>444150</v>
      </c>
      <c r="H30" s="671">
        <f>H28+H29</f>
        <v>0</v>
      </c>
    </row>
    <row r="31" spans="1:8" s="673" customFormat="1" ht="15" customHeight="1" hidden="1">
      <c r="A31" s="1215" t="s">
        <v>467</v>
      </c>
      <c r="B31" s="1218" t="s">
        <v>1101</v>
      </c>
      <c r="C31" s="1221"/>
      <c r="D31" s="670" t="s">
        <v>13</v>
      </c>
      <c r="E31" s="671">
        <f aca="true" t="shared" si="1" ref="E31:H33">E34+E37</f>
        <v>0</v>
      </c>
      <c r="F31" s="671">
        <f t="shared" si="1"/>
        <v>252000</v>
      </c>
      <c r="G31" s="671">
        <f t="shared" si="1"/>
        <v>252000</v>
      </c>
      <c r="H31" s="671">
        <f t="shared" si="1"/>
        <v>0</v>
      </c>
    </row>
    <row r="32" spans="1:8" s="673" customFormat="1" ht="15" customHeight="1" hidden="1">
      <c r="A32" s="1216"/>
      <c r="B32" s="1219"/>
      <c r="C32" s="1222"/>
      <c r="D32" s="670" t="s">
        <v>14</v>
      </c>
      <c r="E32" s="671">
        <f t="shared" si="1"/>
        <v>0</v>
      </c>
      <c r="F32" s="671">
        <f t="shared" si="1"/>
        <v>0</v>
      </c>
      <c r="G32" s="671">
        <f t="shared" si="1"/>
        <v>0</v>
      </c>
      <c r="H32" s="671">
        <f t="shared" si="1"/>
        <v>0</v>
      </c>
    </row>
    <row r="33" spans="1:8" s="673" customFormat="1" ht="15" customHeight="1" hidden="1">
      <c r="A33" s="1216"/>
      <c r="B33" s="1219"/>
      <c r="C33" s="1223"/>
      <c r="D33" s="670" t="s">
        <v>15</v>
      </c>
      <c r="E33" s="671">
        <f t="shared" si="1"/>
        <v>0</v>
      </c>
      <c r="F33" s="671">
        <f t="shared" si="1"/>
        <v>252000</v>
      </c>
      <c r="G33" s="671">
        <f t="shared" si="1"/>
        <v>252000</v>
      </c>
      <c r="H33" s="671">
        <f t="shared" si="1"/>
        <v>0</v>
      </c>
    </row>
    <row r="34" spans="1:8" s="673" customFormat="1" ht="15" customHeight="1" hidden="1">
      <c r="A34" s="1216"/>
      <c r="B34" s="680"/>
      <c r="C34" s="1212">
        <v>80113</v>
      </c>
      <c r="D34" s="677" t="s">
        <v>13</v>
      </c>
      <c r="E34" s="678">
        <v>0</v>
      </c>
      <c r="F34" s="678">
        <v>0</v>
      </c>
      <c r="G34" s="678">
        <v>0</v>
      </c>
      <c r="H34" s="678">
        <v>0</v>
      </c>
    </row>
    <row r="35" spans="1:8" s="673" customFormat="1" ht="15" customHeight="1" hidden="1">
      <c r="A35" s="1216"/>
      <c r="B35" s="681"/>
      <c r="C35" s="1213"/>
      <c r="D35" s="677" t="s">
        <v>14</v>
      </c>
      <c r="E35" s="678">
        <v>0</v>
      </c>
      <c r="F35" s="678"/>
      <c r="G35" s="678"/>
      <c r="H35" s="678">
        <v>0</v>
      </c>
    </row>
    <row r="36" spans="1:8" s="673" customFormat="1" ht="15" customHeight="1" hidden="1">
      <c r="A36" s="1216"/>
      <c r="B36" s="681"/>
      <c r="C36" s="1214"/>
      <c r="D36" s="677" t="s">
        <v>15</v>
      </c>
      <c r="E36" s="678">
        <f>E34+E35</f>
        <v>0</v>
      </c>
      <c r="F36" s="678">
        <f>F34+F35</f>
        <v>0</v>
      </c>
      <c r="G36" s="678">
        <f>G34+G35</f>
        <v>0</v>
      </c>
      <c r="H36" s="678">
        <f>H34+H35</f>
        <v>0</v>
      </c>
    </row>
    <row r="37" spans="1:8" s="673" customFormat="1" ht="15" customHeight="1" hidden="1">
      <c r="A37" s="1216"/>
      <c r="B37" s="675"/>
      <c r="C37" s="1212">
        <v>85403</v>
      </c>
      <c r="D37" s="682" t="s">
        <v>13</v>
      </c>
      <c r="E37" s="678"/>
      <c r="F37" s="678">
        <v>252000</v>
      </c>
      <c r="G37" s="678">
        <v>252000</v>
      </c>
      <c r="H37" s="678">
        <v>0</v>
      </c>
    </row>
    <row r="38" spans="1:8" s="673" customFormat="1" ht="15" customHeight="1" hidden="1">
      <c r="A38" s="1216"/>
      <c r="B38" s="675"/>
      <c r="C38" s="1213"/>
      <c r="D38" s="682" t="s">
        <v>14</v>
      </c>
      <c r="E38" s="678">
        <v>0</v>
      </c>
      <c r="F38" s="678"/>
      <c r="G38" s="678"/>
      <c r="H38" s="678">
        <v>0</v>
      </c>
    </row>
    <row r="39" spans="1:8" s="673" customFormat="1" ht="15" customHeight="1" hidden="1">
      <c r="A39" s="1217"/>
      <c r="B39" s="675"/>
      <c r="C39" s="1214"/>
      <c r="D39" s="682" t="s">
        <v>15</v>
      </c>
      <c r="E39" s="678">
        <f>E37+E38</f>
        <v>0</v>
      </c>
      <c r="F39" s="678">
        <f>F37+F38</f>
        <v>252000</v>
      </c>
      <c r="G39" s="678">
        <f>G37+G38</f>
        <v>252000</v>
      </c>
      <c r="H39" s="678">
        <f>H37+H38</f>
        <v>0</v>
      </c>
    </row>
    <row r="40" spans="1:8" s="683" customFormat="1" ht="15" customHeight="1" hidden="1">
      <c r="A40" s="1215" t="s">
        <v>468</v>
      </c>
      <c r="B40" s="1218" t="s">
        <v>1102</v>
      </c>
      <c r="C40" s="1221">
        <v>85403</v>
      </c>
      <c r="D40" s="670" t="s">
        <v>13</v>
      </c>
      <c r="E40" s="671">
        <v>0</v>
      </c>
      <c r="F40" s="671">
        <v>350000</v>
      </c>
      <c r="G40" s="671">
        <v>350000</v>
      </c>
      <c r="H40" s="671">
        <v>0</v>
      </c>
    </row>
    <row r="41" spans="1:8" s="683" customFormat="1" ht="15" customHeight="1" hidden="1">
      <c r="A41" s="1216"/>
      <c r="B41" s="1219"/>
      <c r="C41" s="1222"/>
      <c r="D41" s="670" t="s">
        <v>14</v>
      </c>
      <c r="E41" s="671">
        <v>0</v>
      </c>
      <c r="F41" s="671"/>
      <c r="G41" s="671"/>
      <c r="H41" s="671">
        <v>0</v>
      </c>
    </row>
    <row r="42" spans="1:8" s="683" customFormat="1" ht="15" customHeight="1" hidden="1">
      <c r="A42" s="1217"/>
      <c r="B42" s="1220"/>
      <c r="C42" s="1223"/>
      <c r="D42" s="670" t="s">
        <v>15</v>
      </c>
      <c r="E42" s="671">
        <f>E40+E41</f>
        <v>0</v>
      </c>
      <c r="F42" s="671">
        <f>F40+F41</f>
        <v>350000</v>
      </c>
      <c r="G42" s="671">
        <f>G40+G41</f>
        <v>350000</v>
      </c>
      <c r="H42" s="671">
        <f>H40+H41</f>
        <v>0</v>
      </c>
    </row>
    <row r="43" spans="1:8" s="684" customFormat="1" ht="15" customHeight="1" hidden="1">
      <c r="A43" s="1215" t="s">
        <v>1103</v>
      </c>
      <c r="B43" s="1218" t="s">
        <v>1104</v>
      </c>
      <c r="C43" s="1221">
        <v>85403</v>
      </c>
      <c r="D43" s="670" t="s">
        <v>13</v>
      </c>
      <c r="E43" s="671">
        <v>0</v>
      </c>
      <c r="F43" s="671">
        <v>235000</v>
      </c>
      <c r="G43" s="671">
        <v>235000</v>
      </c>
      <c r="H43" s="671">
        <v>0</v>
      </c>
    </row>
    <row r="44" spans="1:8" s="684" customFormat="1" ht="15" customHeight="1" hidden="1">
      <c r="A44" s="1216"/>
      <c r="B44" s="1219"/>
      <c r="C44" s="1222"/>
      <c r="D44" s="670" t="s">
        <v>14</v>
      </c>
      <c r="E44" s="671">
        <v>0</v>
      </c>
      <c r="F44" s="671"/>
      <c r="G44" s="671"/>
      <c r="H44" s="671">
        <v>0</v>
      </c>
    </row>
    <row r="45" spans="1:8" s="684" customFormat="1" ht="15" customHeight="1" hidden="1">
      <c r="A45" s="1217"/>
      <c r="B45" s="1220"/>
      <c r="C45" s="1223"/>
      <c r="D45" s="670" t="s">
        <v>15</v>
      </c>
      <c r="E45" s="671">
        <f>E43+E44</f>
        <v>0</v>
      </c>
      <c r="F45" s="671">
        <f>F43+F44</f>
        <v>235000</v>
      </c>
      <c r="G45" s="671">
        <f>G43+G44</f>
        <v>235000</v>
      </c>
      <c r="H45" s="671">
        <f>H43+H44</f>
        <v>0</v>
      </c>
    </row>
    <row r="46" spans="1:8" s="673" customFormat="1" ht="15" customHeight="1">
      <c r="A46" s="1215" t="s">
        <v>1105</v>
      </c>
      <c r="B46" s="1218" t="s">
        <v>1106</v>
      </c>
      <c r="C46" s="1224"/>
      <c r="D46" s="685" t="s">
        <v>13</v>
      </c>
      <c r="E46" s="671">
        <f aca="true" t="shared" si="2" ref="E46:H48">E49+E52</f>
        <v>0</v>
      </c>
      <c r="F46" s="671">
        <f t="shared" si="2"/>
        <v>9200</v>
      </c>
      <c r="G46" s="671">
        <f t="shared" si="2"/>
        <v>9200</v>
      </c>
      <c r="H46" s="671">
        <f t="shared" si="2"/>
        <v>0</v>
      </c>
    </row>
    <row r="47" spans="1:8" s="673" customFormat="1" ht="15" customHeight="1">
      <c r="A47" s="1216"/>
      <c r="B47" s="1219"/>
      <c r="C47" s="1225"/>
      <c r="D47" s="685" t="s">
        <v>14</v>
      </c>
      <c r="E47" s="671">
        <f t="shared" si="2"/>
        <v>0</v>
      </c>
      <c r="F47" s="671">
        <f t="shared" si="2"/>
        <v>10000</v>
      </c>
      <c r="G47" s="671">
        <f t="shared" si="2"/>
        <v>10000</v>
      </c>
      <c r="H47" s="671">
        <f t="shared" si="2"/>
        <v>0</v>
      </c>
    </row>
    <row r="48" spans="1:8" s="673" customFormat="1" ht="15" customHeight="1">
      <c r="A48" s="1216"/>
      <c r="B48" s="1219"/>
      <c r="C48" s="1226"/>
      <c r="D48" s="685" t="s">
        <v>15</v>
      </c>
      <c r="E48" s="671">
        <f t="shared" si="2"/>
        <v>0</v>
      </c>
      <c r="F48" s="671">
        <f t="shared" si="2"/>
        <v>19200</v>
      </c>
      <c r="G48" s="671">
        <f t="shared" si="2"/>
        <v>19200</v>
      </c>
      <c r="H48" s="671">
        <f t="shared" si="2"/>
        <v>0</v>
      </c>
    </row>
    <row r="49" spans="1:8" s="673" customFormat="1" ht="15" customHeight="1" hidden="1">
      <c r="A49" s="674"/>
      <c r="B49" s="680"/>
      <c r="C49" s="1212">
        <v>80116</v>
      </c>
      <c r="D49" s="677" t="s">
        <v>13</v>
      </c>
      <c r="E49" s="678">
        <v>0</v>
      </c>
      <c r="F49" s="678">
        <v>9200</v>
      </c>
      <c r="G49" s="678">
        <v>9200</v>
      </c>
      <c r="H49" s="678">
        <v>0</v>
      </c>
    </row>
    <row r="50" spans="1:8" s="673" customFormat="1" ht="15" customHeight="1" hidden="1">
      <c r="A50" s="674"/>
      <c r="B50" s="681"/>
      <c r="C50" s="1213"/>
      <c r="D50" s="677" t="s">
        <v>14</v>
      </c>
      <c r="E50" s="678">
        <v>0</v>
      </c>
      <c r="F50" s="678"/>
      <c r="G50" s="678"/>
      <c r="H50" s="678">
        <v>0</v>
      </c>
    </row>
    <row r="51" spans="1:8" s="673" customFormat="1" ht="15" customHeight="1" hidden="1">
      <c r="A51" s="674"/>
      <c r="B51" s="681"/>
      <c r="C51" s="1214"/>
      <c r="D51" s="677" t="s">
        <v>15</v>
      </c>
      <c r="E51" s="678">
        <f>E49+E50</f>
        <v>0</v>
      </c>
      <c r="F51" s="678">
        <f>F49+F50</f>
        <v>9200</v>
      </c>
      <c r="G51" s="678">
        <f>G49+G50</f>
        <v>9200</v>
      </c>
      <c r="H51" s="678">
        <f>H49+H50</f>
        <v>0</v>
      </c>
    </row>
    <row r="52" spans="1:8" s="673" customFormat="1" ht="15" customHeight="1">
      <c r="A52" s="674"/>
      <c r="B52" s="675"/>
      <c r="C52" s="1212">
        <v>80140</v>
      </c>
      <c r="D52" s="682" t="s">
        <v>13</v>
      </c>
      <c r="E52" s="678">
        <v>0</v>
      </c>
      <c r="F52" s="678">
        <v>0</v>
      </c>
      <c r="G52" s="678">
        <v>0</v>
      </c>
      <c r="H52" s="678">
        <v>0</v>
      </c>
    </row>
    <row r="53" spans="1:8" s="673" customFormat="1" ht="15" customHeight="1">
      <c r="A53" s="674"/>
      <c r="B53" s="675"/>
      <c r="C53" s="1213"/>
      <c r="D53" s="682" t="s">
        <v>14</v>
      </c>
      <c r="E53" s="678">
        <v>0</v>
      </c>
      <c r="F53" s="678">
        <v>10000</v>
      </c>
      <c r="G53" s="678">
        <v>10000</v>
      </c>
      <c r="H53" s="678">
        <v>0</v>
      </c>
    </row>
    <row r="54" spans="1:8" s="673" customFormat="1" ht="15" customHeight="1">
      <c r="A54" s="676"/>
      <c r="B54" s="675"/>
      <c r="C54" s="1214"/>
      <c r="D54" s="682" t="s">
        <v>15</v>
      </c>
      <c r="E54" s="678">
        <f>E52+E53</f>
        <v>0</v>
      </c>
      <c r="F54" s="678">
        <f>F52+F53</f>
        <v>10000</v>
      </c>
      <c r="G54" s="678">
        <f>G52+G53</f>
        <v>10000</v>
      </c>
      <c r="H54" s="678">
        <f>H52+H53</f>
        <v>0</v>
      </c>
    </row>
    <row r="55" spans="1:8" s="673" customFormat="1" ht="15" customHeight="1">
      <c r="A55" s="1215" t="s">
        <v>1107</v>
      </c>
      <c r="B55" s="1227" t="s">
        <v>1108</v>
      </c>
      <c r="C55" s="1221"/>
      <c r="D55" s="670" t="s">
        <v>13</v>
      </c>
      <c r="E55" s="671">
        <f aca="true" t="shared" si="3" ref="E55:H57">E58+E61</f>
        <v>0</v>
      </c>
      <c r="F55" s="671">
        <f t="shared" si="3"/>
        <v>2060</v>
      </c>
      <c r="G55" s="671">
        <f t="shared" si="3"/>
        <v>2060</v>
      </c>
      <c r="H55" s="671">
        <f t="shared" si="3"/>
        <v>0</v>
      </c>
    </row>
    <row r="56" spans="1:8" s="673" customFormat="1" ht="15" customHeight="1">
      <c r="A56" s="1216"/>
      <c r="B56" s="1228"/>
      <c r="C56" s="1222"/>
      <c r="D56" s="670" t="s">
        <v>14</v>
      </c>
      <c r="E56" s="671">
        <f t="shared" si="3"/>
        <v>0</v>
      </c>
      <c r="F56" s="671">
        <f t="shared" si="3"/>
        <v>12500</v>
      </c>
      <c r="G56" s="671">
        <f t="shared" si="3"/>
        <v>12500</v>
      </c>
      <c r="H56" s="671">
        <f t="shared" si="3"/>
        <v>0</v>
      </c>
    </row>
    <row r="57" spans="1:8" s="673" customFormat="1" ht="15" customHeight="1">
      <c r="A57" s="1216"/>
      <c r="B57" s="1228"/>
      <c r="C57" s="1223"/>
      <c r="D57" s="670" t="s">
        <v>15</v>
      </c>
      <c r="E57" s="671">
        <f t="shared" si="3"/>
        <v>0</v>
      </c>
      <c r="F57" s="671">
        <f t="shared" si="3"/>
        <v>14560</v>
      </c>
      <c r="G57" s="671">
        <f t="shared" si="3"/>
        <v>14560</v>
      </c>
      <c r="H57" s="671">
        <f t="shared" si="3"/>
        <v>0</v>
      </c>
    </row>
    <row r="58" spans="1:8" s="673" customFormat="1" ht="15" customHeight="1" hidden="1">
      <c r="A58" s="674"/>
      <c r="B58" s="680"/>
      <c r="C58" s="1212">
        <v>80116</v>
      </c>
      <c r="D58" s="677" t="s">
        <v>13</v>
      </c>
      <c r="E58" s="678">
        <v>0</v>
      </c>
      <c r="F58" s="678">
        <v>2060</v>
      </c>
      <c r="G58" s="678">
        <v>2060</v>
      </c>
      <c r="H58" s="678">
        <v>0</v>
      </c>
    </row>
    <row r="59" spans="1:8" s="673" customFormat="1" ht="15" customHeight="1" hidden="1">
      <c r="A59" s="674"/>
      <c r="B59" s="681"/>
      <c r="C59" s="1213"/>
      <c r="D59" s="677" t="s">
        <v>14</v>
      </c>
      <c r="E59" s="678">
        <v>0</v>
      </c>
      <c r="F59" s="678"/>
      <c r="G59" s="678"/>
      <c r="H59" s="678">
        <v>0</v>
      </c>
    </row>
    <row r="60" spans="1:8" s="673" customFormat="1" ht="15" customHeight="1" hidden="1">
      <c r="A60" s="674"/>
      <c r="B60" s="681"/>
      <c r="C60" s="1214"/>
      <c r="D60" s="677" t="s">
        <v>15</v>
      </c>
      <c r="E60" s="678">
        <f>E58+E59</f>
        <v>0</v>
      </c>
      <c r="F60" s="678">
        <f>F58+F59</f>
        <v>2060</v>
      </c>
      <c r="G60" s="678">
        <f>G58+G59</f>
        <v>2060</v>
      </c>
      <c r="H60" s="678">
        <f>H58+H59</f>
        <v>0</v>
      </c>
    </row>
    <row r="61" spans="1:8" s="673" customFormat="1" ht="15" customHeight="1">
      <c r="A61" s="674"/>
      <c r="B61" s="675"/>
      <c r="C61" s="1212">
        <v>80140</v>
      </c>
      <c r="D61" s="682" t="s">
        <v>13</v>
      </c>
      <c r="E61" s="678"/>
      <c r="F61" s="678">
        <v>0</v>
      </c>
      <c r="G61" s="678">
        <v>0</v>
      </c>
      <c r="H61" s="678">
        <v>0</v>
      </c>
    </row>
    <row r="62" spans="1:8" s="673" customFormat="1" ht="15" customHeight="1">
      <c r="A62" s="674"/>
      <c r="B62" s="675"/>
      <c r="C62" s="1213"/>
      <c r="D62" s="682" t="s">
        <v>14</v>
      </c>
      <c r="E62" s="678">
        <v>0</v>
      </c>
      <c r="F62" s="678">
        <v>12500</v>
      </c>
      <c r="G62" s="678">
        <v>12500</v>
      </c>
      <c r="H62" s="678">
        <v>0</v>
      </c>
    </row>
    <row r="63" spans="1:8" s="673" customFormat="1" ht="15" customHeight="1">
      <c r="A63" s="676"/>
      <c r="B63" s="675"/>
      <c r="C63" s="1214"/>
      <c r="D63" s="682" t="s">
        <v>15</v>
      </c>
      <c r="E63" s="678">
        <f>E61+E62</f>
        <v>0</v>
      </c>
      <c r="F63" s="678">
        <f>F61+F62</f>
        <v>12500</v>
      </c>
      <c r="G63" s="678">
        <f>G61+G62</f>
        <v>12500</v>
      </c>
      <c r="H63" s="678">
        <f>H61+H62</f>
        <v>0</v>
      </c>
    </row>
    <row r="64" spans="1:8" s="673" customFormat="1" ht="15" customHeight="1">
      <c r="A64" s="1215" t="s">
        <v>1109</v>
      </c>
      <c r="B64" s="1218" t="s">
        <v>1110</v>
      </c>
      <c r="C64" s="1221">
        <v>80147</v>
      </c>
      <c r="D64" s="670" t="s">
        <v>13</v>
      </c>
      <c r="E64" s="671">
        <v>0</v>
      </c>
      <c r="F64" s="671">
        <v>19000</v>
      </c>
      <c r="G64" s="671">
        <v>19000</v>
      </c>
      <c r="H64" s="671">
        <v>0</v>
      </c>
    </row>
    <row r="65" spans="1:8" s="673" customFormat="1" ht="15" customHeight="1">
      <c r="A65" s="1216"/>
      <c r="B65" s="1219"/>
      <c r="C65" s="1222"/>
      <c r="D65" s="670" t="s">
        <v>14</v>
      </c>
      <c r="E65" s="671">
        <v>0</v>
      </c>
      <c r="F65" s="671">
        <v>4500</v>
      </c>
      <c r="G65" s="671">
        <v>4500</v>
      </c>
      <c r="H65" s="671">
        <v>0</v>
      </c>
    </row>
    <row r="66" spans="1:8" s="673" customFormat="1" ht="15" customHeight="1">
      <c r="A66" s="1217"/>
      <c r="B66" s="1220"/>
      <c r="C66" s="1223"/>
      <c r="D66" s="670" t="s">
        <v>15</v>
      </c>
      <c r="E66" s="671">
        <f>E64+E65</f>
        <v>0</v>
      </c>
      <c r="F66" s="671">
        <f>F64+F65</f>
        <v>23500</v>
      </c>
      <c r="G66" s="671">
        <f>G64+G65</f>
        <v>23500</v>
      </c>
      <c r="H66" s="671">
        <f>H64+H65</f>
        <v>0</v>
      </c>
    </row>
    <row r="67" spans="1:8" s="683" customFormat="1" ht="15" customHeight="1" hidden="1">
      <c r="A67" s="1215" t="s">
        <v>1111</v>
      </c>
      <c r="B67" s="1218" t="s">
        <v>1112</v>
      </c>
      <c r="C67" s="1221">
        <v>80102</v>
      </c>
      <c r="D67" s="670" t="s">
        <v>13</v>
      </c>
      <c r="E67" s="671">
        <v>0</v>
      </c>
      <c r="F67" s="671">
        <v>13300</v>
      </c>
      <c r="G67" s="671">
        <v>13300</v>
      </c>
      <c r="H67" s="671">
        <v>0</v>
      </c>
    </row>
    <row r="68" spans="1:8" s="683" customFormat="1" ht="15" customHeight="1" hidden="1">
      <c r="A68" s="1216"/>
      <c r="B68" s="1219"/>
      <c r="C68" s="1222"/>
      <c r="D68" s="670" t="s">
        <v>14</v>
      </c>
      <c r="E68" s="671">
        <v>0</v>
      </c>
      <c r="F68" s="671"/>
      <c r="G68" s="671"/>
      <c r="H68" s="671">
        <v>0</v>
      </c>
    </row>
    <row r="69" spans="1:8" s="683" customFormat="1" ht="15" customHeight="1" hidden="1">
      <c r="A69" s="1217"/>
      <c r="B69" s="1220"/>
      <c r="C69" s="1223"/>
      <c r="D69" s="670" t="s">
        <v>15</v>
      </c>
      <c r="E69" s="671">
        <f>E67+E68</f>
        <v>0</v>
      </c>
      <c r="F69" s="671">
        <f>F67+F68</f>
        <v>13300</v>
      </c>
      <c r="G69" s="671">
        <f>G67+G68</f>
        <v>13300</v>
      </c>
      <c r="H69" s="671">
        <f>H67+H68</f>
        <v>0</v>
      </c>
    </row>
    <row r="70" spans="1:8" s="688" customFormat="1" ht="17.25" customHeight="1">
      <c r="A70" s="1209"/>
      <c r="B70" s="1210" t="s">
        <v>298</v>
      </c>
      <c r="C70" s="1211"/>
      <c r="D70" s="686" t="s">
        <v>13</v>
      </c>
      <c r="E70" s="687">
        <f aca="true" t="shared" si="4" ref="E70:H72">E10+E13+E16+E19+E28+E64+E31+E40+E43+E67+E46+E55</f>
        <v>0</v>
      </c>
      <c r="F70" s="687">
        <f t="shared" si="4"/>
        <v>2221180</v>
      </c>
      <c r="G70" s="687">
        <f t="shared" si="4"/>
        <v>2221180</v>
      </c>
      <c r="H70" s="687">
        <f t="shared" si="4"/>
        <v>0</v>
      </c>
    </row>
    <row r="71" spans="1:8" s="658" customFormat="1" ht="17.25" customHeight="1">
      <c r="A71" s="1209"/>
      <c r="B71" s="1210"/>
      <c r="C71" s="1211"/>
      <c r="D71" s="686" t="s">
        <v>14</v>
      </c>
      <c r="E71" s="687">
        <f t="shared" si="4"/>
        <v>0</v>
      </c>
      <c r="F71" s="687">
        <f t="shared" si="4"/>
        <v>27000</v>
      </c>
      <c r="G71" s="687">
        <f t="shared" si="4"/>
        <v>27000</v>
      </c>
      <c r="H71" s="687">
        <f t="shared" si="4"/>
        <v>0</v>
      </c>
    </row>
    <row r="72" spans="1:8" s="658" customFormat="1" ht="17.25" customHeight="1">
      <c r="A72" s="1209"/>
      <c r="B72" s="1210"/>
      <c r="C72" s="1211"/>
      <c r="D72" s="686" t="s">
        <v>15</v>
      </c>
      <c r="E72" s="687">
        <f t="shared" si="4"/>
        <v>0</v>
      </c>
      <c r="F72" s="687">
        <f t="shared" si="4"/>
        <v>2248180</v>
      </c>
      <c r="G72" s="687">
        <f t="shared" si="4"/>
        <v>2248180</v>
      </c>
      <c r="H72" s="687">
        <f t="shared" si="4"/>
        <v>0</v>
      </c>
    </row>
    <row r="73" spans="1:8" s="658" customFormat="1" ht="12.75" customHeight="1">
      <c r="A73" s="654"/>
      <c r="B73" s="655"/>
      <c r="C73" s="656"/>
      <c r="D73" s="656"/>
      <c r="E73" s="660"/>
      <c r="F73" s="660"/>
      <c r="G73" s="660"/>
      <c r="H73" s="660"/>
    </row>
    <row r="74" spans="1:8" s="658" customFormat="1" ht="6.75" customHeight="1">
      <c r="A74" s="654"/>
      <c r="B74" s="655"/>
      <c r="C74" s="656"/>
      <c r="D74" s="656"/>
      <c r="E74" s="660"/>
      <c r="F74" s="660"/>
      <c r="G74" s="660"/>
      <c r="H74" s="660"/>
    </row>
    <row r="75" spans="1:8" s="693" customFormat="1" ht="15" customHeight="1">
      <c r="A75" s="689" t="s">
        <v>11</v>
      </c>
      <c r="B75" s="690" t="s">
        <v>1113</v>
      </c>
      <c r="C75" s="691"/>
      <c r="D75" s="692"/>
      <c r="E75" s="692"/>
      <c r="F75" s="692"/>
      <c r="G75" s="692"/>
      <c r="H75" s="692"/>
    </row>
    <row r="76" spans="1:8" s="693" customFormat="1" ht="15" customHeight="1">
      <c r="A76" s="689"/>
      <c r="B76" s="690" t="s">
        <v>1114</v>
      </c>
      <c r="C76" s="691"/>
      <c r="D76" s="692"/>
      <c r="E76" s="692"/>
      <c r="F76" s="692"/>
      <c r="G76" s="692"/>
      <c r="H76" s="692"/>
    </row>
    <row r="77" spans="1:8" s="658" customFormat="1" ht="15" customHeight="1">
      <c r="A77" s="689"/>
      <c r="B77" s="690" t="s">
        <v>43</v>
      </c>
      <c r="C77" s="691"/>
      <c r="D77" s="656"/>
      <c r="E77" s="660"/>
      <c r="F77" s="660"/>
      <c r="G77" s="660"/>
      <c r="H77" s="660"/>
    </row>
  </sheetData>
  <sheetProtection password="C25B" sheet="1"/>
  <mergeCells count="52">
    <mergeCell ref="A5:H5"/>
    <mergeCell ref="A10:A12"/>
    <mergeCell ref="B10:B12"/>
    <mergeCell ref="C10:C12"/>
    <mergeCell ref="A13:A15"/>
    <mergeCell ref="B13:B15"/>
    <mergeCell ref="C13:C15"/>
    <mergeCell ref="A16:A18"/>
    <mergeCell ref="B16:B18"/>
    <mergeCell ref="C16:C18"/>
    <mergeCell ref="A19:A21"/>
    <mergeCell ref="B19:B21"/>
    <mergeCell ref="C19:C21"/>
    <mergeCell ref="A22:A24"/>
    <mergeCell ref="B22:B24"/>
    <mergeCell ref="C22:C24"/>
    <mergeCell ref="A25:A27"/>
    <mergeCell ref="B25:B27"/>
    <mergeCell ref="C25:C27"/>
    <mergeCell ref="A28:A30"/>
    <mergeCell ref="B28:B30"/>
    <mergeCell ref="C28:C30"/>
    <mergeCell ref="A31:A39"/>
    <mergeCell ref="B31:B33"/>
    <mergeCell ref="C31:C33"/>
    <mergeCell ref="C34:C36"/>
    <mergeCell ref="C37:C39"/>
    <mergeCell ref="A40:A42"/>
    <mergeCell ref="B40:B42"/>
    <mergeCell ref="C40:C42"/>
    <mergeCell ref="A43:A45"/>
    <mergeCell ref="B43:B45"/>
    <mergeCell ref="C43:C45"/>
    <mergeCell ref="C67:C69"/>
    <mergeCell ref="A46:A48"/>
    <mergeCell ref="B46:B48"/>
    <mergeCell ref="C46:C48"/>
    <mergeCell ref="C49:C51"/>
    <mergeCell ref="C52:C54"/>
    <mergeCell ref="A55:A57"/>
    <mergeCell ref="B55:B57"/>
    <mergeCell ref="C55:C57"/>
    <mergeCell ref="A70:A72"/>
    <mergeCell ref="B70:B72"/>
    <mergeCell ref="C70:C72"/>
    <mergeCell ref="C58:C60"/>
    <mergeCell ref="C61:C63"/>
    <mergeCell ref="A64:A66"/>
    <mergeCell ref="B64:B66"/>
    <mergeCell ref="C64:C66"/>
    <mergeCell ref="A67:A69"/>
    <mergeCell ref="B67:B69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SheetLayoutView="100" zoomScalePageLayoutView="0" workbookViewId="0" topLeftCell="A48">
      <selection activeCell="C52" sqref="C52"/>
    </sheetView>
  </sheetViews>
  <sheetFormatPr defaultColWidth="8.796875" defaultRowHeight="14.25"/>
  <cols>
    <col min="1" max="1" width="7.59765625" style="304" customWidth="1"/>
    <col min="2" max="2" width="7.09765625" style="266" customWidth="1"/>
    <col min="3" max="3" width="36.3984375" style="267" customWidth="1"/>
    <col min="4" max="4" width="13.3984375" style="267" customWidth="1"/>
    <col min="5" max="6" width="12.19921875" style="267" customWidth="1"/>
    <col min="7" max="7" width="13.3984375" style="267" customWidth="1"/>
    <col min="8" max="16384" width="9" style="267" customWidth="1"/>
  </cols>
  <sheetData>
    <row r="1" spans="1:7" ht="12.75">
      <c r="A1" s="265"/>
      <c r="D1" s="268"/>
      <c r="E1" s="159" t="s">
        <v>456</v>
      </c>
      <c r="F1" s="268"/>
      <c r="G1" s="268"/>
    </row>
    <row r="2" spans="1:7" ht="12.75">
      <c r="A2" s="265"/>
      <c r="D2" s="268"/>
      <c r="E2" s="159" t="s">
        <v>505</v>
      </c>
      <c r="F2" s="268"/>
      <c r="G2" s="268"/>
    </row>
    <row r="3" spans="1:7" ht="12.75">
      <c r="A3" s="265"/>
      <c r="D3" s="268"/>
      <c r="E3" s="159" t="s">
        <v>455</v>
      </c>
      <c r="F3" s="268"/>
      <c r="G3" s="268"/>
    </row>
    <row r="4" spans="1:7" ht="3" customHeight="1">
      <c r="A4" s="265"/>
      <c r="D4" s="268"/>
      <c r="E4" s="268"/>
      <c r="F4" s="268"/>
      <c r="G4" s="268"/>
    </row>
    <row r="5" spans="1:7" ht="42.75" customHeight="1">
      <c r="A5" s="747" t="s">
        <v>457</v>
      </c>
      <c r="B5" s="747"/>
      <c r="C5" s="747"/>
      <c r="D5" s="747"/>
      <c r="E5" s="747"/>
      <c r="F5" s="747"/>
      <c r="G5" s="747"/>
    </row>
    <row r="6" spans="1:7" ht="9.75" customHeight="1">
      <c r="A6" s="265"/>
      <c r="D6" s="268"/>
      <c r="E6" s="268"/>
      <c r="F6" s="268"/>
      <c r="G6" s="269" t="s">
        <v>0</v>
      </c>
    </row>
    <row r="7" spans="1:7" ht="34.5" customHeight="1">
      <c r="A7" s="270" t="s">
        <v>458</v>
      </c>
      <c r="B7" s="270" t="s">
        <v>2</v>
      </c>
      <c r="C7" s="56" t="s">
        <v>3</v>
      </c>
      <c r="D7" s="271" t="s">
        <v>459</v>
      </c>
      <c r="E7" s="271" t="s">
        <v>460</v>
      </c>
      <c r="F7" s="271" t="s">
        <v>6</v>
      </c>
      <c r="G7" s="271" t="s">
        <v>461</v>
      </c>
    </row>
    <row r="8" spans="1:8" ht="12.75">
      <c r="A8" s="272" t="s">
        <v>462</v>
      </c>
      <c r="B8" s="272" t="s">
        <v>463</v>
      </c>
      <c r="C8" s="273" t="s">
        <v>464</v>
      </c>
      <c r="D8" s="274" t="s">
        <v>465</v>
      </c>
      <c r="E8" s="274" t="s">
        <v>466</v>
      </c>
      <c r="F8" s="274" t="s">
        <v>467</v>
      </c>
      <c r="G8" s="274" t="s">
        <v>468</v>
      </c>
      <c r="H8" s="275"/>
    </row>
    <row r="9" spans="1:8" s="281" customFormat="1" ht="16.5" customHeight="1">
      <c r="A9" s="270"/>
      <c r="B9" s="276"/>
      <c r="C9" s="277" t="s">
        <v>469</v>
      </c>
      <c r="D9" s="278">
        <v>1128320209.07</v>
      </c>
      <c r="E9" s="279">
        <f>E10+E23+E27+E30+E34+E55+E61+E66+E69</f>
        <v>79891845</v>
      </c>
      <c r="F9" s="279">
        <f>F10+F23+F27+F30+F34+F55+F61+F66+F69</f>
        <v>84647737</v>
      </c>
      <c r="G9" s="279">
        <f>D9+E9-F9</f>
        <v>1123564317.07</v>
      </c>
      <c r="H9" s="280"/>
    </row>
    <row r="10" spans="1:7" s="31" customFormat="1" ht="14.25" customHeight="1">
      <c r="A10" s="282" t="s">
        <v>19</v>
      </c>
      <c r="B10" s="282" t="s">
        <v>372</v>
      </c>
      <c r="C10" s="283" t="s">
        <v>20</v>
      </c>
      <c r="D10" s="284">
        <v>76203955</v>
      </c>
      <c r="E10" s="284">
        <f>E11+E14+E16</f>
        <v>26950970</v>
      </c>
      <c r="F10" s="284">
        <f>F11+F14+F16</f>
        <v>9971066</v>
      </c>
      <c r="G10" s="284">
        <f>D10+E10-F10</f>
        <v>93183859</v>
      </c>
    </row>
    <row r="11" spans="1:7" s="31" customFormat="1" ht="16.5" customHeight="1">
      <c r="A11" s="285">
        <v>60001</v>
      </c>
      <c r="B11" s="285" t="s">
        <v>372</v>
      </c>
      <c r="C11" s="286" t="s">
        <v>112</v>
      </c>
      <c r="D11" s="287">
        <v>14887876</v>
      </c>
      <c r="E11" s="287">
        <f>E12+E13</f>
        <v>25863196</v>
      </c>
      <c r="F11" s="287">
        <f>F12+F13</f>
        <v>9962366</v>
      </c>
      <c r="G11" s="287">
        <f aca="true" t="shared" si="0" ref="G11:G72">D11+E11-F11</f>
        <v>30788706</v>
      </c>
    </row>
    <row r="12" spans="1:7" ht="38.25">
      <c r="A12" s="288" t="s">
        <v>372</v>
      </c>
      <c r="B12" s="288">
        <v>2170</v>
      </c>
      <c r="C12" s="289" t="s">
        <v>470</v>
      </c>
      <c r="D12" s="290">
        <v>0</v>
      </c>
      <c r="E12" s="290">
        <v>25863196</v>
      </c>
      <c r="F12" s="290">
        <v>0</v>
      </c>
      <c r="G12" s="290">
        <f t="shared" si="0"/>
        <v>25863196</v>
      </c>
    </row>
    <row r="13" spans="1:7" ht="38.25">
      <c r="A13" s="288" t="s">
        <v>372</v>
      </c>
      <c r="B13" s="288">
        <v>2440</v>
      </c>
      <c r="C13" s="289" t="s">
        <v>471</v>
      </c>
      <c r="D13" s="290">
        <v>9962366</v>
      </c>
      <c r="E13" s="290">
        <v>0</v>
      </c>
      <c r="F13" s="290">
        <v>9962366</v>
      </c>
      <c r="G13" s="290">
        <f t="shared" si="0"/>
        <v>0</v>
      </c>
    </row>
    <row r="14" spans="1:7" s="31" customFormat="1" ht="15" customHeight="1">
      <c r="A14" s="285">
        <v>60003</v>
      </c>
      <c r="B14" s="285" t="s">
        <v>372</v>
      </c>
      <c r="C14" s="286" t="s">
        <v>50</v>
      </c>
      <c r="D14" s="287">
        <v>37000000</v>
      </c>
      <c r="E14" s="287">
        <v>43831</v>
      </c>
      <c r="F14" s="287">
        <v>0</v>
      </c>
      <c r="G14" s="287">
        <f t="shared" si="0"/>
        <v>37043831</v>
      </c>
    </row>
    <row r="15" spans="1:7" ht="15" customHeight="1">
      <c r="A15" s="288" t="s">
        <v>372</v>
      </c>
      <c r="B15" s="288" t="s">
        <v>472</v>
      </c>
      <c r="C15" s="289" t="s">
        <v>473</v>
      </c>
      <c r="D15" s="290">
        <v>0</v>
      </c>
      <c r="E15" s="290">
        <v>43831</v>
      </c>
      <c r="F15" s="290">
        <v>0</v>
      </c>
      <c r="G15" s="290">
        <f t="shared" si="0"/>
        <v>43831</v>
      </c>
    </row>
    <row r="16" spans="1:7" s="31" customFormat="1" ht="15" customHeight="1">
      <c r="A16" s="285">
        <v>60013</v>
      </c>
      <c r="B16" s="285" t="s">
        <v>372</v>
      </c>
      <c r="C16" s="286" t="s">
        <v>115</v>
      </c>
      <c r="D16" s="287">
        <v>21380553</v>
      </c>
      <c r="E16" s="287">
        <f>SUM(E17:E22)</f>
        <v>1043943</v>
      </c>
      <c r="F16" s="287">
        <f>SUM(F17:F22)</f>
        <v>8700</v>
      </c>
      <c r="G16" s="287">
        <f t="shared" si="0"/>
        <v>22415796</v>
      </c>
    </row>
    <row r="17" spans="1:7" ht="27" customHeight="1">
      <c r="A17" s="288" t="s">
        <v>372</v>
      </c>
      <c r="B17" s="288" t="s">
        <v>474</v>
      </c>
      <c r="C17" s="289" t="s">
        <v>475</v>
      </c>
      <c r="D17" s="290">
        <v>800</v>
      </c>
      <c r="E17" s="290">
        <v>400</v>
      </c>
      <c r="F17" s="290">
        <v>0</v>
      </c>
      <c r="G17" s="290">
        <f t="shared" si="0"/>
        <v>1200</v>
      </c>
    </row>
    <row r="18" spans="1:7" ht="12.75">
      <c r="A18" s="288" t="s">
        <v>372</v>
      </c>
      <c r="B18" s="288" t="s">
        <v>476</v>
      </c>
      <c r="C18" s="289" t="s">
        <v>477</v>
      </c>
      <c r="D18" s="290">
        <v>4550000</v>
      </c>
      <c r="E18" s="290">
        <v>300000</v>
      </c>
      <c r="F18" s="290">
        <v>0</v>
      </c>
      <c r="G18" s="290">
        <f t="shared" si="0"/>
        <v>4850000</v>
      </c>
    </row>
    <row r="19" spans="1:7" ht="64.5" customHeight="1">
      <c r="A19" s="288" t="s">
        <v>372</v>
      </c>
      <c r="B19" s="288" t="s">
        <v>478</v>
      </c>
      <c r="C19" s="289" t="s">
        <v>479</v>
      </c>
      <c r="D19" s="290">
        <v>40700</v>
      </c>
      <c r="E19" s="290">
        <v>0</v>
      </c>
      <c r="F19" s="290">
        <v>8700</v>
      </c>
      <c r="G19" s="290">
        <f t="shared" si="0"/>
        <v>32000</v>
      </c>
    </row>
    <row r="20" spans="1:7" ht="17.25" customHeight="1">
      <c r="A20" s="288" t="s">
        <v>372</v>
      </c>
      <c r="B20" s="288" t="s">
        <v>480</v>
      </c>
      <c r="C20" s="289" t="s">
        <v>481</v>
      </c>
      <c r="D20" s="290">
        <v>2157</v>
      </c>
      <c r="E20" s="290">
        <v>352843</v>
      </c>
      <c r="F20" s="290">
        <v>0</v>
      </c>
      <c r="G20" s="290">
        <f t="shared" si="0"/>
        <v>355000</v>
      </c>
    </row>
    <row r="21" spans="1:7" ht="25.5">
      <c r="A21" s="288" t="s">
        <v>372</v>
      </c>
      <c r="B21" s="288" t="s">
        <v>482</v>
      </c>
      <c r="C21" s="289" t="s">
        <v>483</v>
      </c>
      <c r="D21" s="290">
        <v>23300</v>
      </c>
      <c r="E21" s="290">
        <v>371700</v>
      </c>
      <c r="F21" s="290">
        <v>0</v>
      </c>
      <c r="G21" s="290">
        <f t="shared" si="0"/>
        <v>395000</v>
      </c>
    </row>
    <row r="22" spans="1:7" ht="54" customHeight="1">
      <c r="A22" s="288" t="s">
        <v>372</v>
      </c>
      <c r="B22" s="288">
        <v>6300</v>
      </c>
      <c r="C22" s="289" t="s">
        <v>484</v>
      </c>
      <c r="D22" s="290">
        <v>150000</v>
      </c>
      <c r="E22" s="290">
        <v>19000</v>
      </c>
      <c r="F22" s="290">
        <v>0</v>
      </c>
      <c r="G22" s="290">
        <f t="shared" si="0"/>
        <v>169000</v>
      </c>
    </row>
    <row r="23" spans="1:7" s="31" customFormat="1" ht="12.75">
      <c r="A23" s="282" t="s">
        <v>70</v>
      </c>
      <c r="B23" s="282" t="s">
        <v>372</v>
      </c>
      <c r="C23" s="283" t="s">
        <v>71</v>
      </c>
      <c r="D23" s="284">
        <v>868267</v>
      </c>
      <c r="E23" s="284">
        <f>E24</f>
        <v>0</v>
      </c>
      <c r="F23" s="284">
        <f>F24</f>
        <v>37500</v>
      </c>
      <c r="G23" s="284">
        <f t="shared" si="0"/>
        <v>830767</v>
      </c>
    </row>
    <row r="24" spans="1:7" s="31" customFormat="1" ht="12.75">
      <c r="A24" s="285">
        <v>72095</v>
      </c>
      <c r="B24" s="285" t="s">
        <v>372</v>
      </c>
      <c r="C24" s="286" t="s">
        <v>52</v>
      </c>
      <c r="D24" s="287">
        <v>868267</v>
      </c>
      <c r="E24" s="287">
        <f>E25+E26</f>
        <v>0</v>
      </c>
      <c r="F24" s="287">
        <f>F25+F26</f>
        <v>37500</v>
      </c>
      <c r="G24" s="287">
        <f t="shared" si="0"/>
        <v>830767</v>
      </c>
    </row>
    <row r="25" spans="1:7" ht="66" customHeight="1">
      <c r="A25" s="288" t="s">
        <v>372</v>
      </c>
      <c r="B25" s="288">
        <v>6289</v>
      </c>
      <c r="C25" s="289" t="s">
        <v>485</v>
      </c>
      <c r="D25" s="290">
        <v>58641</v>
      </c>
      <c r="E25" s="290">
        <v>0</v>
      </c>
      <c r="F25" s="290">
        <v>34500</v>
      </c>
      <c r="G25" s="290">
        <f t="shared" si="0"/>
        <v>24141</v>
      </c>
    </row>
    <row r="26" spans="1:7" ht="53.25" customHeight="1">
      <c r="A26" s="288" t="s">
        <v>372</v>
      </c>
      <c r="B26" s="288">
        <v>6299</v>
      </c>
      <c r="C26" s="289" t="s">
        <v>486</v>
      </c>
      <c r="D26" s="290">
        <v>4097</v>
      </c>
      <c r="E26" s="290">
        <v>0</v>
      </c>
      <c r="F26" s="290">
        <v>3000</v>
      </c>
      <c r="G26" s="290">
        <f t="shared" si="0"/>
        <v>1097</v>
      </c>
    </row>
    <row r="27" spans="1:7" s="31" customFormat="1" ht="14.25" customHeight="1">
      <c r="A27" s="282" t="s">
        <v>28</v>
      </c>
      <c r="B27" s="282" t="s">
        <v>372</v>
      </c>
      <c r="C27" s="283" t="s">
        <v>29</v>
      </c>
      <c r="D27" s="284">
        <v>3087885</v>
      </c>
      <c r="E27" s="284">
        <f>E28</f>
        <v>2800</v>
      </c>
      <c r="F27" s="284">
        <f>F28</f>
        <v>0</v>
      </c>
      <c r="G27" s="284">
        <f t="shared" si="0"/>
        <v>3090685</v>
      </c>
    </row>
    <row r="28" spans="1:7" s="31" customFormat="1" ht="14.25" customHeight="1">
      <c r="A28" s="285">
        <v>75095</v>
      </c>
      <c r="B28" s="285" t="s">
        <v>372</v>
      </c>
      <c r="C28" s="286" t="s">
        <v>52</v>
      </c>
      <c r="D28" s="287">
        <v>1897134</v>
      </c>
      <c r="E28" s="287">
        <f>E29</f>
        <v>2800</v>
      </c>
      <c r="F28" s="287">
        <f>F29</f>
        <v>0</v>
      </c>
      <c r="G28" s="287">
        <f t="shared" si="0"/>
        <v>1899934</v>
      </c>
    </row>
    <row r="29" spans="1:7" ht="52.5" customHeight="1">
      <c r="A29" s="288" t="s">
        <v>372</v>
      </c>
      <c r="B29" s="288">
        <v>2460</v>
      </c>
      <c r="C29" s="289" t="s">
        <v>487</v>
      </c>
      <c r="D29" s="290">
        <v>0</v>
      </c>
      <c r="E29" s="290">
        <v>2800</v>
      </c>
      <c r="F29" s="290">
        <v>0</v>
      </c>
      <c r="G29" s="290">
        <f t="shared" si="0"/>
        <v>2800</v>
      </c>
    </row>
    <row r="30" spans="1:7" s="31" customFormat="1" ht="65.25" customHeight="1">
      <c r="A30" s="282" t="s">
        <v>446</v>
      </c>
      <c r="B30" s="282" t="s">
        <v>372</v>
      </c>
      <c r="C30" s="283" t="s">
        <v>488</v>
      </c>
      <c r="D30" s="284">
        <v>315962972</v>
      </c>
      <c r="E30" s="284">
        <f>E31</f>
        <v>0</v>
      </c>
      <c r="F30" s="284">
        <f>F31</f>
        <v>62027451</v>
      </c>
      <c r="G30" s="284">
        <f t="shared" si="0"/>
        <v>253935521</v>
      </c>
    </row>
    <row r="31" spans="1:7" s="31" customFormat="1" ht="29.25" customHeight="1">
      <c r="A31" s="285">
        <v>75623</v>
      </c>
      <c r="B31" s="285" t="s">
        <v>372</v>
      </c>
      <c r="C31" s="286" t="s">
        <v>489</v>
      </c>
      <c r="D31" s="287">
        <v>315252272</v>
      </c>
      <c r="E31" s="287">
        <f>E32+E33</f>
        <v>0</v>
      </c>
      <c r="F31" s="287">
        <f>F32+F33</f>
        <v>62027451</v>
      </c>
      <c r="G31" s="287">
        <f t="shared" si="0"/>
        <v>253224821</v>
      </c>
    </row>
    <row r="32" spans="1:7" ht="16.5" customHeight="1">
      <c r="A32" s="288" t="s">
        <v>372</v>
      </c>
      <c r="B32" s="288" t="s">
        <v>490</v>
      </c>
      <c r="C32" s="289" t="s">
        <v>491</v>
      </c>
      <c r="D32" s="290">
        <v>80252272</v>
      </c>
      <c r="E32" s="290">
        <v>0</v>
      </c>
      <c r="F32" s="290">
        <v>27451</v>
      </c>
      <c r="G32" s="290">
        <f t="shared" si="0"/>
        <v>80224821</v>
      </c>
    </row>
    <row r="33" spans="1:7" ht="18.75" customHeight="1">
      <c r="A33" s="288" t="s">
        <v>372</v>
      </c>
      <c r="B33" s="288" t="s">
        <v>492</v>
      </c>
      <c r="C33" s="289" t="s">
        <v>493</v>
      </c>
      <c r="D33" s="290">
        <v>235000000</v>
      </c>
      <c r="E33" s="290">
        <v>0</v>
      </c>
      <c r="F33" s="290">
        <v>62000000</v>
      </c>
      <c r="G33" s="290">
        <f t="shared" si="0"/>
        <v>173000000</v>
      </c>
    </row>
    <row r="34" spans="1:7" s="31" customFormat="1" ht="16.5" customHeight="1">
      <c r="A34" s="282" t="s">
        <v>140</v>
      </c>
      <c r="B34" s="282" t="s">
        <v>372</v>
      </c>
      <c r="C34" s="283" t="s">
        <v>494</v>
      </c>
      <c r="D34" s="284">
        <v>668365893</v>
      </c>
      <c r="E34" s="284">
        <f>E35+E37+E39+E41+E48</f>
        <v>48967078</v>
      </c>
      <c r="F34" s="284">
        <f>F35+F37+F39+F41+F48</f>
        <v>12371720</v>
      </c>
      <c r="G34" s="284">
        <f t="shared" si="0"/>
        <v>704961251</v>
      </c>
    </row>
    <row r="35" spans="1:7" s="31" customFormat="1" ht="27" customHeight="1">
      <c r="A35" s="294">
        <v>75801</v>
      </c>
      <c r="B35" s="294" t="s">
        <v>372</v>
      </c>
      <c r="C35" s="295" t="s">
        <v>495</v>
      </c>
      <c r="D35" s="296">
        <v>62865690</v>
      </c>
      <c r="E35" s="296">
        <f>E36</f>
        <v>956730</v>
      </c>
      <c r="F35" s="296">
        <v>0</v>
      </c>
      <c r="G35" s="296">
        <f t="shared" si="0"/>
        <v>63822420</v>
      </c>
    </row>
    <row r="36" spans="1:7" ht="17.25" customHeight="1">
      <c r="A36" s="288" t="s">
        <v>372</v>
      </c>
      <c r="B36" s="288">
        <v>2920</v>
      </c>
      <c r="C36" s="289" t="s">
        <v>496</v>
      </c>
      <c r="D36" s="290">
        <v>62865690</v>
      </c>
      <c r="E36" s="290">
        <v>956730</v>
      </c>
      <c r="F36" s="290">
        <v>0</v>
      </c>
      <c r="G36" s="290">
        <f t="shared" si="0"/>
        <v>63822420</v>
      </c>
    </row>
    <row r="37" spans="1:7" s="31" customFormat="1" ht="25.5" customHeight="1">
      <c r="A37" s="285">
        <v>75802</v>
      </c>
      <c r="B37" s="285" t="s">
        <v>372</v>
      </c>
      <c r="C37" s="286" t="s">
        <v>497</v>
      </c>
      <c r="D37" s="287">
        <v>22495418</v>
      </c>
      <c r="E37" s="287">
        <f>E38</f>
        <v>0</v>
      </c>
      <c r="F37" s="287">
        <v>1532763</v>
      </c>
      <c r="G37" s="287">
        <f t="shared" si="0"/>
        <v>20962655</v>
      </c>
    </row>
    <row r="38" spans="1:7" ht="14.25" customHeight="1">
      <c r="A38" s="291" t="s">
        <v>372</v>
      </c>
      <c r="B38" s="291">
        <v>2770</v>
      </c>
      <c r="C38" s="292" t="s">
        <v>498</v>
      </c>
      <c r="D38" s="293">
        <v>22495418</v>
      </c>
      <c r="E38" s="293">
        <v>0</v>
      </c>
      <c r="F38" s="293">
        <v>1532763</v>
      </c>
      <c r="G38" s="293">
        <f t="shared" si="0"/>
        <v>20962655</v>
      </c>
    </row>
    <row r="39" spans="1:7" s="31" customFormat="1" ht="25.5" customHeight="1">
      <c r="A39" s="294">
        <v>75833</v>
      </c>
      <c r="B39" s="294" t="s">
        <v>372</v>
      </c>
      <c r="C39" s="295" t="s">
        <v>499</v>
      </c>
      <c r="D39" s="296">
        <v>70401065</v>
      </c>
      <c r="E39" s="296">
        <f>E40</f>
        <v>0</v>
      </c>
      <c r="F39" s="296">
        <v>580734</v>
      </c>
      <c r="G39" s="296">
        <f t="shared" si="0"/>
        <v>69820331</v>
      </c>
    </row>
    <row r="40" spans="1:7" ht="12.75">
      <c r="A40" s="288" t="s">
        <v>372</v>
      </c>
      <c r="B40" s="288">
        <v>2920</v>
      </c>
      <c r="C40" s="289" t="s">
        <v>496</v>
      </c>
      <c r="D40" s="290">
        <v>70401065</v>
      </c>
      <c r="E40" s="290">
        <v>0</v>
      </c>
      <c r="F40" s="290">
        <v>580734</v>
      </c>
      <c r="G40" s="290">
        <f t="shared" si="0"/>
        <v>69820331</v>
      </c>
    </row>
    <row r="41" spans="1:7" s="31" customFormat="1" ht="39.75" customHeight="1">
      <c r="A41" s="285">
        <v>75863</v>
      </c>
      <c r="B41" s="285" t="s">
        <v>372</v>
      </c>
      <c r="C41" s="286" t="s">
        <v>500</v>
      </c>
      <c r="D41" s="287">
        <v>273902575</v>
      </c>
      <c r="E41" s="287">
        <f>SUM(E42:E47)</f>
        <v>4829241</v>
      </c>
      <c r="F41" s="287">
        <f>SUM(F42:F47)</f>
        <v>9191978</v>
      </c>
      <c r="G41" s="287">
        <f t="shared" si="0"/>
        <v>269539838</v>
      </c>
    </row>
    <row r="42" spans="1:7" ht="78.75" customHeight="1">
      <c r="A42" s="288" t="s">
        <v>372</v>
      </c>
      <c r="B42" s="288">
        <v>2007</v>
      </c>
      <c r="C42" s="289" t="s">
        <v>501</v>
      </c>
      <c r="D42" s="290">
        <v>4824806</v>
      </c>
      <c r="E42" s="290">
        <v>626720</v>
      </c>
      <c r="F42" s="290">
        <v>0</v>
      </c>
      <c r="G42" s="290">
        <f t="shared" si="0"/>
        <v>5451526</v>
      </c>
    </row>
    <row r="43" spans="1:7" ht="79.5" customHeight="1">
      <c r="A43" s="288" t="s">
        <v>372</v>
      </c>
      <c r="B43" s="288">
        <v>2057</v>
      </c>
      <c r="C43" s="289" t="s">
        <v>392</v>
      </c>
      <c r="D43" s="290">
        <v>23903519</v>
      </c>
      <c r="E43" s="290">
        <v>317866</v>
      </c>
      <c r="F43" s="290">
        <v>0</v>
      </c>
      <c r="G43" s="290">
        <f t="shared" si="0"/>
        <v>24221385</v>
      </c>
    </row>
    <row r="44" spans="1:7" ht="79.5" customHeight="1">
      <c r="A44" s="288" t="s">
        <v>372</v>
      </c>
      <c r="B44" s="288">
        <v>6207</v>
      </c>
      <c r="C44" s="289" t="s">
        <v>502</v>
      </c>
      <c r="D44" s="290">
        <v>71598550</v>
      </c>
      <c r="E44" s="290">
        <v>0</v>
      </c>
      <c r="F44" s="290">
        <v>9091978</v>
      </c>
      <c r="G44" s="290">
        <f t="shared" si="0"/>
        <v>62506572</v>
      </c>
    </row>
    <row r="45" spans="1:7" ht="81" customHeight="1">
      <c r="A45" s="288" t="s">
        <v>372</v>
      </c>
      <c r="B45" s="288">
        <v>6209</v>
      </c>
      <c r="C45" s="289" t="s">
        <v>502</v>
      </c>
      <c r="D45" s="290">
        <v>16794976</v>
      </c>
      <c r="E45" s="290">
        <v>100000</v>
      </c>
      <c r="F45" s="290">
        <v>0</v>
      </c>
      <c r="G45" s="290">
        <f t="shared" si="0"/>
        <v>16894976</v>
      </c>
    </row>
    <row r="46" spans="1:7" ht="79.5" customHeight="1">
      <c r="A46" s="288" t="s">
        <v>372</v>
      </c>
      <c r="B46" s="288">
        <v>6257</v>
      </c>
      <c r="C46" s="289" t="s">
        <v>408</v>
      </c>
      <c r="D46" s="290">
        <v>155328785</v>
      </c>
      <c r="E46" s="290">
        <v>3784655</v>
      </c>
      <c r="F46" s="290">
        <v>0</v>
      </c>
      <c r="G46" s="290">
        <f t="shared" si="0"/>
        <v>159113440</v>
      </c>
    </row>
    <row r="47" spans="1:7" ht="80.25" customHeight="1">
      <c r="A47" s="288" t="s">
        <v>372</v>
      </c>
      <c r="B47" s="288">
        <v>6259</v>
      </c>
      <c r="C47" s="289" t="s">
        <v>408</v>
      </c>
      <c r="D47" s="290">
        <v>732141</v>
      </c>
      <c r="E47" s="290">
        <v>0</v>
      </c>
      <c r="F47" s="290">
        <v>100000</v>
      </c>
      <c r="G47" s="290">
        <f t="shared" si="0"/>
        <v>632141</v>
      </c>
    </row>
    <row r="48" spans="1:7" s="31" customFormat="1" ht="40.5" customHeight="1">
      <c r="A48" s="285">
        <v>75864</v>
      </c>
      <c r="B48" s="285" t="s">
        <v>372</v>
      </c>
      <c r="C48" s="286" t="s">
        <v>503</v>
      </c>
      <c r="D48" s="287">
        <v>89096461</v>
      </c>
      <c r="E48" s="287">
        <f>SUM(E49:E54)</f>
        <v>43181107</v>
      </c>
      <c r="F48" s="287">
        <f>SUM(F49:F54)</f>
        <v>1066245</v>
      </c>
      <c r="G48" s="287">
        <f t="shared" si="0"/>
        <v>131211323</v>
      </c>
    </row>
    <row r="49" spans="1:7" ht="78.75" customHeight="1">
      <c r="A49" s="288" t="s">
        <v>372</v>
      </c>
      <c r="B49" s="288">
        <v>2007</v>
      </c>
      <c r="C49" s="289" t="s">
        <v>501</v>
      </c>
      <c r="D49" s="290">
        <v>18274120</v>
      </c>
      <c r="E49" s="290">
        <v>29852233</v>
      </c>
      <c r="F49" s="290">
        <v>0</v>
      </c>
      <c r="G49" s="290">
        <f t="shared" si="0"/>
        <v>48126353</v>
      </c>
    </row>
    <row r="50" spans="1:7" ht="80.25" customHeight="1">
      <c r="A50" s="288" t="s">
        <v>372</v>
      </c>
      <c r="B50" s="288">
        <v>2009</v>
      </c>
      <c r="C50" s="289" t="s">
        <v>501</v>
      </c>
      <c r="D50" s="290">
        <v>20884864</v>
      </c>
      <c r="E50" s="290">
        <v>0</v>
      </c>
      <c r="F50" s="290">
        <v>1066245</v>
      </c>
      <c r="G50" s="290">
        <f t="shared" si="0"/>
        <v>19818619</v>
      </c>
    </row>
    <row r="51" spans="1:7" ht="79.5" customHeight="1">
      <c r="A51" s="288" t="s">
        <v>372</v>
      </c>
      <c r="B51" s="288">
        <v>2057</v>
      </c>
      <c r="C51" s="289" t="s">
        <v>392</v>
      </c>
      <c r="D51" s="290">
        <v>12033396</v>
      </c>
      <c r="E51" s="290">
        <v>9482179</v>
      </c>
      <c r="F51" s="290">
        <v>0</v>
      </c>
      <c r="G51" s="290">
        <f t="shared" si="0"/>
        <v>21515575</v>
      </c>
    </row>
    <row r="52" spans="1:7" ht="78.75" customHeight="1">
      <c r="A52" s="291" t="s">
        <v>372</v>
      </c>
      <c r="B52" s="291">
        <v>2058</v>
      </c>
      <c r="C52" s="292" t="s">
        <v>392</v>
      </c>
      <c r="D52" s="293">
        <v>35987050</v>
      </c>
      <c r="E52" s="293">
        <v>765950</v>
      </c>
      <c r="F52" s="293">
        <v>0</v>
      </c>
      <c r="G52" s="293">
        <f t="shared" si="0"/>
        <v>36753000</v>
      </c>
    </row>
    <row r="53" spans="1:7" ht="80.25" customHeight="1">
      <c r="A53" s="297" t="s">
        <v>372</v>
      </c>
      <c r="B53" s="297">
        <v>2059</v>
      </c>
      <c r="C53" s="298" t="s">
        <v>392</v>
      </c>
      <c r="D53" s="299">
        <v>1496136</v>
      </c>
      <c r="E53" s="299">
        <v>1066245</v>
      </c>
      <c r="F53" s="299">
        <v>0</v>
      </c>
      <c r="G53" s="299">
        <f t="shared" si="0"/>
        <v>2562381</v>
      </c>
    </row>
    <row r="54" spans="1:7" ht="79.5" customHeight="1">
      <c r="A54" s="288" t="s">
        <v>372</v>
      </c>
      <c r="B54" s="288">
        <v>6258</v>
      </c>
      <c r="C54" s="289" t="s">
        <v>408</v>
      </c>
      <c r="D54" s="290">
        <v>34000</v>
      </c>
      <c r="E54" s="290">
        <v>2014500</v>
      </c>
      <c r="F54" s="290">
        <v>0</v>
      </c>
      <c r="G54" s="290">
        <f t="shared" si="0"/>
        <v>2048500</v>
      </c>
    </row>
    <row r="55" spans="1:7" s="31" customFormat="1" ht="14.25" customHeight="1">
      <c r="A55" s="282" t="s">
        <v>220</v>
      </c>
      <c r="B55" s="282" t="s">
        <v>372</v>
      </c>
      <c r="C55" s="283" t="s">
        <v>36</v>
      </c>
      <c r="D55" s="284">
        <v>4022178</v>
      </c>
      <c r="E55" s="284">
        <f>E56</f>
        <v>3003797</v>
      </c>
      <c r="F55" s="284">
        <f>F56</f>
        <v>0</v>
      </c>
      <c r="G55" s="284">
        <f t="shared" si="0"/>
        <v>7025975</v>
      </c>
    </row>
    <row r="56" spans="1:7" s="31" customFormat="1" ht="13.5" customHeight="1">
      <c r="A56" s="285">
        <v>85295</v>
      </c>
      <c r="B56" s="285" t="s">
        <v>372</v>
      </c>
      <c r="C56" s="286" t="s">
        <v>52</v>
      </c>
      <c r="D56" s="287">
        <v>3841178</v>
      </c>
      <c r="E56" s="287">
        <f>SUM(E57:E60)</f>
        <v>3003797</v>
      </c>
      <c r="F56" s="287">
        <f>SUM(F57:F60)</f>
        <v>0</v>
      </c>
      <c r="G56" s="287">
        <f t="shared" si="0"/>
        <v>6844975</v>
      </c>
    </row>
    <row r="57" spans="1:7" ht="80.25" customHeight="1">
      <c r="A57" s="288" t="s">
        <v>372</v>
      </c>
      <c r="B57" s="288">
        <v>2007</v>
      </c>
      <c r="C57" s="289" t="s">
        <v>501</v>
      </c>
      <c r="D57" s="290">
        <v>2608212</v>
      </c>
      <c r="E57" s="290">
        <v>1712647</v>
      </c>
      <c r="F57" s="290">
        <v>0</v>
      </c>
      <c r="G57" s="290">
        <f t="shared" si="0"/>
        <v>4320859</v>
      </c>
    </row>
    <row r="58" spans="1:7" ht="81" customHeight="1">
      <c r="A58" s="288" t="s">
        <v>372</v>
      </c>
      <c r="B58" s="288">
        <v>2009</v>
      </c>
      <c r="C58" s="289" t="s">
        <v>501</v>
      </c>
      <c r="D58" s="290">
        <v>486488</v>
      </c>
      <c r="E58" s="290">
        <v>319444</v>
      </c>
      <c r="F58" s="290">
        <v>0</v>
      </c>
      <c r="G58" s="290">
        <f t="shared" si="0"/>
        <v>805932</v>
      </c>
    </row>
    <row r="59" spans="1:7" ht="79.5" customHeight="1">
      <c r="A59" s="288" t="s">
        <v>372</v>
      </c>
      <c r="B59" s="288">
        <v>2057</v>
      </c>
      <c r="C59" s="289" t="s">
        <v>392</v>
      </c>
      <c r="D59" s="290">
        <v>631540</v>
      </c>
      <c r="E59" s="290">
        <v>883611</v>
      </c>
      <c r="F59" s="290">
        <v>0</v>
      </c>
      <c r="G59" s="290">
        <f t="shared" si="0"/>
        <v>1515151</v>
      </c>
    </row>
    <row r="60" spans="1:7" ht="80.25" customHeight="1">
      <c r="A60" s="288" t="s">
        <v>372</v>
      </c>
      <c r="B60" s="288">
        <v>2059</v>
      </c>
      <c r="C60" s="289" t="s">
        <v>392</v>
      </c>
      <c r="D60" s="290">
        <v>114803</v>
      </c>
      <c r="E60" s="290">
        <v>88095</v>
      </c>
      <c r="F60" s="290">
        <v>0</v>
      </c>
      <c r="G60" s="290">
        <f t="shared" si="0"/>
        <v>202898</v>
      </c>
    </row>
    <row r="61" spans="1:7" s="31" customFormat="1" ht="28.5" customHeight="1">
      <c r="A61" s="282" t="s">
        <v>76</v>
      </c>
      <c r="B61" s="282" t="s">
        <v>372</v>
      </c>
      <c r="C61" s="300" t="s">
        <v>37</v>
      </c>
      <c r="D61" s="284">
        <v>7458022</v>
      </c>
      <c r="E61" s="284">
        <f>E62+E64</f>
        <v>748732</v>
      </c>
      <c r="F61" s="284">
        <v>0</v>
      </c>
      <c r="G61" s="284">
        <f t="shared" si="0"/>
        <v>8206754</v>
      </c>
    </row>
    <row r="62" spans="1:7" s="31" customFormat="1" ht="27" customHeight="1">
      <c r="A62" s="285">
        <v>85324</v>
      </c>
      <c r="B62" s="285" t="s">
        <v>372</v>
      </c>
      <c r="C62" s="286" t="s">
        <v>173</v>
      </c>
      <c r="D62" s="287">
        <v>256150</v>
      </c>
      <c r="E62" s="287">
        <f>E63</f>
        <v>116732</v>
      </c>
      <c r="F62" s="287">
        <v>0</v>
      </c>
      <c r="G62" s="287">
        <f t="shared" si="0"/>
        <v>372882</v>
      </c>
    </row>
    <row r="63" spans="1:7" ht="15" customHeight="1">
      <c r="A63" s="288" t="s">
        <v>372</v>
      </c>
      <c r="B63" s="288" t="s">
        <v>472</v>
      </c>
      <c r="C63" s="289" t="s">
        <v>473</v>
      </c>
      <c r="D63" s="290">
        <v>256150</v>
      </c>
      <c r="E63" s="290">
        <v>116732</v>
      </c>
      <c r="F63" s="290">
        <v>0</v>
      </c>
      <c r="G63" s="290">
        <f t="shared" si="0"/>
        <v>372882</v>
      </c>
    </row>
    <row r="64" spans="1:7" s="31" customFormat="1" ht="25.5" customHeight="1">
      <c r="A64" s="285">
        <v>85325</v>
      </c>
      <c r="B64" s="285" t="s">
        <v>372</v>
      </c>
      <c r="C64" s="286" t="s">
        <v>174</v>
      </c>
      <c r="D64" s="287">
        <v>1300000</v>
      </c>
      <c r="E64" s="287">
        <f>E65</f>
        <v>632000</v>
      </c>
      <c r="F64" s="287">
        <v>0</v>
      </c>
      <c r="G64" s="287">
        <f t="shared" si="0"/>
        <v>1932000</v>
      </c>
    </row>
    <row r="65" spans="1:7" ht="14.25" customHeight="1">
      <c r="A65" s="288" t="s">
        <v>372</v>
      </c>
      <c r="B65" s="288" t="s">
        <v>472</v>
      </c>
      <c r="C65" s="289" t="s">
        <v>473</v>
      </c>
      <c r="D65" s="290">
        <v>1300000</v>
      </c>
      <c r="E65" s="290">
        <v>632000</v>
      </c>
      <c r="F65" s="290">
        <v>0</v>
      </c>
      <c r="G65" s="290">
        <f t="shared" si="0"/>
        <v>1932000</v>
      </c>
    </row>
    <row r="66" spans="1:7" s="31" customFormat="1" ht="28.5" customHeight="1">
      <c r="A66" s="282" t="s">
        <v>222</v>
      </c>
      <c r="B66" s="282" t="s">
        <v>372</v>
      </c>
      <c r="C66" s="300" t="s">
        <v>39</v>
      </c>
      <c r="D66" s="284">
        <v>15263104</v>
      </c>
      <c r="E66" s="284">
        <v>0</v>
      </c>
      <c r="F66" s="284">
        <f>F67</f>
        <v>240000</v>
      </c>
      <c r="G66" s="284">
        <f t="shared" si="0"/>
        <v>15023104</v>
      </c>
    </row>
    <row r="67" spans="1:7" s="31" customFormat="1" ht="15" customHeight="1">
      <c r="A67" s="285">
        <v>92105</v>
      </c>
      <c r="B67" s="285" t="s">
        <v>372</v>
      </c>
      <c r="C67" s="286" t="s">
        <v>197</v>
      </c>
      <c r="D67" s="287">
        <v>470000</v>
      </c>
      <c r="E67" s="287">
        <v>0</v>
      </c>
      <c r="F67" s="287">
        <f>F68</f>
        <v>240000</v>
      </c>
      <c r="G67" s="287">
        <f t="shared" si="0"/>
        <v>230000</v>
      </c>
    </row>
    <row r="68" spans="1:7" ht="54.75" customHeight="1">
      <c r="A68" s="288" t="s">
        <v>372</v>
      </c>
      <c r="B68" s="288">
        <v>2710</v>
      </c>
      <c r="C68" s="289" t="s">
        <v>504</v>
      </c>
      <c r="D68" s="290">
        <v>470000</v>
      </c>
      <c r="E68" s="290">
        <v>0</v>
      </c>
      <c r="F68" s="290">
        <v>240000</v>
      </c>
      <c r="G68" s="290">
        <f t="shared" si="0"/>
        <v>230000</v>
      </c>
    </row>
    <row r="69" spans="1:7" s="31" customFormat="1" ht="45.75" customHeight="1">
      <c r="A69" s="282" t="s">
        <v>223</v>
      </c>
      <c r="B69" s="282" t="s">
        <v>372</v>
      </c>
      <c r="C69" s="300" t="s">
        <v>40</v>
      </c>
      <c r="D69" s="284">
        <v>2892501</v>
      </c>
      <c r="E69" s="284">
        <f>E70</f>
        <v>218468</v>
      </c>
      <c r="F69" s="284">
        <f>F70</f>
        <v>0</v>
      </c>
      <c r="G69" s="284">
        <f t="shared" si="0"/>
        <v>3110969</v>
      </c>
    </row>
    <row r="70" spans="1:7" s="31" customFormat="1" ht="13.5" customHeight="1">
      <c r="A70" s="285">
        <v>92502</v>
      </c>
      <c r="B70" s="285" t="s">
        <v>372</v>
      </c>
      <c r="C70" s="286" t="s">
        <v>192</v>
      </c>
      <c r="D70" s="287">
        <v>2892501</v>
      </c>
      <c r="E70" s="287">
        <f>E71+E72</f>
        <v>218468</v>
      </c>
      <c r="F70" s="287">
        <f>F71+F72</f>
        <v>0</v>
      </c>
      <c r="G70" s="287">
        <f t="shared" si="0"/>
        <v>3110969</v>
      </c>
    </row>
    <row r="71" spans="1:7" ht="15.75" customHeight="1">
      <c r="A71" s="288" t="s">
        <v>372</v>
      </c>
      <c r="B71" s="288" t="s">
        <v>472</v>
      </c>
      <c r="C71" s="289" t="s">
        <v>473</v>
      </c>
      <c r="D71" s="290">
        <v>106000</v>
      </c>
      <c r="E71" s="290">
        <v>40651</v>
      </c>
      <c r="F71" s="290">
        <v>0</v>
      </c>
      <c r="G71" s="290">
        <f t="shared" si="0"/>
        <v>146651</v>
      </c>
    </row>
    <row r="72" spans="1:7" ht="54.75" customHeight="1">
      <c r="A72" s="291" t="s">
        <v>372</v>
      </c>
      <c r="B72" s="291">
        <v>6309</v>
      </c>
      <c r="C72" s="292" t="s">
        <v>484</v>
      </c>
      <c r="D72" s="293">
        <v>125543</v>
      </c>
      <c r="E72" s="293">
        <v>177817</v>
      </c>
      <c r="F72" s="293">
        <v>0</v>
      </c>
      <c r="G72" s="293">
        <f t="shared" si="0"/>
        <v>303360</v>
      </c>
    </row>
    <row r="73" spans="1:7" ht="12.75">
      <c r="A73" s="301"/>
      <c r="B73" s="301"/>
      <c r="C73" s="302"/>
      <c r="D73" s="303"/>
      <c r="E73" s="303"/>
      <c r="F73" s="303"/>
      <c r="G73" s="303"/>
    </row>
  </sheetData>
  <sheetProtection password="C25B" sheet="1"/>
  <mergeCells count="1">
    <mergeCell ref="A5:G5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1"/>
  <sheetViews>
    <sheetView view="pageBreakPreview" zoomScaleSheetLayoutView="100" zoomScalePageLayoutView="0" workbookViewId="0" topLeftCell="A358">
      <selection activeCell="B390" sqref="B390:B392"/>
    </sheetView>
  </sheetViews>
  <sheetFormatPr defaultColWidth="8.796875" defaultRowHeight="14.25"/>
  <cols>
    <col min="1" max="1" width="7" style="1" customWidth="1"/>
    <col min="2" max="2" width="31.5" style="2" customWidth="1"/>
    <col min="3" max="3" width="3" style="1" customWidth="1"/>
    <col min="4" max="4" width="14.8984375" style="3" customWidth="1"/>
    <col min="5" max="5" width="13.3984375" style="2" customWidth="1"/>
    <col min="6" max="6" width="13.59765625" style="2" customWidth="1"/>
    <col min="7" max="7" width="13.19921875" style="2" customWidth="1"/>
    <col min="8" max="8" width="13.3984375" style="2" customWidth="1"/>
    <col min="9" max="9" width="13.19921875" style="2" customWidth="1"/>
    <col min="10" max="10" width="11.19921875" style="2" customWidth="1"/>
    <col min="11" max="11" width="14.3984375" style="2" customWidth="1"/>
    <col min="12" max="12" width="12.5" style="2" customWidth="1"/>
    <col min="13" max="13" width="13.3984375" style="2" customWidth="1"/>
    <col min="14" max="14" width="13.5" style="2" customWidth="1"/>
    <col min="15" max="15" width="13.69921875" style="2" customWidth="1"/>
    <col min="16" max="16" width="12.19921875" style="2" customWidth="1"/>
    <col min="17" max="16384" width="9" style="2" customWidth="1"/>
  </cols>
  <sheetData>
    <row r="1" spans="13:14" ht="12.75">
      <c r="M1" s="6" t="s">
        <v>409</v>
      </c>
      <c r="N1" s="6"/>
    </row>
    <row r="2" spans="13:14" ht="12.75">
      <c r="M2" s="4" t="s">
        <v>410</v>
      </c>
      <c r="N2" s="4"/>
    </row>
    <row r="3" spans="4:15" ht="12.75">
      <c r="D3" s="5"/>
      <c r="E3" s="7"/>
      <c r="F3" s="7"/>
      <c r="G3" s="7"/>
      <c r="H3" s="7"/>
      <c r="I3" s="7"/>
      <c r="J3" s="7"/>
      <c r="K3" s="7"/>
      <c r="L3" s="7"/>
      <c r="M3" s="4" t="s">
        <v>411</v>
      </c>
      <c r="N3" s="4"/>
      <c r="O3" s="7"/>
    </row>
    <row r="4" spans="4:15" ht="6.75" customHeight="1">
      <c r="D4" s="5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6" s="9" customFormat="1" ht="27" customHeight="1">
      <c r="A5" s="781" t="s">
        <v>214</v>
      </c>
      <c r="B5" s="781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</row>
    <row r="6" spans="1:16" s="9" customFormat="1" ht="7.5" customHeight="1">
      <c r="A6" s="8"/>
      <c r="B6" s="8"/>
      <c r="C6" s="1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ht="12.75">
      <c r="O7" s="2" t="s">
        <v>0</v>
      </c>
    </row>
    <row r="8" spans="1:16" s="31" customFormat="1" ht="16.5" customHeight="1">
      <c r="A8" s="782" t="s">
        <v>82</v>
      </c>
      <c r="B8" s="782" t="s">
        <v>83</v>
      </c>
      <c r="C8" s="790" t="s">
        <v>11</v>
      </c>
      <c r="D8" s="793" t="s">
        <v>84</v>
      </c>
      <c r="E8" s="794" t="s">
        <v>85</v>
      </c>
      <c r="F8" s="795"/>
      <c r="G8" s="795"/>
      <c r="H8" s="795"/>
      <c r="I8" s="795"/>
      <c r="J8" s="795"/>
      <c r="K8" s="795"/>
      <c r="L8" s="795"/>
      <c r="M8" s="795"/>
      <c r="N8" s="795"/>
      <c r="O8" s="795"/>
      <c r="P8" s="796"/>
    </row>
    <row r="9" spans="1:16" s="31" customFormat="1" ht="14.25" customHeight="1">
      <c r="A9" s="782"/>
      <c r="B9" s="782"/>
      <c r="C9" s="791"/>
      <c r="D9" s="793"/>
      <c r="E9" s="782" t="s">
        <v>48</v>
      </c>
      <c r="F9" s="789" t="s">
        <v>46</v>
      </c>
      <c r="G9" s="789"/>
      <c r="H9" s="789"/>
      <c r="I9" s="789"/>
      <c r="J9" s="789"/>
      <c r="K9" s="789"/>
      <c r="L9" s="789"/>
      <c r="M9" s="782" t="s">
        <v>86</v>
      </c>
      <c r="N9" s="789" t="s">
        <v>46</v>
      </c>
      <c r="O9" s="789"/>
      <c r="P9" s="789"/>
    </row>
    <row r="10" spans="1:16" s="31" customFormat="1" ht="14.25" customHeight="1">
      <c r="A10" s="782"/>
      <c r="B10" s="782"/>
      <c r="C10" s="791"/>
      <c r="D10" s="793"/>
      <c r="E10" s="782"/>
      <c r="F10" s="782" t="s">
        <v>87</v>
      </c>
      <c r="G10" s="789" t="s">
        <v>46</v>
      </c>
      <c r="H10" s="789"/>
      <c r="I10" s="782" t="s">
        <v>88</v>
      </c>
      <c r="J10" s="782" t="s">
        <v>89</v>
      </c>
      <c r="K10" s="782" t="s">
        <v>90</v>
      </c>
      <c r="L10" s="782" t="s">
        <v>91</v>
      </c>
      <c r="M10" s="782"/>
      <c r="N10" s="782" t="s">
        <v>203</v>
      </c>
      <c r="O10" s="56" t="s">
        <v>46</v>
      </c>
      <c r="P10" s="782" t="s">
        <v>92</v>
      </c>
    </row>
    <row r="11" spans="1:16" s="31" customFormat="1" ht="69" customHeight="1">
      <c r="A11" s="782"/>
      <c r="B11" s="782"/>
      <c r="C11" s="792"/>
      <c r="D11" s="793"/>
      <c r="E11" s="782"/>
      <c r="F11" s="782"/>
      <c r="G11" s="56" t="s">
        <v>47</v>
      </c>
      <c r="H11" s="56" t="s">
        <v>93</v>
      </c>
      <c r="I11" s="782"/>
      <c r="J11" s="782"/>
      <c r="K11" s="782"/>
      <c r="L11" s="782"/>
      <c r="M11" s="782"/>
      <c r="N11" s="782"/>
      <c r="O11" s="56" t="s">
        <v>90</v>
      </c>
      <c r="P11" s="782"/>
    </row>
    <row r="12" spans="1:16" s="32" customFormat="1" ht="12.75">
      <c r="A12" s="57">
        <v>1</v>
      </c>
      <c r="B12" s="57">
        <v>2</v>
      </c>
      <c r="C12" s="57"/>
      <c r="D12" s="58">
        <v>3</v>
      </c>
      <c r="E12" s="57">
        <v>4</v>
      </c>
      <c r="F12" s="57">
        <v>5</v>
      </c>
      <c r="G12" s="57">
        <v>6</v>
      </c>
      <c r="H12" s="57">
        <v>7</v>
      </c>
      <c r="I12" s="57">
        <v>8</v>
      </c>
      <c r="J12" s="57">
        <v>9</v>
      </c>
      <c r="K12" s="57">
        <v>10</v>
      </c>
      <c r="L12" s="57">
        <v>11</v>
      </c>
      <c r="M12" s="57">
        <v>12</v>
      </c>
      <c r="N12" s="57">
        <v>13</v>
      </c>
      <c r="O12" s="57">
        <v>14</v>
      </c>
      <c r="P12" s="57">
        <v>15</v>
      </c>
    </row>
    <row r="13" spans="1:16" s="33" customFormat="1" ht="12.75">
      <c r="A13" s="59"/>
      <c r="B13" s="60"/>
      <c r="C13" s="72"/>
      <c r="D13" s="85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1:21" s="47" customFormat="1" ht="15.75">
      <c r="A14" s="783"/>
      <c r="B14" s="786" t="s">
        <v>12</v>
      </c>
      <c r="C14" s="73" t="s">
        <v>13</v>
      </c>
      <c r="D14" s="87">
        <f aca="true" t="shared" si="0" ref="D14:P14">D18+D39+D48+D60+D66+D93+D102+D108+D123+D138+D159+D165+D171+D180+D186+D228+D261+D279+D297+D324+D333+D357+D390+D396+D129</f>
        <v>1150820209.07</v>
      </c>
      <c r="E14" s="87">
        <f t="shared" si="0"/>
        <v>703124721.0699999</v>
      </c>
      <c r="F14" s="87">
        <f t="shared" si="0"/>
        <v>258237450.07</v>
      </c>
      <c r="G14" s="87">
        <f t="shared" si="0"/>
        <v>151788624</v>
      </c>
      <c r="H14" s="87">
        <f t="shared" si="0"/>
        <v>106448826.07</v>
      </c>
      <c r="I14" s="87">
        <f t="shared" si="0"/>
        <v>246838252</v>
      </c>
      <c r="J14" s="87">
        <f t="shared" si="0"/>
        <v>3294964</v>
      </c>
      <c r="K14" s="87">
        <f t="shared" si="0"/>
        <v>152561897</v>
      </c>
      <c r="L14" s="87">
        <f t="shared" si="0"/>
        <v>42192158</v>
      </c>
      <c r="M14" s="87">
        <f t="shared" si="0"/>
        <v>447695488</v>
      </c>
      <c r="N14" s="87">
        <f t="shared" si="0"/>
        <v>426603587</v>
      </c>
      <c r="O14" s="87">
        <f t="shared" si="0"/>
        <v>295929490</v>
      </c>
      <c r="P14" s="87">
        <f t="shared" si="0"/>
        <v>21091901</v>
      </c>
      <c r="Q14" s="46"/>
      <c r="R14" s="46"/>
      <c r="S14" s="46"/>
      <c r="T14" s="46"/>
      <c r="U14" s="46"/>
    </row>
    <row r="15" spans="1:21" s="47" customFormat="1" ht="15.75">
      <c r="A15" s="784"/>
      <c r="B15" s="787"/>
      <c r="C15" s="73" t="s">
        <v>14</v>
      </c>
      <c r="D15" s="87">
        <f aca="true" t="shared" si="1" ref="D15:P15">D19+D40+D49+D61+D67+D94+D103+D109+D124+D139+D160+D166+D172+D181+D187+D229+D262+D280+D298+D325+D334+D358+D391+D397+D130</f>
        <v>72244108</v>
      </c>
      <c r="E15" s="87">
        <f t="shared" si="1"/>
        <v>62978449</v>
      </c>
      <c r="F15" s="87">
        <f t="shared" si="1"/>
        <v>17873421</v>
      </c>
      <c r="G15" s="87">
        <f t="shared" si="1"/>
        <v>668732</v>
      </c>
      <c r="H15" s="87">
        <f t="shared" si="1"/>
        <v>17204689</v>
      </c>
      <c r="I15" s="87">
        <f t="shared" si="1"/>
        <v>-1043495</v>
      </c>
      <c r="J15" s="87">
        <f t="shared" si="1"/>
        <v>0</v>
      </c>
      <c r="K15" s="87">
        <f t="shared" si="1"/>
        <v>46148523</v>
      </c>
      <c r="L15" s="87">
        <f t="shared" si="1"/>
        <v>0</v>
      </c>
      <c r="M15" s="87">
        <f t="shared" si="1"/>
        <v>9265659</v>
      </c>
      <c r="N15" s="87">
        <f t="shared" si="1"/>
        <v>7870659</v>
      </c>
      <c r="O15" s="87">
        <f t="shared" si="1"/>
        <v>-558705</v>
      </c>
      <c r="P15" s="87">
        <f t="shared" si="1"/>
        <v>1395000</v>
      </c>
      <c r="Q15" s="46"/>
      <c r="R15" s="46"/>
      <c r="S15" s="46"/>
      <c r="T15" s="46"/>
      <c r="U15" s="46"/>
    </row>
    <row r="16" spans="1:21" s="47" customFormat="1" ht="15.75">
      <c r="A16" s="785"/>
      <c r="B16" s="788"/>
      <c r="C16" s="73" t="s">
        <v>15</v>
      </c>
      <c r="D16" s="87">
        <f aca="true" t="shared" si="2" ref="D16:O16">D14+D15</f>
        <v>1223064317.07</v>
      </c>
      <c r="E16" s="87">
        <f t="shared" si="2"/>
        <v>766103170.0699999</v>
      </c>
      <c r="F16" s="87">
        <f t="shared" si="2"/>
        <v>276110871.07</v>
      </c>
      <c r="G16" s="87">
        <f t="shared" si="2"/>
        <v>152457356</v>
      </c>
      <c r="H16" s="87">
        <f t="shared" si="2"/>
        <v>123653515.07</v>
      </c>
      <c r="I16" s="87">
        <f t="shared" si="2"/>
        <v>245794757</v>
      </c>
      <c r="J16" s="87">
        <f t="shared" si="2"/>
        <v>3294964</v>
      </c>
      <c r="K16" s="87">
        <f t="shared" si="2"/>
        <v>198710420</v>
      </c>
      <c r="L16" s="87">
        <f t="shared" si="2"/>
        <v>42192158</v>
      </c>
      <c r="M16" s="87">
        <f t="shared" si="2"/>
        <v>456961147</v>
      </c>
      <c r="N16" s="87">
        <f t="shared" si="2"/>
        <v>434474246</v>
      </c>
      <c r="O16" s="87">
        <f t="shared" si="2"/>
        <v>295370785</v>
      </c>
      <c r="P16" s="87">
        <f>P14+P15</f>
        <v>22486901</v>
      </c>
      <c r="Q16" s="46"/>
      <c r="R16" s="46"/>
      <c r="S16" s="46"/>
      <c r="T16" s="46"/>
      <c r="U16" s="46"/>
    </row>
    <row r="17" spans="1:21" s="33" customFormat="1" ht="12.75" hidden="1">
      <c r="A17" s="61"/>
      <c r="B17" s="62"/>
      <c r="C17" s="74"/>
      <c r="D17" s="85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39"/>
      <c r="R17" s="39"/>
      <c r="S17" s="39"/>
      <c r="T17" s="39"/>
      <c r="U17" s="39"/>
    </row>
    <row r="18" spans="1:21" s="49" customFormat="1" ht="14.25" hidden="1">
      <c r="A18" s="778" t="s">
        <v>16</v>
      </c>
      <c r="B18" s="757" t="s">
        <v>17</v>
      </c>
      <c r="C18" s="75" t="s">
        <v>13</v>
      </c>
      <c r="D18" s="89">
        <f>D27+D30+D33+D36+D21+D24</f>
        <v>14203776.07</v>
      </c>
      <c r="E18" s="83">
        <f aca="true" t="shared" si="3" ref="E18:P19">E27+E30+E33+E36+E21+E24</f>
        <v>8201276.07</v>
      </c>
      <c r="F18" s="83">
        <f t="shared" si="3"/>
        <v>1102717.07</v>
      </c>
      <c r="G18" s="83">
        <f t="shared" si="3"/>
        <v>528000</v>
      </c>
      <c r="H18" s="83">
        <f t="shared" si="3"/>
        <v>574717.0700000001</v>
      </c>
      <c r="I18" s="83">
        <f t="shared" si="3"/>
        <v>1358000</v>
      </c>
      <c r="J18" s="83">
        <f t="shared" si="3"/>
        <v>0</v>
      </c>
      <c r="K18" s="83">
        <f t="shared" si="3"/>
        <v>5740559</v>
      </c>
      <c r="L18" s="83">
        <f t="shared" si="3"/>
        <v>0</v>
      </c>
      <c r="M18" s="83">
        <f t="shared" si="3"/>
        <v>6002500</v>
      </c>
      <c r="N18" s="83">
        <f t="shared" si="3"/>
        <v>6002500</v>
      </c>
      <c r="O18" s="83">
        <f t="shared" si="3"/>
        <v>0</v>
      </c>
      <c r="P18" s="83">
        <f t="shared" si="3"/>
        <v>0</v>
      </c>
      <c r="Q18" s="63"/>
      <c r="R18" s="63"/>
      <c r="S18" s="48"/>
      <c r="T18" s="48"/>
      <c r="U18" s="48"/>
    </row>
    <row r="19" spans="1:21" s="49" customFormat="1" ht="14.25" hidden="1">
      <c r="A19" s="779"/>
      <c r="B19" s="758"/>
      <c r="C19" s="75" t="s">
        <v>14</v>
      </c>
      <c r="D19" s="89">
        <f>D28+D31+D34+D37+D22+D25</f>
        <v>0</v>
      </c>
      <c r="E19" s="83">
        <f t="shared" si="3"/>
        <v>0</v>
      </c>
      <c r="F19" s="83">
        <f t="shared" si="3"/>
        <v>0</v>
      </c>
      <c r="G19" s="83">
        <f t="shared" si="3"/>
        <v>0</v>
      </c>
      <c r="H19" s="83">
        <f t="shared" si="3"/>
        <v>0</v>
      </c>
      <c r="I19" s="83">
        <f t="shared" si="3"/>
        <v>0</v>
      </c>
      <c r="J19" s="83">
        <f t="shared" si="3"/>
        <v>0</v>
      </c>
      <c r="K19" s="83">
        <f t="shared" si="3"/>
        <v>0</v>
      </c>
      <c r="L19" s="83">
        <f t="shared" si="3"/>
        <v>0</v>
      </c>
      <c r="M19" s="83">
        <f t="shared" si="3"/>
        <v>0</v>
      </c>
      <c r="N19" s="83">
        <f t="shared" si="3"/>
        <v>0</v>
      </c>
      <c r="O19" s="83">
        <f t="shared" si="3"/>
        <v>0</v>
      </c>
      <c r="P19" s="83">
        <f t="shared" si="3"/>
        <v>0</v>
      </c>
      <c r="Q19" s="63"/>
      <c r="R19" s="63"/>
      <c r="S19" s="48"/>
      <c r="T19" s="48"/>
      <c r="U19" s="48"/>
    </row>
    <row r="20" spans="1:21" s="49" customFormat="1" ht="14.25" hidden="1">
      <c r="A20" s="780"/>
      <c r="B20" s="759"/>
      <c r="C20" s="75" t="s">
        <v>15</v>
      </c>
      <c r="D20" s="90">
        <f aca="true" t="shared" si="4" ref="D20:O20">D18+D19</f>
        <v>14203776.07</v>
      </c>
      <c r="E20" s="83">
        <f t="shared" si="4"/>
        <v>8201276.07</v>
      </c>
      <c r="F20" s="83">
        <f t="shared" si="4"/>
        <v>1102717.07</v>
      </c>
      <c r="G20" s="83">
        <f t="shared" si="4"/>
        <v>528000</v>
      </c>
      <c r="H20" s="83">
        <f t="shared" si="4"/>
        <v>574717.0700000001</v>
      </c>
      <c r="I20" s="83">
        <f t="shared" si="4"/>
        <v>1358000</v>
      </c>
      <c r="J20" s="83">
        <f t="shared" si="4"/>
        <v>0</v>
      </c>
      <c r="K20" s="83">
        <f t="shared" si="4"/>
        <v>5740559</v>
      </c>
      <c r="L20" s="83">
        <f t="shared" si="4"/>
        <v>0</v>
      </c>
      <c r="M20" s="83">
        <f t="shared" si="4"/>
        <v>6002500</v>
      </c>
      <c r="N20" s="83">
        <f t="shared" si="4"/>
        <v>6002500</v>
      </c>
      <c r="O20" s="83">
        <f t="shared" si="4"/>
        <v>0</v>
      </c>
      <c r="P20" s="83">
        <f>P18+P19</f>
        <v>0</v>
      </c>
      <c r="Q20" s="63"/>
      <c r="R20" s="63"/>
      <c r="S20" s="48"/>
      <c r="T20" s="48"/>
      <c r="U20" s="48"/>
    </row>
    <row r="21" spans="1:21" s="33" customFormat="1" ht="12.75" hidden="1">
      <c r="A21" s="769" t="s">
        <v>216</v>
      </c>
      <c r="B21" s="751" t="s">
        <v>217</v>
      </c>
      <c r="C21" s="74" t="s">
        <v>13</v>
      </c>
      <c r="D21" s="85">
        <f>E21+M21</f>
        <v>151158</v>
      </c>
      <c r="E21" s="88">
        <f>F21+I21+J21+K21+L21</f>
        <v>151158</v>
      </c>
      <c r="F21" s="88">
        <f>G21+H21</f>
        <v>151158</v>
      </c>
      <c r="G21" s="88">
        <v>0</v>
      </c>
      <c r="H21" s="88">
        <v>151158</v>
      </c>
      <c r="I21" s="88">
        <v>0</v>
      </c>
      <c r="J21" s="88">
        <v>0</v>
      </c>
      <c r="K21" s="88">
        <v>0</v>
      </c>
      <c r="L21" s="88">
        <v>0</v>
      </c>
      <c r="M21" s="88">
        <f>N21+P21</f>
        <v>0</v>
      </c>
      <c r="N21" s="88">
        <v>0</v>
      </c>
      <c r="O21" s="88">
        <v>0</v>
      </c>
      <c r="P21" s="88">
        <v>0</v>
      </c>
      <c r="Q21" s="52"/>
      <c r="R21" s="52"/>
      <c r="S21" s="39"/>
      <c r="T21" s="39"/>
      <c r="U21" s="39"/>
    </row>
    <row r="22" spans="1:21" s="33" customFormat="1" ht="12.75" hidden="1">
      <c r="A22" s="770"/>
      <c r="B22" s="752"/>
      <c r="C22" s="74" t="s">
        <v>14</v>
      </c>
      <c r="D22" s="85">
        <f>E22+M22</f>
        <v>0</v>
      </c>
      <c r="E22" s="88">
        <f>F22+I22+J22+K22+L22</f>
        <v>0</v>
      </c>
      <c r="F22" s="88">
        <f>G22+H22</f>
        <v>0</v>
      </c>
      <c r="G22" s="88"/>
      <c r="H22" s="88"/>
      <c r="I22" s="88"/>
      <c r="J22" s="88"/>
      <c r="K22" s="88"/>
      <c r="L22" s="88"/>
      <c r="M22" s="88">
        <f>N22+P22</f>
        <v>0</v>
      </c>
      <c r="N22" s="88"/>
      <c r="O22" s="88"/>
      <c r="P22" s="88"/>
      <c r="Q22" s="52"/>
      <c r="R22" s="52"/>
      <c r="S22" s="39"/>
      <c r="T22" s="39"/>
      <c r="U22" s="39"/>
    </row>
    <row r="23" spans="1:21" s="33" customFormat="1" ht="12.75" hidden="1">
      <c r="A23" s="771"/>
      <c r="B23" s="753"/>
      <c r="C23" s="74" t="s">
        <v>15</v>
      </c>
      <c r="D23" s="85">
        <f>D21+D22</f>
        <v>151158</v>
      </c>
      <c r="E23" s="88">
        <f>E21+E22</f>
        <v>151158</v>
      </c>
      <c r="F23" s="88">
        <f aca="true" t="shared" si="5" ref="F23:P23">F21+F22</f>
        <v>151158</v>
      </c>
      <c r="G23" s="88">
        <f t="shared" si="5"/>
        <v>0</v>
      </c>
      <c r="H23" s="88">
        <f t="shared" si="5"/>
        <v>151158</v>
      </c>
      <c r="I23" s="88">
        <f t="shared" si="5"/>
        <v>0</v>
      </c>
      <c r="J23" s="88">
        <f t="shared" si="5"/>
        <v>0</v>
      </c>
      <c r="K23" s="88">
        <f t="shared" si="5"/>
        <v>0</v>
      </c>
      <c r="L23" s="88">
        <f t="shared" si="5"/>
        <v>0</v>
      </c>
      <c r="M23" s="88">
        <f t="shared" si="5"/>
        <v>0</v>
      </c>
      <c r="N23" s="88">
        <f t="shared" si="5"/>
        <v>0</v>
      </c>
      <c r="O23" s="88">
        <f t="shared" si="5"/>
        <v>0</v>
      </c>
      <c r="P23" s="88">
        <f t="shared" si="5"/>
        <v>0</v>
      </c>
      <c r="Q23" s="52"/>
      <c r="R23" s="52"/>
      <c r="S23" s="39"/>
      <c r="T23" s="39"/>
      <c r="U23" s="39"/>
    </row>
    <row r="24" spans="1:21" s="33" customFormat="1" ht="12.75" hidden="1">
      <c r="A24" s="769" t="s">
        <v>218</v>
      </c>
      <c r="B24" s="751" t="s">
        <v>219</v>
      </c>
      <c r="C24" s="74" t="s">
        <v>13</v>
      </c>
      <c r="D24" s="85">
        <f>E24+M24</f>
        <v>140559</v>
      </c>
      <c r="E24" s="88">
        <f>F24+I24+J24+K24+L24</f>
        <v>140559</v>
      </c>
      <c r="F24" s="88">
        <f>G24+H24</f>
        <v>0</v>
      </c>
      <c r="G24" s="88">
        <v>0</v>
      </c>
      <c r="H24" s="88">
        <v>0</v>
      </c>
      <c r="I24" s="88">
        <v>0</v>
      </c>
      <c r="J24" s="88">
        <v>0</v>
      </c>
      <c r="K24" s="88">
        <v>140559</v>
      </c>
      <c r="L24" s="88">
        <v>0</v>
      </c>
      <c r="M24" s="88">
        <f>N24+P24</f>
        <v>0</v>
      </c>
      <c r="N24" s="88">
        <v>0</v>
      </c>
      <c r="O24" s="88">
        <v>0</v>
      </c>
      <c r="P24" s="88">
        <v>0</v>
      </c>
      <c r="Q24" s="52"/>
      <c r="R24" s="52"/>
      <c r="S24" s="39"/>
      <c r="T24" s="39"/>
      <c r="U24" s="39"/>
    </row>
    <row r="25" spans="1:21" s="33" customFormat="1" ht="12.75" hidden="1">
      <c r="A25" s="770"/>
      <c r="B25" s="752"/>
      <c r="C25" s="74" t="s">
        <v>14</v>
      </c>
      <c r="D25" s="85">
        <f>E25+M25</f>
        <v>0</v>
      </c>
      <c r="E25" s="88">
        <f>F25+I25+J25+K25+L25</f>
        <v>0</v>
      </c>
      <c r="F25" s="88">
        <f>G25+H25</f>
        <v>0</v>
      </c>
      <c r="G25" s="88"/>
      <c r="H25" s="88"/>
      <c r="I25" s="88"/>
      <c r="J25" s="88"/>
      <c r="K25" s="88"/>
      <c r="L25" s="88"/>
      <c r="M25" s="88">
        <f>N25+P25</f>
        <v>0</v>
      </c>
      <c r="N25" s="88"/>
      <c r="O25" s="88"/>
      <c r="P25" s="88"/>
      <c r="Q25" s="52"/>
      <c r="R25" s="52"/>
      <c r="S25" s="39"/>
      <c r="T25" s="39"/>
      <c r="U25" s="39"/>
    </row>
    <row r="26" spans="1:21" s="33" customFormat="1" ht="12.75" hidden="1">
      <c r="A26" s="771"/>
      <c r="B26" s="753"/>
      <c r="C26" s="74" t="s">
        <v>15</v>
      </c>
      <c r="D26" s="85">
        <f>D24+D25</f>
        <v>140559</v>
      </c>
      <c r="E26" s="88">
        <f>E24+E25</f>
        <v>140559</v>
      </c>
      <c r="F26" s="88">
        <f aca="true" t="shared" si="6" ref="F26:P26">F24+F25</f>
        <v>0</v>
      </c>
      <c r="G26" s="88">
        <f t="shared" si="6"/>
        <v>0</v>
      </c>
      <c r="H26" s="88">
        <f t="shared" si="6"/>
        <v>0</v>
      </c>
      <c r="I26" s="88">
        <f t="shared" si="6"/>
        <v>0</v>
      </c>
      <c r="J26" s="88">
        <f t="shared" si="6"/>
        <v>0</v>
      </c>
      <c r="K26" s="88">
        <f t="shared" si="6"/>
        <v>140559</v>
      </c>
      <c r="L26" s="88">
        <f t="shared" si="6"/>
        <v>0</v>
      </c>
      <c r="M26" s="88">
        <f t="shared" si="6"/>
        <v>0</v>
      </c>
      <c r="N26" s="88">
        <f t="shared" si="6"/>
        <v>0</v>
      </c>
      <c r="O26" s="88">
        <f t="shared" si="6"/>
        <v>0</v>
      </c>
      <c r="P26" s="88">
        <f t="shared" si="6"/>
        <v>0</v>
      </c>
      <c r="Q26" s="52"/>
      <c r="R26" s="52"/>
      <c r="S26" s="39"/>
      <c r="T26" s="39"/>
      <c r="U26" s="39"/>
    </row>
    <row r="27" spans="1:21" s="33" customFormat="1" ht="12.75" hidden="1">
      <c r="A27" s="772" t="s">
        <v>94</v>
      </c>
      <c r="B27" s="751" t="s">
        <v>95</v>
      </c>
      <c r="C27" s="74" t="s">
        <v>13</v>
      </c>
      <c r="D27" s="85">
        <f>E27+M27</f>
        <v>1300000</v>
      </c>
      <c r="E27" s="88">
        <f>F27+I27+J27+K27+L27</f>
        <v>1300000</v>
      </c>
      <c r="F27" s="88">
        <f>G27+H27</f>
        <v>0</v>
      </c>
      <c r="G27" s="88">
        <v>0</v>
      </c>
      <c r="H27" s="88">
        <v>0</v>
      </c>
      <c r="I27" s="88">
        <v>1300000</v>
      </c>
      <c r="J27" s="88">
        <v>0</v>
      </c>
      <c r="K27" s="88">
        <v>0</v>
      </c>
      <c r="L27" s="88">
        <v>0</v>
      </c>
      <c r="M27" s="88">
        <f>N27+P27</f>
        <v>0</v>
      </c>
      <c r="N27" s="88">
        <v>0</v>
      </c>
      <c r="O27" s="88">
        <v>0</v>
      </c>
      <c r="P27" s="88">
        <v>0</v>
      </c>
      <c r="Q27" s="52"/>
      <c r="R27" s="52"/>
      <c r="S27" s="39"/>
      <c r="T27" s="39"/>
      <c r="U27" s="39"/>
    </row>
    <row r="28" spans="1:21" s="33" customFormat="1" ht="12.75" hidden="1">
      <c r="A28" s="773"/>
      <c r="B28" s="752"/>
      <c r="C28" s="74" t="s">
        <v>14</v>
      </c>
      <c r="D28" s="85">
        <f>E28+M28</f>
        <v>0</v>
      </c>
      <c r="E28" s="88">
        <f>F28+I28+J28+K28+L28</f>
        <v>0</v>
      </c>
      <c r="F28" s="88">
        <f>G28+H28</f>
        <v>0</v>
      </c>
      <c r="G28" s="88"/>
      <c r="H28" s="88"/>
      <c r="I28" s="88"/>
      <c r="J28" s="88"/>
      <c r="K28" s="88"/>
      <c r="L28" s="88"/>
      <c r="M28" s="88">
        <f>N28+P28</f>
        <v>0</v>
      </c>
      <c r="N28" s="88"/>
      <c r="O28" s="88"/>
      <c r="P28" s="88"/>
      <c r="Q28" s="52"/>
      <c r="R28" s="52"/>
      <c r="S28" s="39"/>
      <c r="T28" s="39"/>
      <c r="U28" s="39"/>
    </row>
    <row r="29" spans="1:21" s="33" customFormat="1" ht="12.75" hidden="1">
      <c r="A29" s="774"/>
      <c r="B29" s="753"/>
      <c r="C29" s="74" t="s">
        <v>15</v>
      </c>
      <c r="D29" s="85">
        <f>D27+D28</f>
        <v>1300000</v>
      </c>
      <c r="E29" s="88">
        <f>E27+E28</f>
        <v>1300000</v>
      </c>
      <c r="F29" s="88">
        <f aca="true" t="shared" si="7" ref="F29:P29">F27+F28</f>
        <v>0</v>
      </c>
      <c r="G29" s="88">
        <f t="shared" si="7"/>
        <v>0</v>
      </c>
      <c r="H29" s="88">
        <f t="shared" si="7"/>
        <v>0</v>
      </c>
      <c r="I29" s="88">
        <f t="shared" si="7"/>
        <v>1300000</v>
      </c>
      <c r="J29" s="88">
        <f t="shared" si="7"/>
        <v>0</v>
      </c>
      <c r="K29" s="88">
        <f t="shared" si="7"/>
        <v>0</v>
      </c>
      <c r="L29" s="88">
        <f t="shared" si="7"/>
        <v>0</v>
      </c>
      <c r="M29" s="88">
        <f t="shared" si="7"/>
        <v>0</v>
      </c>
      <c r="N29" s="88">
        <f t="shared" si="7"/>
        <v>0</v>
      </c>
      <c r="O29" s="88">
        <f t="shared" si="7"/>
        <v>0</v>
      </c>
      <c r="P29" s="88">
        <f t="shared" si="7"/>
        <v>0</v>
      </c>
      <c r="Q29" s="52"/>
      <c r="R29" s="52"/>
      <c r="S29" s="39"/>
      <c r="T29" s="39"/>
      <c r="U29" s="39"/>
    </row>
    <row r="30" spans="1:21" s="33" customFormat="1" ht="12.75" hidden="1">
      <c r="A30" s="772" t="s">
        <v>96</v>
      </c>
      <c r="B30" s="751" t="s">
        <v>97</v>
      </c>
      <c r="C30" s="74" t="s">
        <v>13</v>
      </c>
      <c r="D30" s="85">
        <f>E30+M30</f>
        <v>5610500</v>
      </c>
      <c r="E30" s="88">
        <f>F30+I30+J30+K30+L30</f>
        <v>5608000</v>
      </c>
      <c r="F30" s="88">
        <f>G30+H30</f>
        <v>0</v>
      </c>
      <c r="G30" s="88">
        <v>0</v>
      </c>
      <c r="H30" s="88">
        <v>0</v>
      </c>
      <c r="I30" s="88">
        <v>8000</v>
      </c>
      <c r="J30" s="88">
        <v>0</v>
      </c>
      <c r="K30" s="88">
        <v>5600000</v>
      </c>
      <c r="L30" s="88">
        <v>0</v>
      </c>
      <c r="M30" s="88">
        <f>N30+P30</f>
        <v>2500</v>
      </c>
      <c r="N30" s="88">
        <v>2500</v>
      </c>
      <c r="O30" s="88">
        <v>0</v>
      </c>
      <c r="P30" s="88">
        <v>0</v>
      </c>
      <c r="Q30" s="52"/>
      <c r="R30" s="52"/>
      <c r="S30" s="39"/>
      <c r="T30" s="39"/>
      <c r="U30" s="39"/>
    </row>
    <row r="31" spans="1:21" s="33" customFormat="1" ht="12.75" hidden="1">
      <c r="A31" s="773"/>
      <c r="B31" s="752"/>
      <c r="C31" s="74" t="s">
        <v>14</v>
      </c>
      <c r="D31" s="85">
        <f>E31+M31</f>
        <v>0</v>
      </c>
      <c r="E31" s="88">
        <f>F31+I31+J31+K31+L31</f>
        <v>0</v>
      </c>
      <c r="F31" s="88">
        <f>G31+H31</f>
        <v>0</v>
      </c>
      <c r="G31" s="88"/>
      <c r="H31" s="88"/>
      <c r="I31" s="88"/>
      <c r="J31" s="88"/>
      <c r="K31" s="88"/>
      <c r="L31" s="88"/>
      <c r="M31" s="88">
        <f>N31+P31</f>
        <v>0</v>
      </c>
      <c r="N31" s="88"/>
      <c r="O31" s="88"/>
      <c r="P31" s="88"/>
      <c r="Q31" s="52"/>
      <c r="R31" s="52"/>
      <c r="S31" s="39"/>
      <c r="T31" s="39"/>
      <c r="U31" s="39"/>
    </row>
    <row r="32" spans="1:21" s="33" customFormat="1" ht="12.75" hidden="1">
      <c r="A32" s="774"/>
      <c r="B32" s="753"/>
      <c r="C32" s="74" t="s">
        <v>15</v>
      </c>
      <c r="D32" s="85">
        <f>D30+D31</f>
        <v>5610500</v>
      </c>
      <c r="E32" s="88">
        <f>E30+E31</f>
        <v>5608000</v>
      </c>
      <c r="F32" s="88">
        <f aca="true" t="shared" si="8" ref="F32:P32">F30+F31</f>
        <v>0</v>
      </c>
      <c r="G32" s="88">
        <f t="shared" si="8"/>
        <v>0</v>
      </c>
      <c r="H32" s="88">
        <f t="shared" si="8"/>
        <v>0</v>
      </c>
      <c r="I32" s="88">
        <f t="shared" si="8"/>
        <v>8000</v>
      </c>
      <c r="J32" s="88">
        <f t="shared" si="8"/>
        <v>0</v>
      </c>
      <c r="K32" s="88">
        <f t="shared" si="8"/>
        <v>5600000</v>
      </c>
      <c r="L32" s="88">
        <f t="shared" si="8"/>
        <v>0</v>
      </c>
      <c r="M32" s="88">
        <f t="shared" si="8"/>
        <v>2500</v>
      </c>
      <c r="N32" s="88">
        <f t="shared" si="8"/>
        <v>2500</v>
      </c>
      <c r="O32" s="88">
        <f t="shared" si="8"/>
        <v>0</v>
      </c>
      <c r="P32" s="88">
        <f t="shared" si="8"/>
        <v>0</v>
      </c>
      <c r="Q32" s="52"/>
      <c r="R32" s="52"/>
      <c r="S32" s="39"/>
      <c r="T32" s="39"/>
      <c r="U32" s="39"/>
    </row>
    <row r="33" spans="1:21" s="33" customFormat="1" ht="12.75" hidden="1">
      <c r="A33" s="772" t="s">
        <v>18</v>
      </c>
      <c r="B33" s="751" t="s">
        <v>98</v>
      </c>
      <c r="C33" s="74" t="s">
        <v>13</v>
      </c>
      <c r="D33" s="85">
        <f>E33+M33</f>
        <v>6550000</v>
      </c>
      <c r="E33" s="88">
        <f>F33+I33+J33+K33+L33</f>
        <v>550000</v>
      </c>
      <c r="F33" s="88">
        <f>G33+H33</f>
        <v>550000</v>
      </c>
      <c r="G33" s="88">
        <v>528000</v>
      </c>
      <c r="H33" s="88">
        <v>22000</v>
      </c>
      <c r="I33" s="88">
        <v>0</v>
      </c>
      <c r="J33" s="88">
        <v>0</v>
      </c>
      <c r="K33" s="88">
        <v>0</v>
      </c>
      <c r="L33" s="88">
        <v>0</v>
      </c>
      <c r="M33" s="88">
        <f>N33+P33</f>
        <v>6000000</v>
      </c>
      <c r="N33" s="88">
        <v>6000000</v>
      </c>
      <c r="O33" s="88">
        <v>0</v>
      </c>
      <c r="P33" s="88">
        <v>0</v>
      </c>
      <c r="Q33" s="52"/>
      <c r="R33" s="52"/>
      <c r="S33" s="39"/>
      <c r="T33" s="39"/>
      <c r="U33" s="39"/>
    </row>
    <row r="34" spans="1:21" s="33" customFormat="1" ht="12.75" hidden="1">
      <c r="A34" s="773"/>
      <c r="B34" s="752"/>
      <c r="C34" s="74" t="s">
        <v>14</v>
      </c>
      <c r="D34" s="85">
        <f>E34+M34</f>
        <v>0</v>
      </c>
      <c r="E34" s="88">
        <f>F34+I34+J34+K34+L34</f>
        <v>0</v>
      </c>
      <c r="F34" s="88">
        <f>G34+H34</f>
        <v>0</v>
      </c>
      <c r="G34" s="88"/>
      <c r="H34" s="88"/>
      <c r="I34" s="88"/>
      <c r="J34" s="88"/>
      <c r="K34" s="88"/>
      <c r="L34" s="88"/>
      <c r="M34" s="88">
        <f>N34+P34</f>
        <v>0</v>
      </c>
      <c r="N34" s="88"/>
      <c r="O34" s="88"/>
      <c r="P34" s="88"/>
      <c r="Q34" s="52"/>
      <c r="R34" s="52"/>
      <c r="S34" s="39"/>
      <c r="T34" s="39"/>
      <c r="U34" s="39"/>
    </row>
    <row r="35" spans="1:21" s="33" customFormat="1" ht="12.75" hidden="1">
      <c r="A35" s="774"/>
      <c r="B35" s="753"/>
      <c r="C35" s="74" t="s">
        <v>15</v>
      </c>
      <c r="D35" s="85">
        <f>D33+D34</f>
        <v>6550000</v>
      </c>
      <c r="E35" s="88">
        <f>E33+E34</f>
        <v>550000</v>
      </c>
      <c r="F35" s="88">
        <f aca="true" t="shared" si="9" ref="F35:P35">F33+F34</f>
        <v>550000</v>
      </c>
      <c r="G35" s="88">
        <f t="shared" si="9"/>
        <v>528000</v>
      </c>
      <c r="H35" s="88">
        <f t="shared" si="9"/>
        <v>22000</v>
      </c>
      <c r="I35" s="88">
        <f t="shared" si="9"/>
        <v>0</v>
      </c>
      <c r="J35" s="88">
        <f t="shared" si="9"/>
        <v>0</v>
      </c>
      <c r="K35" s="88">
        <f t="shared" si="9"/>
        <v>0</v>
      </c>
      <c r="L35" s="88">
        <f t="shared" si="9"/>
        <v>0</v>
      </c>
      <c r="M35" s="88">
        <f t="shared" si="9"/>
        <v>6000000</v>
      </c>
      <c r="N35" s="88">
        <f t="shared" si="9"/>
        <v>6000000</v>
      </c>
      <c r="O35" s="88">
        <f t="shared" si="9"/>
        <v>0</v>
      </c>
      <c r="P35" s="88">
        <f t="shared" si="9"/>
        <v>0</v>
      </c>
      <c r="Q35" s="52"/>
      <c r="R35" s="52"/>
      <c r="S35" s="39"/>
      <c r="T35" s="39"/>
      <c r="U35" s="39"/>
    </row>
    <row r="36" spans="1:21" s="33" customFormat="1" ht="12.75" hidden="1">
      <c r="A36" s="772" t="s">
        <v>99</v>
      </c>
      <c r="B36" s="751" t="s">
        <v>52</v>
      </c>
      <c r="C36" s="74" t="s">
        <v>13</v>
      </c>
      <c r="D36" s="85">
        <f>E36+M36</f>
        <v>451559.07</v>
      </c>
      <c r="E36" s="88">
        <f>F36+I36+J36+K36+L36</f>
        <v>451559.07</v>
      </c>
      <c r="F36" s="88">
        <f>G36+H36</f>
        <v>401559.07</v>
      </c>
      <c r="G36" s="88">
        <v>0</v>
      </c>
      <c r="H36" s="88">
        <v>401559.07</v>
      </c>
      <c r="I36" s="88">
        <v>50000</v>
      </c>
      <c r="J36" s="88">
        <v>0</v>
      </c>
      <c r="K36" s="88">
        <v>0</v>
      </c>
      <c r="L36" s="88">
        <v>0</v>
      </c>
      <c r="M36" s="88">
        <f>N36+P36</f>
        <v>0</v>
      </c>
      <c r="N36" s="88">
        <v>0</v>
      </c>
      <c r="O36" s="88">
        <v>0</v>
      </c>
      <c r="P36" s="88">
        <v>0</v>
      </c>
      <c r="Q36" s="52"/>
      <c r="R36" s="52"/>
      <c r="S36" s="39"/>
      <c r="T36" s="39"/>
      <c r="U36" s="39"/>
    </row>
    <row r="37" spans="1:21" s="33" customFormat="1" ht="12.75" hidden="1">
      <c r="A37" s="773"/>
      <c r="B37" s="752"/>
      <c r="C37" s="74" t="s">
        <v>14</v>
      </c>
      <c r="D37" s="85">
        <f>E37+M37</f>
        <v>0</v>
      </c>
      <c r="E37" s="88">
        <f>F37+I37+J37+K37+L37</f>
        <v>0</v>
      </c>
      <c r="F37" s="88">
        <f>G37+H37</f>
        <v>0</v>
      </c>
      <c r="G37" s="88"/>
      <c r="H37" s="88"/>
      <c r="I37" s="88"/>
      <c r="J37" s="88"/>
      <c r="K37" s="88"/>
      <c r="L37" s="88"/>
      <c r="M37" s="88">
        <f>N37+P37</f>
        <v>0</v>
      </c>
      <c r="N37" s="88"/>
      <c r="O37" s="88"/>
      <c r="P37" s="88"/>
      <c r="Q37" s="52"/>
      <c r="R37" s="52"/>
      <c r="S37" s="39"/>
      <c r="T37" s="39"/>
      <c r="U37" s="39"/>
    </row>
    <row r="38" spans="1:21" s="33" customFormat="1" ht="12.75" hidden="1">
      <c r="A38" s="774"/>
      <c r="B38" s="753"/>
      <c r="C38" s="74" t="s">
        <v>15</v>
      </c>
      <c r="D38" s="85">
        <f>D36+D37</f>
        <v>451559.07</v>
      </c>
      <c r="E38" s="88">
        <f>E36+E37</f>
        <v>451559.07</v>
      </c>
      <c r="F38" s="88">
        <f aca="true" t="shared" si="10" ref="F38:P38">F36+F37</f>
        <v>401559.07</v>
      </c>
      <c r="G38" s="88">
        <f t="shared" si="10"/>
        <v>0</v>
      </c>
      <c r="H38" s="88">
        <f t="shared" si="10"/>
        <v>401559.07</v>
      </c>
      <c r="I38" s="88">
        <f t="shared" si="10"/>
        <v>50000</v>
      </c>
      <c r="J38" s="88">
        <f t="shared" si="10"/>
        <v>0</v>
      </c>
      <c r="K38" s="88">
        <f t="shared" si="10"/>
        <v>0</v>
      </c>
      <c r="L38" s="88">
        <f t="shared" si="10"/>
        <v>0</v>
      </c>
      <c r="M38" s="88">
        <f t="shared" si="10"/>
        <v>0</v>
      </c>
      <c r="N38" s="88">
        <f t="shared" si="10"/>
        <v>0</v>
      </c>
      <c r="O38" s="88">
        <f t="shared" si="10"/>
        <v>0</v>
      </c>
      <c r="P38" s="88">
        <f t="shared" si="10"/>
        <v>0</v>
      </c>
      <c r="Q38" s="52"/>
      <c r="R38" s="52"/>
      <c r="S38" s="39"/>
      <c r="T38" s="39"/>
      <c r="U38" s="39"/>
    </row>
    <row r="39" spans="1:21" s="34" customFormat="1" ht="14.25" hidden="1">
      <c r="A39" s="778" t="s">
        <v>66</v>
      </c>
      <c r="B39" s="757" t="s">
        <v>67</v>
      </c>
      <c r="C39" s="75" t="s">
        <v>13</v>
      </c>
      <c r="D39" s="91">
        <f aca="true" t="shared" si="11" ref="D39:P40">D42+D45</f>
        <v>449000</v>
      </c>
      <c r="E39" s="82">
        <f t="shared" si="11"/>
        <v>449000</v>
      </c>
      <c r="F39" s="82">
        <f t="shared" si="11"/>
        <v>61000</v>
      </c>
      <c r="G39" s="82">
        <f t="shared" si="11"/>
        <v>61000</v>
      </c>
      <c r="H39" s="82">
        <f t="shared" si="11"/>
        <v>0</v>
      </c>
      <c r="I39" s="82">
        <f t="shared" si="11"/>
        <v>8000</v>
      </c>
      <c r="J39" s="82">
        <f t="shared" si="11"/>
        <v>0</v>
      </c>
      <c r="K39" s="82">
        <f t="shared" si="11"/>
        <v>380000</v>
      </c>
      <c r="L39" s="82">
        <f t="shared" si="11"/>
        <v>0</v>
      </c>
      <c r="M39" s="82">
        <f t="shared" si="11"/>
        <v>0</v>
      </c>
      <c r="N39" s="82">
        <f t="shared" si="11"/>
        <v>0</v>
      </c>
      <c r="O39" s="82">
        <f t="shared" si="11"/>
        <v>0</v>
      </c>
      <c r="P39" s="82">
        <f t="shared" si="11"/>
        <v>0</v>
      </c>
      <c r="Q39" s="64"/>
      <c r="R39" s="64"/>
      <c r="S39" s="40"/>
      <c r="T39" s="40"/>
      <c r="U39" s="40"/>
    </row>
    <row r="40" spans="1:21" s="34" customFormat="1" ht="14.25" hidden="1">
      <c r="A40" s="779"/>
      <c r="B40" s="758"/>
      <c r="C40" s="75" t="s">
        <v>14</v>
      </c>
      <c r="D40" s="91">
        <f t="shared" si="11"/>
        <v>0</v>
      </c>
      <c r="E40" s="82">
        <f t="shared" si="11"/>
        <v>0</v>
      </c>
      <c r="F40" s="82">
        <f t="shared" si="11"/>
        <v>0</v>
      </c>
      <c r="G40" s="82">
        <f t="shared" si="11"/>
        <v>0</v>
      </c>
      <c r="H40" s="82">
        <f t="shared" si="11"/>
        <v>0</v>
      </c>
      <c r="I40" s="82">
        <f t="shared" si="11"/>
        <v>0</v>
      </c>
      <c r="J40" s="82">
        <f t="shared" si="11"/>
        <v>0</v>
      </c>
      <c r="K40" s="82">
        <f t="shared" si="11"/>
        <v>0</v>
      </c>
      <c r="L40" s="82">
        <f t="shared" si="11"/>
        <v>0</v>
      </c>
      <c r="M40" s="82">
        <f t="shared" si="11"/>
        <v>0</v>
      </c>
      <c r="N40" s="82">
        <f t="shared" si="11"/>
        <v>0</v>
      </c>
      <c r="O40" s="82">
        <f t="shared" si="11"/>
        <v>0</v>
      </c>
      <c r="P40" s="82">
        <f t="shared" si="11"/>
        <v>0</v>
      </c>
      <c r="Q40" s="64"/>
      <c r="R40" s="64"/>
      <c r="S40" s="40"/>
      <c r="T40" s="40"/>
      <c r="U40" s="40"/>
    </row>
    <row r="41" spans="1:21" s="34" customFormat="1" ht="14.25" hidden="1">
      <c r="A41" s="780"/>
      <c r="B41" s="759"/>
      <c r="C41" s="75" t="s">
        <v>15</v>
      </c>
      <c r="D41" s="92">
        <f aca="true" t="shared" si="12" ref="D41:O41">D39+D40</f>
        <v>449000</v>
      </c>
      <c r="E41" s="82">
        <f t="shared" si="12"/>
        <v>449000</v>
      </c>
      <c r="F41" s="82">
        <f t="shared" si="12"/>
        <v>61000</v>
      </c>
      <c r="G41" s="82">
        <f t="shared" si="12"/>
        <v>61000</v>
      </c>
      <c r="H41" s="82">
        <f t="shared" si="12"/>
        <v>0</v>
      </c>
      <c r="I41" s="82">
        <f t="shared" si="12"/>
        <v>8000</v>
      </c>
      <c r="J41" s="82">
        <f t="shared" si="12"/>
        <v>0</v>
      </c>
      <c r="K41" s="82">
        <f t="shared" si="12"/>
        <v>380000</v>
      </c>
      <c r="L41" s="82">
        <f t="shared" si="12"/>
        <v>0</v>
      </c>
      <c r="M41" s="82">
        <f t="shared" si="12"/>
        <v>0</v>
      </c>
      <c r="N41" s="82">
        <f t="shared" si="12"/>
        <v>0</v>
      </c>
      <c r="O41" s="82">
        <f t="shared" si="12"/>
        <v>0</v>
      </c>
      <c r="P41" s="82">
        <f>P39+P40</f>
        <v>0</v>
      </c>
      <c r="Q41" s="64"/>
      <c r="R41" s="64"/>
      <c r="S41" s="40"/>
      <c r="T41" s="40"/>
      <c r="U41" s="40"/>
    </row>
    <row r="42" spans="1:21" s="33" customFormat="1" ht="18.75" customHeight="1" hidden="1">
      <c r="A42" s="772" t="s">
        <v>100</v>
      </c>
      <c r="B42" s="775" t="s">
        <v>101</v>
      </c>
      <c r="C42" s="76" t="s">
        <v>13</v>
      </c>
      <c r="D42" s="85">
        <f>E42+M42</f>
        <v>388000</v>
      </c>
      <c r="E42" s="88">
        <f>F42+I42+J42+K42+L42</f>
        <v>388000</v>
      </c>
      <c r="F42" s="88">
        <f>G42+H42</f>
        <v>0</v>
      </c>
      <c r="G42" s="88">
        <v>0</v>
      </c>
      <c r="H42" s="88">
        <v>0</v>
      </c>
      <c r="I42" s="88">
        <v>8000</v>
      </c>
      <c r="J42" s="88">
        <v>0</v>
      </c>
      <c r="K42" s="88">
        <v>380000</v>
      </c>
      <c r="L42" s="88">
        <v>0</v>
      </c>
      <c r="M42" s="88">
        <f>N42+P42</f>
        <v>0</v>
      </c>
      <c r="N42" s="88">
        <v>0</v>
      </c>
      <c r="O42" s="88">
        <v>0</v>
      </c>
      <c r="P42" s="88">
        <v>0</v>
      </c>
      <c r="Q42" s="52"/>
      <c r="R42" s="52"/>
      <c r="S42" s="39"/>
      <c r="T42" s="39"/>
      <c r="U42" s="39"/>
    </row>
    <row r="43" spans="1:21" s="33" customFormat="1" ht="18.75" customHeight="1" hidden="1">
      <c r="A43" s="773"/>
      <c r="B43" s="776"/>
      <c r="C43" s="76" t="s">
        <v>14</v>
      </c>
      <c r="D43" s="85">
        <f>E43+M43</f>
        <v>0</v>
      </c>
      <c r="E43" s="88">
        <f>F43+I43+J43+K43+L43</f>
        <v>0</v>
      </c>
      <c r="F43" s="88">
        <f>G43+H43</f>
        <v>0</v>
      </c>
      <c r="G43" s="88"/>
      <c r="H43" s="88"/>
      <c r="I43" s="88"/>
      <c r="J43" s="88"/>
      <c r="K43" s="88"/>
      <c r="L43" s="88"/>
      <c r="M43" s="88">
        <f>N43+P43</f>
        <v>0</v>
      </c>
      <c r="N43" s="88"/>
      <c r="O43" s="88"/>
      <c r="P43" s="88"/>
      <c r="Q43" s="52"/>
      <c r="R43" s="52"/>
      <c r="S43" s="39"/>
      <c r="T43" s="39"/>
      <c r="U43" s="39"/>
    </row>
    <row r="44" spans="1:21" s="33" customFormat="1" ht="18.75" customHeight="1" hidden="1">
      <c r="A44" s="774"/>
      <c r="B44" s="777"/>
      <c r="C44" s="76" t="s">
        <v>15</v>
      </c>
      <c r="D44" s="85">
        <f>D42+D43</f>
        <v>388000</v>
      </c>
      <c r="E44" s="88">
        <f>E42+E43</f>
        <v>388000</v>
      </c>
      <c r="F44" s="88">
        <f aca="true" t="shared" si="13" ref="F44:P44">F42+F43</f>
        <v>0</v>
      </c>
      <c r="G44" s="88">
        <f t="shared" si="13"/>
        <v>0</v>
      </c>
      <c r="H44" s="88">
        <f t="shared" si="13"/>
        <v>0</v>
      </c>
      <c r="I44" s="88">
        <f t="shared" si="13"/>
        <v>8000</v>
      </c>
      <c r="J44" s="88">
        <f t="shared" si="13"/>
        <v>0</v>
      </c>
      <c r="K44" s="88">
        <f t="shared" si="13"/>
        <v>380000</v>
      </c>
      <c r="L44" s="88">
        <f t="shared" si="13"/>
        <v>0</v>
      </c>
      <c r="M44" s="88">
        <f t="shared" si="13"/>
        <v>0</v>
      </c>
      <c r="N44" s="88">
        <f t="shared" si="13"/>
        <v>0</v>
      </c>
      <c r="O44" s="88">
        <f t="shared" si="13"/>
        <v>0</v>
      </c>
      <c r="P44" s="88">
        <f t="shared" si="13"/>
        <v>0</v>
      </c>
      <c r="Q44" s="52"/>
      <c r="R44" s="52"/>
      <c r="S44" s="39"/>
      <c r="T44" s="39"/>
      <c r="U44" s="39"/>
    </row>
    <row r="45" spans="1:21" s="33" customFormat="1" ht="12.75" hidden="1">
      <c r="A45" s="769" t="s">
        <v>204</v>
      </c>
      <c r="B45" s="775" t="s">
        <v>52</v>
      </c>
      <c r="C45" s="76" t="s">
        <v>13</v>
      </c>
      <c r="D45" s="85">
        <f>E45+M45</f>
        <v>61000</v>
      </c>
      <c r="E45" s="88">
        <f>F45+I45+J45+K45+L45</f>
        <v>61000</v>
      </c>
      <c r="F45" s="88">
        <f>G45+H45</f>
        <v>61000</v>
      </c>
      <c r="G45" s="88">
        <v>61000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88">
        <f>N45+P45</f>
        <v>0</v>
      </c>
      <c r="N45" s="88">
        <v>0</v>
      </c>
      <c r="O45" s="88">
        <v>0</v>
      </c>
      <c r="P45" s="88">
        <v>0</v>
      </c>
      <c r="Q45" s="52"/>
      <c r="R45" s="52"/>
      <c r="S45" s="39"/>
      <c r="T45" s="39"/>
      <c r="U45" s="39"/>
    </row>
    <row r="46" spans="1:21" s="33" customFormat="1" ht="12.75" hidden="1">
      <c r="A46" s="770"/>
      <c r="B46" s="776"/>
      <c r="C46" s="76" t="s">
        <v>14</v>
      </c>
      <c r="D46" s="85">
        <f>E46+M46</f>
        <v>0</v>
      </c>
      <c r="E46" s="88">
        <f>F46+I46+J46+K46+L46</f>
        <v>0</v>
      </c>
      <c r="F46" s="88">
        <f>G46+H46</f>
        <v>0</v>
      </c>
      <c r="G46" s="88"/>
      <c r="H46" s="88"/>
      <c r="I46" s="88"/>
      <c r="J46" s="88"/>
      <c r="K46" s="88"/>
      <c r="L46" s="88"/>
      <c r="M46" s="88">
        <f>N46+P46</f>
        <v>0</v>
      </c>
      <c r="N46" s="88"/>
      <c r="O46" s="88"/>
      <c r="P46" s="88"/>
      <c r="Q46" s="52"/>
      <c r="R46" s="52"/>
      <c r="S46" s="39"/>
      <c r="T46" s="39"/>
      <c r="U46" s="39"/>
    </row>
    <row r="47" spans="1:21" s="33" customFormat="1" ht="12.75" hidden="1">
      <c r="A47" s="771"/>
      <c r="B47" s="777"/>
      <c r="C47" s="76" t="s">
        <v>15</v>
      </c>
      <c r="D47" s="85">
        <f>D45+D46</f>
        <v>61000</v>
      </c>
      <c r="E47" s="88">
        <f>E45+E46</f>
        <v>61000</v>
      </c>
      <c r="F47" s="88">
        <f aca="true" t="shared" si="14" ref="F47:P47">F45+F46</f>
        <v>61000</v>
      </c>
      <c r="G47" s="88">
        <f t="shared" si="14"/>
        <v>61000</v>
      </c>
      <c r="H47" s="88">
        <f t="shared" si="14"/>
        <v>0</v>
      </c>
      <c r="I47" s="88">
        <f t="shared" si="14"/>
        <v>0</v>
      </c>
      <c r="J47" s="88">
        <f t="shared" si="14"/>
        <v>0</v>
      </c>
      <c r="K47" s="88">
        <f t="shared" si="14"/>
        <v>0</v>
      </c>
      <c r="L47" s="88">
        <f t="shared" si="14"/>
        <v>0</v>
      </c>
      <c r="M47" s="88">
        <f t="shared" si="14"/>
        <v>0</v>
      </c>
      <c r="N47" s="88">
        <f t="shared" si="14"/>
        <v>0</v>
      </c>
      <c r="O47" s="88">
        <f t="shared" si="14"/>
        <v>0</v>
      </c>
      <c r="P47" s="88">
        <f t="shared" si="14"/>
        <v>0</v>
      </c>
      <c r="Q47" s="52"/>
      <c r="R47" s="52"/>
      <c r="S47" s="39"/>
      <c r="T47" s="39"/>
      <c r="U47" s="39"/>
    </row>
    <row r="48" spans="1:21" s="35" customFormat="1" ht="14.25">
      <c r="A48" s="778" t="s">
        <v>102</v>
      </c>
      <c r="B48" s="757" t="s">
        <v>103</v>
      </c>
      <c r="C48" s="77" t="s">
        <v>13</v>
      </c>
      <c r="D48" s="89">
        <f aca="true" t="shared" si="15" ref="D48:P49">D54+D57+D51</f>
        <v>18702500</v>
      </c>
      <c r="E48" s="83">
        <f t="shared" si="15"/>
        <v>18702500</v>
      </c>
      <c r="F48" s="83">
        <f t="shared" si="15"/>
        <v>3545861</v>
      </c>
      <c r="G48" s="83">
        <f t="shared" si="15"/>
        <v>243238</v>
      </c>
      <c r="H48" s="83">
        <f t="shared" si="15"/>
        <v>3302623</v>
      </c>
      <c r="I48" s="83">
        <f t="shared" si="15"/>
        <v>2941937</v>
      </c>
      <c r="J48" s="83">
        <f t="shared" si="15"/>
        <v>0</v>
      </c>
      <c r="K48" s="83">
        <f t="shared" si="15"/>
        <v>12214702</v>
      </c>
      <c r="L48" s="83">
        <f t="shared" si="15"/>
        <v>0</v>
      </c>
      <c r="M48" s="83">
        <f t="shared" si="15"/>
        <v>0</v>
      </c>
      <c r="N48" s="83">
        <f t="shared" si="15"/>
        <v>0</v>
      </c>
      <c r="O48" s="83">
        <f t="shared" si="15"/>
        <v>0</v>
      </c>
      <c r="P48" s="83">
        <f t="shared" si="15"/>
        <v>0</v>
      </c>
      <c r="Q48" s="65"/>
      <c r="R48" s="65"/>
      <c r="S48" s="41"/>
      <c r="T48" s="41"/>
      <c r="U48" s="41"/>
    </row>
    <row r="49" spans="1:21" s="35" customFormat="1" ht="14.25">
      <c r="A49" s="779"/>
      <c r="B49" s="758"/>
      <c r="C49" s="77" t="s">
        <v>14</v>
      </c>
      <c r="D49" s="89">
        <f t="shared" si="15"/>
        <v>-2000000</v>
      </c>
      <c r="E49" s="83">
        <f t="shared" si="15"/>
        <v>-2000000</v>
      </c>
      <c r="F49" s="83">
        <f t="shared" si="15"/>
        <v>0</v>
      </c>
      <c r="G49" s="83">
        <f t="shared" si="15"/>
        <v>0</v>
      </c>
      <c r="H49" s="83">
        <f t="shared" si="15"/>
        <v>0</v>
      </c>
      <c r="I49" s="83">
        <f t="shared" si="15"/>
        <v>0</v>
      </c>
      <c r="J49" s="83">
        <f t="shared" si="15"/>
        <v>0</v>
      </c>
      <c r="K49" s="83">
        <f t="shared" si="15"/>
        <v>-2000000</v>
      </c>
      <c r="L49" s="83">
        <f t="shared" si="15"/>
        <v>0</v>
      </c>
      <c r="M49" s="83">
        <f t="shared" si="15"/>
        <v>0</v>
      </c>
      <c r="N49" s="83">
        <f t="shared" si="15"/>
        <v>0</v>
      </c>
      <c r="O49" s="83">
        <f t="shared" si="15"/>
        <v>0</v>
      </c>
      <c r="P49" s="83">
        <f t="shared" si="15"/>
        <v>0</v>
      </c>
      <c r="Q49" s="65"/>
      <c r="R49" s="65"/>
      <c r="S49" s="41"/>
      <c r="T49" s="41"/>
      <c r="U49" s="41"/>
    </row>
    <row r="50" spans="1:21" s="35" customFormat="1" ht="14.25">
      <c r="A50" s="780"/>
      <c r="B50" s="759"/>
      <c r="C50" s="77" t="s">
        <v>15</v>
      </c>
      <c r="D50" s="90">
        <f aca="true" t="shared" si="16" ref="D50:O50">D48+D49</f>
        <v>16702500</v>
      </c>
      <c r="E50" s="83">
        <f t="shared" si="16"/>
        <v>16702500</v>
      </c>
      <c r="F50" s="83">
        <f t="shared" si="16"/>
        <v>3545861</v>
      </c>
      <c r="G50" s="83">
        <f t="shared" si="16"/>
        <v>243238</v>
      </c>
      <c r="H50" s="83">
        <f t="shared" si="16"/>
        <v>3302623</v>
      </c>
      <c r="I50" s="83">
        <f t="shared" si="16"/>
        <v>2941937</v>
      </c>
      <c r="J50" s="83">
        <f t="shared" si="16"/>
        <v>0</v>
      </c>
      <c r="K50" s="83">
        <f t="shared" si="16"/>
        <v>10214702</v>
      </c>
      <c r="L50" s="83">
        <f t="shared" si="16"/>
        <v>0</v>
      </c>
      <c r="M50" s="83">
        <f t="shared" si="16"/>
        <v>0</v>
      </c>
      <c r="N50" s="83">
        <f t="shared" si="16"/>
        <v>0</v>
      </c>
      <c r="O50" s="83">
        <f t="shared" si="16"/>
        <v>0</v>
      </c>
      <c r="P50" s="83">
        <f>P48+P49</f>
        <v>0</v>
      </c>
      <c r="Q50" s="65"/>
      <c r="R50" s="65"/>
      <c r="S50" s="41"/>
      <c r="T50" s="41"/>
      <c r="U50" s="41"/>
    </row>
    <row r="51" spans="1:21" s="33" customFormat="1" ht="12.75" hidden="1">
      <c r="A51" s="772" t="s">
        <v>195</v>
      </c>
      <c r="B51" s="775" t="s">
        <v>196</v>
      </c>
      <c r="C51" s="76" t="s">
        <v>13</v>
      </c>
      <c r="D51" s="85">
        <f>E51+M51</f>
        <v>6467798</v>
      </c>
      <c r="E51" s="88">
        <f>F51+I51+J51+K51+L51</f>
        <v>6467798</v>
      </c>
      <c r="F51" s="88">
        <f>G51+H51</f>
        <v>3525861</v>
      </c>
      <c r="G51" s="88">
        <v>238238</v>
      </c>
      <c r="H51" s="88">
        <v>3287623</v>
      </c>
      <c r="I51" s="88">
        <v>2941937</v>
      </c>
      <c r="J51" s="88">
        <v>0</v>
      </c>
      <c r="K51" s="88">
        <v>0</v>
      </c>
      <c r="L51" s="88">
        <v>0</v>
      </c>
      <c r="M51" s="88">
        <f>N51+P51</f>
        <v>0</v>
      </c>
      <c r="N51" s="88">
        <v>0</v>
      </c>
      <c r="O51" s="88">
        <v>0</v>
      </c>
      <c r="P51" s="88">
        <v>0</v>
      </c>
      <c r="Q51" s="52"/>
      <c r="R51" s="52"/>
      <c r="S51" s="39"/>
      <c r="T51" s="39"/>
      <c r="U51" s="39"/>
    </row>
    <row r="52" spans="1:21" s="33" customFormat="1" ht="12.75" hidden="1">
      <c r="A52" s="773"/>
      <c r="B52" s="776"/>
      <c r="C52" s="76" t="s">
        <v>14</v>
      </c>
      <c r="D52" s="85">
        <f>E52+M52</f>
        <v>0</v>
      </c>
      <c r="E52" s="88">
        <f>F52+I52+J52+K52+L52</f>
        <v>0</v>
      </c>
      <c r="F52" s="88">
        <f>G52+H52</f>
        <v>0</v>
      </c>
      <c r="G52" s="88"/>
      <c r="H52" s="88"/>
      <c r="I52" s="88"/>
      <c r="J52" s="88"/>
      <c r="K52" s="88"/>
      <c r="L52" s="88"/>
      <c r="M52" s="88">
        <f>N52+P52</f>
        <v>0</v>
      </c>
      <c r="N52" s="88"/>
      <c r="O52" s="88"/>
      <c r="P52" s="88"/>
      <c r="Q52" s="52"/>
      <c r="R52" s="52"/>
      <c r="S52" s="39"/>
      <c r="T52" s="39"/>
      <c r="U52" s="39"/>
    </row>
    <row r="53" spans="1:21" s="33" customFormat="1" ht="12.75" hidden="1">
      <c r="A53" s="774"/>
      <c r="B53" s="777"/>
      <c r="C53" s="76" t="s">
        <v>15</v>
      </c>
      <c r="D53" s="85">
        <f>D51+D52</f>
        <v>6467798</v>
      </c>
      <c r="E53" s="88">
        <f>E51+E52</f>
        <v>6467798</v>
      </c>
      <c r="F53" s="88">
        <f aca="true" t="shared" si="17" ref="F53:P53">F51+F52</f>
        <v>3525861</v>
      </c>
      <c r="G53" s="88">
        <f t="shared" si="17"/>
        <v>238238</v>
      </c>
      <c r="H53" s="88">
        <f t="shared" si="17"/>
        <v>3287623</v>
      </c>
      <c r="I53" s="88">
        <f t="shared" si="17"/>
        <v>2941937</v>
      </c>
      <c r="J53" s="88">
        <f t="shared" si="17"/>
        <v>0</v>
      </c>
      <c r="K53" s="88">
        <f t="shared" si="17"/>
        <v>0</v>
      </c>
      <c r="L53" s="88">
        <f t="shared" si="17"/>
        <v>0</v>
      </c>
      <c r="M53" s="88">
        <f t="shared" si="17"/>
        <v>0</v>
      </c>
      <c r="N53" s="88">
        <f t="shared" si="17"/>
        <v>0</v>
      </c>
      <c r="O53" s="88">
        <f t="shared" si="17"/>
        <v>0</v>
      </c>
      <c r="P53" s="88">
        <f t="shared" si="17"/>
        <v>0</v>
      </c>
      <c r="Q53" s="52"/>
      <c r="R53" s="52"/>
      <c r="S53" s="39"/>
      <c r="T53" s="39"/>
      <c r="U53" s="39"/>
    </row>
    <row r="54" spans="1:21" s="33" customFormat="1" ht="12.75">
      <c r="A54" s="772" t="s">
        <v>104</v>
      </c>
      <c r="B54" s="775" t="s">
        <v>105</v>
      </c>
      <c r="C54" s="76" t="s">
        <v>13</v>
      </c>
      <c r="D54" s="85">
        <f>E54+M54</f>
        <v>11948446</v>
      </c>
      <c r="E54" s="88">
        <f>F54+I54+J54+K54+L54</f>
        <v>11948446</v>
      </c>
      <c r="F54" s="88">
        <f>G54+H54</f>
        <v>20000</v>
      </c>
      <c r="G54" s="88">
        <v>5000</v>
      </c>
      <c r="H54" s="88">
        <v>15000</v>
      </c>
      <c r="I54" s="88">
        <v>0</v>
      </c>
      <c r="J54" s="88">
        <v>0</v>
      </c>
      <c r="K54" s="88">
        <v>11928446</v>
      </c>
      <c r="L54" s="88">
        <v>0</v>
      </c>
      <c r="M54" s="88">
        <f>N54+P54</f>
        <v>0</v>
      </c>
      <c r="N54" s="88">
        <v>0</v>
      </c>
      <c r="O54" s="88">
        <v>0</v>
      </c>
      <c r="P54" s="88">
        <v>0</v>
      </c>
      <c r="Q54" s="52"/>
      <c r="R54" s="52"/>
      <c r="S54" s="39"/>
      <c r="T54" s="39"/>
      <c r="U54" s="39"/>
    </row>
    <row r="55" spans="1:21" s="33" customFormat="1" ht="12.75">
      <c r="A55" s="773"/>
      <c r="B55" s="776"/>
      <c r="C55" s="76" t="s">
        <v>14</v>
      </c>
      <c r="D55" s="85">
        <f>E55+M55</f>
        <v>-2000000</v>
      </c>
      <c r="E55" s="88">
        <f>F55+I55+J55+K55+L55</f>
        <v>-2000000</v>
      </c>
      <c r="F55" s="88">
        <f>G55+H55</f>
        <v>0</v>
      </c>
      <c r="G55" s="88"/>
      <c r="H55" s="88"/>
      <c r="I55" s="88"/>
      <c r="J55" s="88"/>
      <c r="K55" s="88">
        <v>-2000000</v>
      </c>
      <c r="L55" s="88"/>
      <c r="M55" s="88">
        <f>N55+P55</f>
        <v>0</v>
      </c>
      <c r="N55" s="88"/>
      <c r="O55" s="88"/>
      <c r="P55" s="88"/>
      <c r="Q55" s="52"/>
      <c r="R55" s="52"/>
      <c r="S55" s="39"/>
      <c r="T55" s="39"/>
      <c r="U55" s="39"/>
    </row>
    <row r="56" spans="1:21" s="33" customFormat="1" ht="12.75">
      <c r="A56" s="774"/>
      <c r="B56" s="777"/>
      <c r="C56" s="76" t="s">
        <v>15</v>
      </c>
      <c r="D56" s="85">
        <f>D54+D55</f>
        <v>9948446</v>
      </c>
      <c r="E56" s="88">
        <f>E54+E55</f>
        <v>9948446</v>
      </c>
      <c r="F56" s="88">
        <f aca="true" t="shared" si="18" ref="F56:P56">F54+F55</f>
        <v>20000</v>
      </c>
      <c r="G56" s="88">
        <f t="shared" si="18"/>
        <v>5000</v>
      </c>
      <c r="H56" s="88">
        <f t="shared" si="18"/>
        <v>15000</v>
      </c>
      <c r="I56" s="88">
        <f t="shared" si="18"/>
        <v>0</v>
      </c>
      <c r="J56" s="88">
        <f t="shared" si="18"/>
        <v>0</v>
      </c>
      <c r="K56" s="88">
        <f t="shared" si="18"/>
        <v>9928446</v>
      </c>
      <c r="L56" s="88">
        <f t="shared" si="18"/>
        <v>0</v>
      </c>
      <c r="M56" s="88">
        <f t="shared" si="18"/>
        <v>0</v>
      </c>
      <c r="N56" s="88">
        <f t="shared" si="18"/>
        <v>0</v>
      </c>
      <c r="O56" s="88">
        <f t="shared" si="18"/>
        <v>0</v>
      </c>
      <c r="P56" s="88">
        <f t="shared" si="18"/>
        <v>0</v>
      </c>
      <c r="Q56" s="52"/>
      <c r="R56" s="52"/>
      <c r="S56" s="39"/>
      <c r="T56" s="39"/>
      <c r="U56" s="39"/>
    </row>
    <row r="57" spans="1:21" s="33" customFormat="1" ht="12.75" hidden="1">
      <c r="A57" s="772" t="s">
        <v>106</v>
      </c>
      <c r="B57" s="775" t="s">
        <v>52</v>
      </c>
      <c r="C57" s="76" t="s">
        <v>13</v>
      </c>
      <c r="D57" s="85">
        <f>E57+M57</f>
        <v>286256</v>
      </c>
      <c r="E57" s="88">
        <f>F57+I57+J57+K57+L57</f>
        <v>286256</v>
      </c>
      <c r="F57" s="88">
        <f>G57+H57</f>
        <v>0</v>
      </c>
      <c r="G57" s="88">
        <v>0</v>
      </c>
      <c r="H57" s="88">
        <v>0</v>
      </c>
      <c r="I57" s="88">
        <v>0</v>
      </c>
      <c r="J57" s="88">
        <v>0</v>
      </c>
      <c r="K57" s="88">
        <v>286256</v>
      </c>
      <c r="L57" s="88">
        <v>0</v>
      </c>
      <c r="M57" s="88">
        <f>N57+P57</f>
        <v>0</v>
      </c>
      <c r="N57" s="88">
        <v>0</v>
      </c>
      <c r="O57" s="88">
        <v>0</v>
      </c>
      <c r="P57" s="88">
        <v>0</v>
      </c>
      <c r="Q57" s="52"/>
      <c r="R57" s="52"/>
      <c r="S57" s="39"/>
      <c r="T57" s="39"/>
      <c r="U57" s="39"/>
    </row>
    <row r="58" spans="1:21" s="33" customFormat="1" ht="12.75" hidden="1">
      <c r="A58" s="773"/>
      <c r="B58" s="776"/>
      <c r="C58" s="76" t="s">
        <v>14</v>
      </c>
      <c r="D58" s="85">
        <f>E58+M58</f>
        <v>0</v>
      </c>
      <c r="E58" s="88">
        <f>F58+I58+J58+K58+L58</f>
        <v>0</v>
      </c>
      <c r="F58" s="88">
        <f>G58+H58</f>
        <v>0</v>
      </c>
      <c r="G58" s="88"/>
      <c r="H58" s="88"/>
      <c r="I58" s="88"/>
      <c r="J58" s="88"/>
      <c r="K58" s="88"/>
      <c r="L58" s="88"/>
      <c r="M58" s="88">
        <f>N58+P58</f>
        <v>0</v>
      </c>
      <c r="N58" s="88"/>
      <c r="O58" s="88"/>
      <c r="P58" s="88"/>
      <c r="Q58" s="52"/>
      <c r="R58" s="52"/>
      <c r="S58" s="39"/>
      <c r="T58" s="39"/>
      <c r="U58" s="39"/>
    </row>
    <row r="59" spans="1:21" s="33" customFormat="1" ht="12.75" hidden="1">
      <c r="A59" s="774"/>
      <c r="B59" s="777"/>
      <c r="C59" s="76" t="s">
        <v>15</v>
      </c>
      <c r="D59" s="85">
        <f>D57+D58</f>
        <v>286256</v>
      </c>
      <c r="E59" s="88">
        <f>E57+E58</f>
        <v>286256</v>
      </c>
      <c r="F59" s="88">
        <f aca="true" t="shared" si="19" ref="F59:P59">F57+F58</f>
        <v>0</v>
      </c>
      <c r="G59" s="88">
        <f t="shared" si="19"/>
        <v>0</v>
      </c>
      <c r="H59" s="88">
        <f t="shared" si="19"/>
        <v>0</v>
      </c>
      <c r="I59" s="88">
        <f t="shared" si="19"/>
        <v>0</v>
      </c>
      <c r="J59" s="88">
        <f t="shared" si="19"/>
        <v>0</v>
      </c>
      <c r="K59" s="88">
        <f t="shared" si="19"/>
        <v>286256</v>
      </c>
      <c r="L59" s="88">
        <f t="shared" si="19"/>
        <v>0</v>
      </c>
      <c r="M59" s="88">
        <f t="shared" si="19"/>
        <v>0</v>
      </c>
      <c r="N59" s="88">
        <f t="shared" si="19"/>
        <v>0</v>
      </c>
      <c r="O59" s="88">
        <f t="shared" si="19"/>
        <v>0</v>
      </c>
      <c r="P59" s="88">
        <f t="shared" si="19"/>
        <v>0</v>
      </c>
      <c r="Q59" s="52"/>
      <c r="R59" s="52"/>
      <c r="S59" s="39"/>
      <c r="T59" s="39"/>
      <c r="U59" s="39"/>
    </row>
    <row r="60" spans="1:21" s="37" customFormat="1" ht="14.25" hidden="1">
      <c r="A60" s="778" t="s">
        <v>107</v>
      </c>
      <c r="B60" s="757" t="s">
        <v>108</v>
      </c>
      <c r="C60" s="78" t="s">
        <v>13</v>
      </c>
      <c r="D60" s="89">
        <f aca="true" t="shared" si="20" ref="D60:P61">D63</f>
        <v>424950</v>
      </c>
      <c r="E60" s="83">
        <f t="shared" si="20"/>
        <v>424950</v>
      </c>
      <c r="F60" s="83">
        <f t="shared" si="20"/>
        <v>424950</v>
      </c>
      <c r="G60" s="83">
        <f t="shared" si="20"/>
        <v>294550</v>
      </c>
      <c r="H60" s="83">
        <f t="shared" si="20"/>
        <v>130400</v>
      </c>
      <c r="I60" s="83">
        <f t="shared" si="20"/>
        <v>0</v>
      </c>
      <c r="J60" s="83">
        <f t="shared" si="20"/>
        <v>0</v>
      </c>
      <c r="K60" s="83">
        <f t="shared" si="20"/>
        <v>0</v>
      </c>
      <c r="L60" s="83">
        <f t="shared" si="20"/>
        <v>0</v>
      </c>
      <c r="M60" s="83">
        <f t="shared" si="20"/>
        <v>0</v>
      </c>
      <c r="N60" s="83">
        <f t="shared" si="20"/>
        <v>0</v>
      </c>
      <c r="O60" s="83">
        <f>O63</f>
        <v>0</v>
      </c>
      <c r="P60" s="83">
        <f t="shared" si="20"/>
        <v>0</v>
      </c>
      <c r="Q60" s="66"/>
      <c r="R60" s="66"/>
      <c r="S60" s="43"/>
      <c r="T60" s="43"/>
      <c r="U60" s="43"/>
    </row>
    <row r="61" spans="1:21" s="37" customFormat="1" ht="14.25" hidden="1">
      <c r="A61" s="779"/>
      <c r="B61" s="758"/>
      <c r="C61" s="78" t="s">
        <v>14</v>
      </c>
      <c r="D61" s="89">
        <f t="shared" si="20"/>
        <v>0</v>
      </c>
      <c r="E61" s="83">
        <f t="shared" si="20"/>
        <v>0</v>
      </c>
      <c r="F61" s="83">
        <f t="shared" si="20"/>
        <v>0</v>
      </c>
      <c r="G61" s="83">
        <f t="shared" si="20"/>
        <v>0</v>
      </c>
      <c r="H61" s="83">
        <f t="shared" si="20"/>
        <v>0</v>
      </c>
      <c r="I61" s="83">
        <f t="shared" si="20"/>
        <v>0</v>
      </c>
      <c r="J61" s="83">
        <f t="shared" si="20"/>
        <v>0</v>
      </c>
      <c r="K61" s="83">
        <f t="shared" si="20"/>
        <v>0</v>
      </c>
      <c r="L61" s="83">
        <f t="shared" si="20"/>
        <v>0</v>
      </c>
      <c r="M61" s="83">
        <f t="shared" si="20"/>
        <v>0</v>
      </c>
      <c r="N61" s="83">
        <f t="shared" si="20"/>
        <v>0</v>
      </c>
      <c r="O61" s="83">
        <f>O64</f>
        <v>0</v>
      </c>
      <c r="P61" s="83">
        <f t="shared" si="20"/>
        <v>0</v>
      </c>
      <c r="Q61" s="66"/>
      <c r="R61" s="66"/>
      <c r="S61" s="43"/>
      <c r="T61" s="43"/>
      <c r="U61" s="43"/>
    </row>
    <row r="62" spans="1:21" s="37" customFormat="1" ht="14.25" hidden="1">
      <c r="A62" s="780"/>
      <c r="B62" s="759"/>
      <c r="C62" s="78" t="s">
        <v>15</v>
      </c>
      <c r="D62" s="90">
        <f aca="true" t="shared" si="21" ref="D62:O62">D60+D61</f>
        <v>424950</v>
      </c>
      <c r="E62" s="83">
        <f t="shared" si="21"/>
        <v>424950</v>
      </c>
      <c r="F62" s="83">
        <f t="shared" si="21"/>
        <v>424950</v>
      </c>
      <c r="G62" s="83">
        <f t="shared" si="21"/>
        <v>294550</v>
      </c>
      <c r="H62" s="83">
        <f t="shared" si="21"/>
        <v>130400</v>
      </c>
      <c r="I62" s="83">
        <f t="shared" si="21"/>
        <v>0</v>
      </c>
      <c r="J62" s="83">
        <f t="shared" si="21"/>
        <v>0</v>
      </c>
      <c r="K62" s="83">
        <f t="shared" si="21"/>
        <v>0</v>
      </c>
      <c r="L62" s="83">
        <f t="shared" si="21"/>
        <v>0</v>
      </c>
      <c r="M62" s="83">
        <f t="shared" si="21"/>
        <v>0</v>
      </c>
      <c r="N62" s="83">
        <f t="shared" si="21"/>
        <v>0</v>
      </c>
      <c r="O62" s="83">
        <f t="shared" si="21"/>
        <v>0</v>
      </c>
      <c r="P62" s="83">
        <f>P60+P61</f>
        <v>0</v>
      </c>
      <c r="Q62" s="66"/>
      <c r="R62" s="66"/>
      <c r="S62" s="43"/>
      <c r="T62" s="43"/>
      <c r="U62" s="43"/>
    </row>
    <row r="63" spans="1:21" s="36" customFormat="1" ht="12.75" hidden="1">
      <c r="A63" s="772" t="s">
        <v>109</v>
      </c>
      <c r="B63" s="751" t="s">
        <v>110</v>
      </c>
      <c r="C63" s="76" t="s">
        <v>13</v>
      </c>
      <c r="D63" s="85">
        <f>E63+M63</f>
        <v>424950</v>
      </c>
      <c r="E63" s="88">
        <f>F63+I63+J63+K63+L63</f>
        <v>424950</v>
      </c>
      <c r="F63" s="88">
        <f>G63+H63</f>
        <v>424950</v>
      </c>
      <c r="G63" s="88">
        <v>294550</v>
      </c>
      <c r="H63" s="88">
        <v>130400</v>
      </c>
      <c r="I63" s="88">
        <v>0</v>
      </c>
      <c r="J63" s="88">
        <v>0</v>
      </c>
      <c r="K63" s="88">
        <v>0</v>
      </c>
      <c r="L63" s="88">
        <v>0</v>
      </c>
      <c r="M63" s="88">
        <f>N63+P63</f>
        <v>0</v>
      </c>
      <c r="N63" s="88">
        <v>0</v>
      </c>
      <c r="O63" s="88">
        <v>0</v>
      </c>
      <c r="P63" s="88">
        <v>0</v>
      </c>
      <c r="Q63" s="67"/>
      <c r="R63" s="67"/>
      <c r="S63" s="42"/>
      <c r="T63" s="42"/>
      <c r="U63" s="42"/>
    </row>
    <row r="64" spans="1:21" s="36" customFormat="1" ht="12.75" hidden="1">
      <c r="A64" s="773"/>
      <c r="B64" s="752"/>
      <c r="C64" s="76" t="s">
        <v>14</v>
      </c>
      <c r="D64" s="85">
        <f>E64+M64</f>
        <v>0</v>
      </c>
      <c r="E64" s="88">
        <f>F64+I64+J64+K64+L64</f>
        <v>0</v>
      </c>
      <c r="F64" s="88">
        <f>G64+H64</f>
        <v>0</v>
      </c>
      <c r="G64" s="88"/>
      <c r="H64" s="88"/>
      <c r="I64" s="88"/>
      <c r="J64" s="88"/>
      <c r="K64" s="88"/>
      <c r="L64" s="88"/>
      <c r="M64" s="88">
        <f>N64+P64</f>
        <v>0</v>
      </c>
      <c r="N64" s="88"/>
      <c r="O64" s="88"/>
      <c r="P64" s="88"/>
      <c r="Q64" s="67"/>
      <c r="R64" s="67"/>
      <c r="S64" s="42"/>
      <c r="T64" s="42"/>
      <c r="U64" s="42"/>
    </row>
    <row r="65" spans="1:21" s="36" customFormat="1" ht="12.75" hidden="1">
      <c r="A65" s="774"/>
      <c r="B65" s="753"/>
      <c r="C65" s="76" t="s">
        <v>15</v>
      </c>
      <c r="D65" s="85">
        <f>D63+D64</f>
        <v>424950</v>
      </c>
      <c r="E65" s="88">
        <f>E63+E64</f>
        <v>424950</v>
      </c>
      <c r="F65" s="88">
        <f aca="true" t="shared" si="22" ref="F65:P65">F63+F64</f>
        <v>424950</v>
      </c>
      <c r="G65" s="88">
        <f t="shared" si="22"/>
        <v>294550</v>
      </c>
      <c r="H65" s="88">
        <f t="shared" si="22"/>
        <v>130400</v>
      </c>
      <c r="I65" s="88">
        <f t="shared" si="22"/>
        <v>0</v>
      </c>
      <c r="J65" s="88">
        <f t="shared" si="22"/>
        <v>0</v>
      </c>
      <c r="K65" s="88">
        <f t="shared" si="22"/>
        <v>0</v>
      </c>
      <c r="L65" s="88">
        <f t="shared" si="22"/>
        <v>0</v>
      </c>
      <c r="M65" s="88">
        <f t="shared" si="22"/>
        <v>0</v>
      </c>
      <c r="N65" s="88">
        <f t="shared" si="22"/>
        <v>0</v>
      </c>
      <c r="O65" s="88">
        <f t="shared" si="22"/>
        <v>0</v>
      </c>
      <c r="P65" s="88">
        <f t="shared" si="22"/>
        <v>0</v>
      </c>
      <c r="Q65" s="67"/>
      <c r="R65" s="67"/>
      <c r="S65" s="42"/>
      <c r="T65" s="42"/>
      <c r="U65" s="42"/>
    </row>
    <row r="66" spans="1:21" s="35" customFormat="1" ht="14.25">
      <c r="A66" s="778" t="s">
        <v>19</v>
      </c>
      <c r="B66" s="757" t="s">
        <v>20</v>
      </c>
      <c r="C66" s="78" t="s">
        <v>13</v>
      </c>
      <c r="D66" s="89">
        <f aca="true" t="shared" si="23" ref="D66:P67">D69+D72+D75+D81+D90+D87+D84+D78</f>
        <v>400193453</v>
      </c>
      <c r="E66" s="83">
        <f t="shared" si="23"/>
        <v>194315008</v>
      </c>
      <c r="F66" s="83">
        <f t="shared" si="23"/>
        <v>51684105</v>
      </c>
      <c r="G66" s="83">
        <f t="shared" si="23"/>
        <v>14136104</v>
      </c>
      <c r="H66" s="83">
        <f t="shared" si="23"/>
        <v>37548001</v>
      </c>
      <c r="I66" s="83">
        <f t="shared" si="23"/>
        <v>141284968</v>
      </c>
      <c r="J66" s="83">
        <f t="shared" si="23"/>
        <v>65000</v>
      </c>
      <c r="K66" s="83">
        <f t="shared" si="23"/>
        <v>1280935</v>
      </c>
      <c r="L66" s="83">
        <f t="shared" si="23"/>
        <v>0</v>
      </c>
      <c r="M66" s="83">
        <f t="shared" si="23"/>
        <v>205878445</v>
      </c>
      <c r="N66" s="83">
        <f t="shared" si="23"/>
        <v>205878445</v>
      </c>
      <c r="O66" s="83">
        <f t="shared" si="23"/>
        <v>146160442</v>
      </c>
      <c r="P66" s="83">
        <f t="shared" si="23"/>
        <v>0</v>
      </c>
      <c r="Q66" s="65"/>
      <c r="R66" s="65"/>
      <c r="S66" s="41"/>
      <c r="T66" s="41"/>
      <c r="U66" s="41"/>
    </row>
    <row r="67" spans="1:21" s="35" customFormat="1" ht="14.25">
      <c r="A67" s="779"/>
      <c r="B67" s="758"/>
      <c r="C67" s="78" t="s">
        <v>14</v>
      </c>
      <c r="D67" s="89">
        <f t="shared" si="23"/>
        <v>27106974</v>
      </c>
      <c r="E67" s="83">
        <f t="shared" si="23"/>
        <v>16497314</v>
      </c>
      <c r="F67" s="83">
        <f t="shared" si="23"/>
        <v>16453483</v>
      </c>
      <c r="G67" s="83">
        <f t="shared" si="23"/>
        <v>0</v>
      </c>
      <c r="H67" s="83">
        <f t="shared" si="23"/>
        <v>16453483</v>
      </c>
      <c r="I67" s="83">
        <f t="shared" si="23"/>
        <v>43831</v>
      </c>
      <c r="J67" s="83">
        <f t="shared" si="23"/>
        <v>0</v>
      </c>
      <c r="K67" s="83">
        <f t="shared" si="23"/>
        <v>0</v>
      </c>
      <c r="L67" s="83">
        <f t="shared" si="23"/>
        <v>0</v>
      </c>
      <c r="M67" s="83">
        <f t="shared" si="23"/>
        <v>10609660</v>
      </c>
      <c r="N67" s="83">
        <f t="shared" si="23"/>
        <v>10609660</v>
      </c>
      <c r="O67" s="83">
        <f t="shared" si="23"/>
        <v>0</v>
      </c>
      <c r="P67" s="83">
        <f t="shared" si="23"/>
        <v>0</v>
      </c>
      <c r="Q67" s="65"/>
      <c r="R67" s="65"/>
      <c r="S67" s="41"/>
      <c r="T67" s="41"/>
      <c r="U67" s="41"/>
    </row>
    <row r="68" spans="1:21" s="35" customFormat="1" ht="14.25">
      <c r="A68" s="780"/>
      <c r="B68" s="759"/>
      <c r="C68" s="78" t="s">
        <v>15</v>
      </c>
      <c r="D68" s="90">
        <f aca="true" t="shared" si="24" ref="D68:O68">D66+D67</f>
        <v>427300427</v>
      </c>
      <c r="E68" s="83">
        <f t="shared" si="24"/>
        <v>210812322</v>
      </c>
      <c r="F68" s="83">
        <f t="shared" si="24"/>
        <v>68137588</v>
      </c>
      <c r="G68" s="83">
        <f t="shared" si="24"/>
        <v>14136104</v>
      </c>
      <c r="H68" s="83">
        <f t="shared" si="24"/>
        <v>54001484</v>
      </c>
      <c r="I68" s="83">
        <f t="shared" si="24"/>
        <v>141328799</v>
      </c>
      <c r="J68" s="83">
        <f t="shared" si="24"/>
        <v>65000</v>
      </c>
      <c r="K68" s="83">
        <f t="shared" si="24"/>
        <v>1280935</v>
      </c>
      <c r="L68" s="83">
        <f t="shared" si="24"/>
        <v>0</v>
      </c>
      <c r="M68" s="83">
        <f t="shared" si="24"/>
        <v>216488105</v>
      </c>
      <c r="N68" s="83">
        <f t="shared" si="24"/>
        <v>216488105</v>
      </c>
      <c r="O68" s="83">
        <f t="shared" si="24"/>
        <v>146160442</v>
      </c>
      <c r="P68" s="83">
        <f>P66+P67</f>
        <v>0</v>
      </c>
      <c r="Q68" s="65"/>
      <c r="R68" s="65"/>
      <c r="S68" s="41"/>
      <c r="T68" s="41"/>
      <c r="U68" s="41"/>
    </row>
    <row r="69" spans="1:21" s="33" customFormat="1" ht="12.75">
      <c r="A69" s="772" t="s">
        <v>111</v>
      </c>
      <c r="B69" s="751" t="s">
        <v>112</v>
      </c>
      <c r="C69" s="76" t="s">
        <v>13</v>
      </c>
      <c r="D69" s="85">
        <f>E69+M69</f>
        <v>110582957</v>
      </c>
      <c r="E69" s="88">
        <f>F69+I69+J69+K69+L69</f>
        <v>110582957</v>
      </c>
      <c r="F69" s="88">
        <f>G69+H69</f>
        <v>10060222</v>
      </c>
      <c r="G69" s="88">
        <v>47856</v>
      </c>
      <c r="H69" s="88">
        <v>10012366</v>
      </c>
      <c r="I69" s="88">
        <v>100522735</v>
      </c>
      <c r="J69" s="88">
        <v>0</v>
      </c>
      <c r="K69" s="88">
        <v>0</v>
      </c>
      <c r="L69" s="88">
        <v>0</v>
      </c>
      <c r="M69" s="88">
        <f aca="true" t="shared" si="25" ref="M69:M91">N69+P69</f>
        <v>0</v>
      </c>
      <c r="N69" s="88">
        <v>0</v>
      </c>
      <c r="O69" s="88">
        <v>0</v>
      </c>
      <c r="P69" s="88">
        <v>0</v>
      </c>
      <c r="Q69" s="52"/>
      <c r="R69" s="52"/>
      <c r="S69" s="39"/>
      <c r="T69" s="39"/>
      <c r="U69" s="39"/>
    </row>
    <row r="70" spans="1:21" s="33" customFormat="1" ht="12.75">
      <c r="A70" s="773"/>
      <c r="B70" s="752"/>
      <c r="C70" s="76" t="s">
        <v>14</v>
      </c>
      <c r="D70" s="85">
        <f>E70+M70</f>
        <v>15900830</v>
      </c>
      <c r="E70" s="88">
        <f>F70+I70+J70+K70+L70</f>
        <v>15900830</v>
      </c>
      <c r="F70" s="88">
        <f>G70+H70</f>
        <v>15900830</v>
      </c>
      <c r="G70" s="88"/>
      <c r="H70" s="88">
        <v>15900830</v>
      </c>
      <c r="I70" s="88"/>
      <c r="J70" s="88"/>
      <c r="K70" s="88"/>
      <c r="L70" s="88"/>
      <c r="M70" s="88">
        <f t="shared" si="25"/>
        <v>0</v>
      </c>
      <c r="N70" s="88"/>
      <c r="O70" s="88"/>
      <c r="P70" s="88"/>
      <c r="Q70" s="52"/>
      <c r="R70" s="52"/>
      <c r="S70" s="39"/>
      <c r="T70" s="39"/>
      <c r="U70" s="39"/>
    </row>
    <row r="71" spans="1:21" s="33" customFormat="1" ht="12.75">
      <c r="A71" s="774"/>
      <c r="B71" s="753"/>
      <c r="C71" s="76" t="s">
        <v>15</v>
      </c>
      <c r="D71" s="85">
        <f>D69+D70</f>
        <v>126483787</v>
      </c>
      <c r="E71" s="88">
        <f>E69+E70</f>
        <v>126483787</v>
      </c>
      <c r="F71" s="88">
        <f aca="true" t="shared" si="26" ref="F71:P71">F69+F70</f>
        <v>25961052</v>
      </c>
      <c r="G71" s="88">
        <f t="shared" si="26"/>
        <v>47856</v>
      </c>
      <c r="H71" s="88">
        <f t="shared" si="26"/>
        <v>25913196</v>
      </c>
      <c r="I71" s="88">
        <f t="shared" si="26"/>
        <v>100522735</v>
      </c>
      <c r="J71" s="88">
        <f t="shared" si="26"/>
        <v>0</v>
      </c>
      <c r="K71" s="88">
        <f t="shared" si="26"/>
        <v>0</v>
      </c>
      <c r="L71" s="88">
        <f t="shared" si="26"/>
        <v>0</v>
      </c>
      <c r="M71" s="88">
        <f t="shared" si="26"/>
        <v>0</v>
      </c>
      <c r="N71" s="88">
        <f t="shared" si="26"/>
        <v>0</v>
      </c>
      <c r="O71" s="88">
        <f t="shared" si="26"/>
        <v>0</v>
      </c>
      <c r="P71" s="88">
        <f t="shared" si="26"/>
        <v>0</v>
      </c>
      <c r="Q71" s="52"/>
      <c r="R71" s="52"/>
      <c r="S71" s="39"/>
      <c r="T71" s="39"/>
      <c r="U71" s="39"/>
    </row>
    <row r="72" spans="1:21" s="33" customFormat="1" ht="12.75" hidden="1">
      <c r="A72" s="772" t="s">
        <v>113</v>
      </c>
      <c r="B72" s="751" t="s">
        <v>114</v>
      </c>
      <c r="C72" s="74" t="s">
        <v>13</v>
      </c>
      <c r="D72" s="85">
        <f>E72+M72</f>
        <v>200000</v>
      </c>
      <c r="E72" s="88">
        <f>F72+I72+J72+K72+L72</f>
        <v>0</v>
      </c>
      <c r="F72" s="88">
        <f>G72+H72</f>
        <v>0</v>
      </c>
      <c r="G72" s="88">
        <v>0</v>
      </c>
      <c r="H72" s="88">
        <v>0</v>
      </c>
      <c r="I72" s="88">
        <v>0</v>
      </c>
      <c r="J72" s="88">
        <v>0</v>
      </c>
      <c r="K72" s="88">
        <v>0</v>
      </c>
      <c r="L72" s="88">
        <v>0</v>
      </c>
      <c r="M72" s="88">
        <f t="shared" si="25"/>
        <v>200000</v>
      </c>
      <c r="N72" s="88">
        <v>200000</v>
      </c>
      <c r="O72" s="88">
        <v>0</v>
      </c>
      <c r="P72" s="88">
        <v>0</v>
      </c>
      <c r="Q72" s="52"/>
      <c r="R72" s="52"/>
      <c r="S72" s="39"/>
      <c r="T72" s="39"/>
      <c r="U72" s="39"/>
    </row>
    <row r="73" spans="1:21" s="33" customFormat="1" ht="12.75" hidden="1">
      <c r="A73" s="773"/>
      <c r="B73" s="752"/>
      <c r="C73" s="74" t="s">
        <v>14</v>
      </c>
      <c r="D73" s="85">
        <f>E73+M73</f>
        <v>0</v>
      </c>
      <c r="E73" s="88">
        <f>F73+I73+J73+K73+L73</f>
        <v>0</v>
      </c>
      <c r="F73" s="88">
        <f>G73+H73</f>
        <v>0</v>
      </c>
      <c r="G73" s="88"/>
      <c r="H73" s="88"/>
      <c r="I73" s="88"/>
      <c r="J73" s="88"/>
      <c r="K73" s="88"/>
      <c r="L73" s="88"/>
      <c r="M73" s="88">
        <f t="shared" si="25"/>
        <v>0</v>
      </c>
      <c r="N73" s="88"/>
      <c r="O73" s="88"/>
      <c r="P73" s="88"/>
      <c r="Q73" s="52"/>
      <c r="R73" s="52"/>
      <c r="S73" s="39"/>
      <c r="T73" s="39"/>
      <c r="U73" s="39"/>
    </row>
    <row r="74" spans="1:21" s="33" customFormat="1" ht="12.75" hidden="1">
      <c r="A74" s="774"/>
      <c r="B74" s="753"/>
      <c r="C74" s="74" t="s">
        <v>15</v>
      </c>
      <c r="D74" s="85">
        <f>D72+D73</f>
        <v>200000</v>
      </c>
      <c r="E74" s="88">
        <f>E72+E73</f>
        <v>0</v>
      </c>
      <c r="F74" s="88">
        <f aca="true" t="shared" si="27" ref="F74:P74">F72+F73</f>
        <v>0</v>
      </c>
      <c r="G74" s="88">
        <f t="shared" si="27"/>
        <v>0</v>
      </c>
      <c r="H74" s="88">
        <f t="shared" si="27"/>
        <v>0</v>
      </c>
      <c r="I74" s="88">
        <f t="shared" si="27"/>
        <v>0</v>
      </c>
      <c r="J74" s="88">
        <f t="shared" si="27"/>
        <v>0</v>
      </c>
      <c r="K74" s="88">
        <f t="shared" si="27"/>
        <v>0</v>
      </c>
      <c r="L74" s="88">
        <f t="shared" si="27"/>
        <v>0</v>
      </c>
      <c r="M74" s="88">
        <f t="shared" si="27"/>
        <v>200000</v>
      </c>
      <c r="N74" s="88">
        <f t="shared" si="27"/>
        <v>200000</v>
      </c>
      <c r="O74" s="88">
        <f t="shared" si="27"/>
        <v>0</v>
      </c>
      <c r="P74" s="88">
        <f t="shared" si="27"/>
        <v>0</v>
      </c>
      <c r="Q74" s="52"/>
      <c r="R74" s="52"/>
      <c r="S74" s="39"/>
      <c r="T74" s="39"/>
      <c r="U74" s="39"/>
    </row>
    <row r="75" spans="1:21" s="33" customFormat="1" ht="12.75">
      <c r="A75" s="772" t="s">
        <v>49</v>
      </c>
      <c r="B75" s="751" t="s">
        <v>50</v>
      </c>
      <c r="C75" s="74" t="s">
        <v>13</v>
      </c>
      <c r="D75" s="85">
        <f>E75+M75</f>
        <v>37000000</v>
      </c>
      <c r="E75" s="88">
        <f>F75+I75+J75+K75+L75</f>
        <v>37000000</v>
      </c>
      <c r="F75" s="88">
        <f>G75+H75</f>
        <v>0</v>
      </c>
      <c r="G75" s="88">
        <v>0</v>
      </c>
      <c r="H75" s="88">
        <v>0</v>
      </c>
      <c r="I75" s="88">
        <v>37000000</v>
      </c>
      <c r="J75" s="88">
        <v>0</v>
      </c>
      <c r="K75" s="88">
        <v>0</v>
      </c>
      <c r="L75" s="88">
        <v>0</v>
      </c>
      <c r="M75" s="88">
        <f t="shared" si="25"/>
        <v>0</v>
      </c>
      <c r="N75" s="88">
        <v>0</v>
      </c>
      <c r="O75" s="88">
        <v>0</v>
      </c>
      <c r="P75" s="88">
        <v>0</v>
      </c>
      <c r="Q75" s="52"/>
      <c r="R75" s="52"/>
      <c r="S75" s="39"/>
      <c r="T75" s="39"/>
      <c r="U75" s="39"/>
    </row>
    <row r="76" spans="1:21" s="33" customFormat="1" ht="12.75">
      <c r="A76" s="773"/>
      <c r="B76" s="752"/>
      <c r="C76" s="74" t="s">
        <v>14</v>
      </c>
      <c r="D76" s="85">
        <f>E76+M76</f>
        <v>43831</v>
      </c>
      <c r="E76" s="88">
        <f>F76+I76+J76+K76+L76</f>
        <v>43831</v>
      </c>
      <c r="F76" s="88">
        <f>G76+H76</f>
        <v>0</v>
      </c>
      <c r="G76" s="88"/>
      <c r="H76" s="88"/>
      <c r="I76" s="88">
        <v>43831</v>
      </c>
      <c r="J76" s="88"/>
      <c r="K76" s="88"/>
      <c r="L76" s="88"/>
      <c r="M76" s="88">
        <f t="shared" si="25"/>
        <v>0</v>
      </c>
      <c r="N76" s="88"/>
      <c r="O76" s="88"/>
      <c r="P76" s="88"/>
      <c r="Q76" s="52"/>
      <c r="R76" s="52"/>
      <c r="S76" s="39"/>
      <c r="T76" s="39"/>
      <c r="U76" s="39"/>
    </row>
    <row r="77" spans="1:21" s="33" customFormat="1" ht="12.75">
      <c r="A77" s="774"/>
      <c r="B77" s="753"/>
      <c r="C77" s="74" t="s">
        <v>15</v>
      </c>
      <c r="D77" s="85">
        <f>D75+D76</f>
        <v>37043831</v>
      </c>
      <c r="E77" s="88">
        <f>E75+E76</f>
        <v>37043831</v>
      </c>
      <c r="F77" s="88">
        <f aca="true" t="shared" si="28" ref="F77:P77">F75+F76</f>
        <v>0</v>
      </c>
      <c r="G77" s="88">
        <f t="shared" si="28"/>
        <v>0</v>
      </c>
      <c r="H77" s="88">
        <f t="shared" si="28"/>
        <v>0</v>
      </c>
      <c r="I77" s="88">
        <f t="shared" si="28"/>
        <v>37043831</v>
      </c>
      <c r="J77" s="88">
        <f t="shared" si="28"/>
        <v>0</v>
      </c>
      <c r="K77" s="88">
        <f t="shared" si="28"/>
        <v>0</v>
      </c>
      <c r="L77" s="88">
        <f t="shared" si="28"/>
        <v>0</v>
      </c>
      <c r="M77" s="88">
        <f t="shared" si="28"/>
        <v>0</v>
      </c>
      <c r="N77" s="88">
        <f t="shared" si="28"/>
        <v>0</v>
      </c>
      <c r="O77" s="88">
        <f t="shared" si="28"/>
        <v>0</v>
      </c>
      <c r="P77" s="88">
        <f t="shared" si="28"/>
        <v>0</v>
      </c>
      <c r="Q77" s="52"/>
      <c r="R77" s="52"/>
      <c r="S77" s="39"/>
      <c r="T77" s="39"/>
      <c r="U77" s="39"/>
    </row>
    <row r="78" spans="1:21" s="33" customFormat="1" ht="12.75" hidden="1">
      <c r="A78" s="769">
        <v>60004</v>
      </c>
      <c r="B78" s="751" t="s">
        <v>205</v>
      </c>
      <c r="C78" s="74" t="s">
        <v>13</v>
      </c>
      <c r="D78" s="85">
        <f>E78+M78</f>
        <v>3712233</v>
      </c>
      <c r="E78" s="88">
        <f>F78+I78+J78+K78+L78</f>
        <v>3712233</v>
      </c>
      <c r="F78" s="88">
        <f>G78+H78</f>
        <v>0</v>
      </c>
      <c r="G78" s="88">
        <v>0</v>
      </c>
      <c r="H78" s="88">
        <v>0</v>
      </c>
      <c r="I78" s="88">
        <v>3712233</v>
      </c>
      <c r="J78" s="88">
        <v>0</v>
      </c>
      <c r="K78" s="88">
        <v>0</v>
      </c>
      <c r="L78" s="88">
        <v>0</v>
      </c>
      <c r="M78" s="88">
        <f>N78+P78</f>
        <v>0</v>
      </c>
      <c r="N78" s="88">
        <v>0</v>
      </c>
      <c r="O78" s="88">
        <v>0</v>
      </c>
      <c r="P78" s="88">
        <v>0</v>
      </c>
      <c r="Q78" s="52"/>
      <c r="R78" s="52"/>
      <c r="S78" s="39"/>
      <c r="T78" s="39"/>
      <c r="U78" s="39"/>
    </row>
    <row r="79" spans="1:21" s="33" customFormat="1" ht="12.75" hidden="1">
      <c r="A79" s="770"/>
      <c r="B79" s="752"/>
      <c r="C79" s="74" t="s">
        <v>14</v>
      </c>
      <c r="D79" s="85">
        <f>E79+M79</f>
        <v>0</v>
      </c>
      <c r="E79" s="88">
        <f>F79+I79+J79+K79+L79</f>
        <v>0</v>
      </c>
      <c r="F79" s="88">
        <f>G79+H79</f>
        <v>0</v>
      </c>
      <c r="G79" s="88"/>
      <c r="H79" s="88"/>
      <c r="I79" s="88"/>
      <c r="J79" s="88"/>
      <c r="K79" s="88"/>
      <c r="L79" s="88"/>
      <c r="M79" s="88">
        <f>N79+P79</f>
        <v>0</v>
      </c>
      <c r="N79" s="88"/>
      <c r="O79" s="88"/>
      <c r="P79" s="88"/>
      <c r="Q79" s="52"/>
      <c r="R79" s="52"/>
      <c r="S79" s="39"/>
      <c r="T79" s="39"/>
      <c r="U79" s="39"/>
    </row>
    <row r="80" spans="1:21" s="33" customFormat="1" ht="12.75" hidden="1">
      <c r="A80" s="771"/>
      <c r="B80" s="753"/>
      <c r="C80" s="74" t="s">
        <v>15</v>
      </c>
      <c r="D80" s="85">
        <f>D78+D79</f>
        <v>3712233</v>
      </c>
      <c r="E80" s="88">
        <f>E78+E79</f>
        <v>3712233</v>
      </c>
      <c r="F80" s="88">
        <f aca="true" t="shared" si="29" ref="F80:P80">F78+F79</f>
        <v>0</v>
      </c>
      <c r="G80" s="88">
        <f t="shared" si="29"/>
        <v>0</v>
      </c>
      <c r="H80" s="88">
        <f t="shared" si="29"/>
        <v>0</v>
      </c>
      <c r="I80" s="88">
        <f t="shared" si="29"/>
        <v>3712233</v>
      </c>
      <c r="J80" s="88">
        <f t="shared" si="29"/>
        <v>0</v>
      </c>
      <c r="K80" s="88">
        <f t="shared" si="29"/>
        <v>0</v>
      </c>
      <c r="L80" s="88">
        <f t="shared" si="29"/>
        <v>0</v>
      </c>
      <c r="M80" s="88">
        <f t="shared" si="29"/>
        <v>0</v>
      </c>
      <c r="N80" s="88">
        <f t="shared" si="29"/>
        <v>0</v>
      </c>
      <c r="O80" s="88">
        <f t="shared" si="29"/>
        <v>0</v>
      </c>
      <c r="P80" s="88">
        <f t="shared" si="29"/>
        <v>0</v>
      </c>
      <c r="Q80" s="52"/>
      <c r="R80" s="52"/>
      <c r="S80" s="39"/>
      <c r="T80" s="39"/>
      <c r="U80" s="39"/>
    </row>
    <row r="81" spans="1:21" s="33" customFormat="1" ht="12.75">
      <c r="A81" s="772" t="s">
        <v>21</v>
      </c>
      <c r="B81" s="751" t="s">
        <v>115</v>
      </c>
      <c r="C81" s="74" t="s">
        <v>13</v>
      </c>
      <c r="D81" s="85">
        <f>E81+M81</f>
        <v>240784784</v>
      </c>
      <c r="E81" s="88">
        <f>F81+I81+J81+K81+L81</f>
        <v>41806339</v>
      </c>
      <c r="F81" s="88">
        <f>G81+H81</f>
        <v>41229883</v>
      </c>
      <c r="G81" s="88">
        <v>13927348</v>
      </c>
      <c r="H81" s="88">
        <v>27302535</v>
      </c>
      <c r="I81" s="88">
        <v>0</v>
      </c>
      <c r="J81" s="88">
        <v>65000</v>
      </c>
      <c r="K81" s="88">
        <v>511456</v>
      </c>
      <c r="L81" s="88">
        <v>0</v>
      </c>
      <c r="M81" s="88">
        <f t="shared" si="25"/>
        <v>198978445</v>
      </c>
      <c r="N81" s="88">
        <v>198978445</v>
      </c>
      <c r="O81" s="88">
        <v>146160442</v>
      </c>
      <c r="P81" s="88">
        <v>0</v>
      </c>
      <c r="Q81" s="52"/>
      <c r="R81" s="52"/>
      <c r="S81" s="39"/>
      <c r="T81" s="39"/>
      <c r="U81" s="39"/>
    </row>
    <row r="82" spans="1:21" s="33" customFormat="1" ht="12.75">
      <c r="A82" s="773"/>
      <c r="B82" s="752"/>
      <c r="C82" s="74" t="s">
        <v>14</v>
      </c>
      <c r="D82" s="85">
        <f>E82+M82</f>
        <v>11452300</v>
      </c>
      <c r="E82" s="88">
        <f>F82+I82+J82+K82+L82</f>
        <v>552653</v>
      </c>
      <c r="F82" s="88">
        <f>G82+H82</f>
        <v>552653</v>
      </c>
      <c r="G82" s="88"/>
      <c r="H82" s="88">
        <f>38500+51700+23000+3080+355624-6010+49820+229+1710+35000</f>
        <v>552653</v>
      </c>
      <c r="I82" s="88"/>
      <c r="J82" s="88"/>
      <c r="K82" s="88"/>
      <c r="L82" s="88"/>
      <c r="M82" s="88">
        <f t="shared" si="25"/>
        <v>10899647</v>
      </c>
      <c r="N82" s="88">
        <f>11657873-835000+76774</f>
        <v>10899647</v>
      </c>
      <c r="O82" s="88"/>
      <c r="P82" s="88"/>
      <c r="Q82" s="52"/>
      <c r="R82" s="52"/>
      <c r="S82" s="39"/>
      <c r="T82" s="39"/>
      <c r="U82" s="39"/>
    </row>
    <row r="83" spans="1:21" s="33" customFormat="1" ht="12.75">
      <c r="A83" s="774"/>
      <c r="B83" s="753"/>
      <c r="C83" s="74" t="s">
        <v>15</v>
      </c>
      <c r="D83" s="85">
        <f>D81+D82</f>
        <v>252237084</v>
      </c>
      <c r="E83" s="88">
        <f>E81+E82</f>
        <v>42358992</v>
      </c>
      <c r="F83" s="88">
        <f aca="true" t="shared" si="30" ref="F83:P83">F81+F82</f>
        <v>41782536</v>
      </c>
      <c r="G83" s="88">
        <f t="shared" si="30"/>
        <v>13927348</v>
      </c>
      <c r="H83" s="88">
        <f t="shared" si="30"/>
        <v>27855188</v>
      </c>
      <c r="I83" s="88">
        <f t="shared" si="30"/>
        <v>0</v>
      </c>
      <c r="J83" s="88">
        <f t="shared" si="30"/>
        <v>65000</v>
      </c>
      <c r="K83" s="88">
        <f t="shared" si="30"/>
        <v>511456</v>
      </c>
      <c r="L83" s="88">
        <f t="shared" si="30"/>
        <v>0</v>
      </c>
      <c r="M83" s="88">
        <f t="shared" si="30"/>
        <v>209878092</v>
      </c>
      <c r="N83" s="88">
        <f t="shared" si="30"/>
        <v>209878092</v>
      </c>
      <c r="O83" s="88">
        <f t="shared" si="30"/>
        <v>146160442</v>
      </c>
      <c r="P83" s="88">
        <f t="shared" si="30"/>
        <v>0</v>
      </c>
      <c r="Q83" s="52"/>
      <c r="R83" s="52"/>
      <c r="S83" s="39"/>
      <c r="T83" s="39"/>
      <c r="U83" s="39"/>
    </row>
    <row r="84" spans="1:21" s="33" customFormat="1" ht="12.75">
      <c r="A84" s="772" t="s">
        <v>78</v>
      </c>
      <c r="B84" s="751" t="s">
        <v>116</v>
      </c>
      <c r="C84" s="74" t="s">
        <v>13</v>
      </c>
      <c r="D84" s="85">
        <f>E84+M84</f>
        <v>6550000</v>
      </c>
      <c r="E84" s="88">
        <f>F84+I84+J84+K84+L84</f>
        <v>0</v>
      </c>
      <c r="F84" s="88">
        <f>G84+H84</f>
        <v>0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88">
        <v>0</v>
      </c>
      <c r="M84" s="88">
        <f t="shared" si="25"/>
        <v>6550000</v>
      </c>
      <c r="N84" s="88">
        <v>6550000</v>
      </c>
      <c r="O84" s="88">
        <v>0</v>
      </c>
      <c r="P84" s="88">
        <v>0</v>
      </c>
      <c r="Q84" s="52"/>
      <c r="R84" s="52"/>
      <c r="S84" s="39"/>
      <c r="T84" s="39"/>
      <c r="U84" s="39"/>
    </row>
    <row r="85" spans="1:21" s="33" customFormat="1" ht="12.75">
      <c r="A85" s="773"/>
      <c r="B85" s="752"/>
      <c r="C85" s="74" t="s">
        <v>14</v>
      </c>
      <c r="D85" s="85">
        <f>E85+M85</f>
        <v>-289987</v>
      </c>
      <c r="E85" s="88">
        <f>F85+I85+J85+K85+L85</f>
        <v>0</v>
      </c>
      <c r="F85" s="88">
        <f>G85+H85</f>
        <v>0</v>
      </c>
      <c r="G85" s="88"/>
      <c r="H85" s="88"/>
      <c r="I85" s="88"/>
      <c r="J85" s="88"/>
      <c r="K85" s="88"/>
      <c r="L85" s="88"/>
      <c r="M85" s="88">
        <f t="shared" si="25"/>
        <v>-289987</v>
      </c>
      <c r="N85" s="88">
        <v>-289987</v>
      </c>
      <c r="O85" s="88"/>
      <c r="P85" s="88"/>
      <c r="Q85" s="52"/>
      <c r="R85" s="52"/>
      <c r="S85" s="39"/>
      <c r="T85" s="39"/>
      <c r="U85" s="39"/>
    </row>
    <row r="86" spans="1:21" s="33" customFormat="1" ht="12.75">
      <c r="A86" s="774"/>
      <c r="B86" s="753"/>
      <c r="C86" s="74" t="s">
        <v>15</v>
      </c>
      <c r="D86" s="85">
        <f>D84+D85</f>
        <v>6260013</v>
      </c>
      <c r="E86" s="88">
        <f>E84+E85</f>
        <v>0</v>
      </c>
      <c r="F86" s="88">
        <f aca="true" t="shared" si="31" ref="F86:P86">F84+F85</f>
        <v>0</v>
      </c>
      <c r="G86" s="88">
        <f t="shared" si="31"/>
        <v>0</v>
      </c>
      <c r="H86" s="88">
        <f t="shared" si="31"/>
        <v>0</v>
      </c>
      <c r="I86" s="88">
        <f t="shared" si="31"/>
        <v>0</v>
      </c>
      <c r="J86" s="88">
        <f t="shared" si="31"/>
        <v>0</v>
      </c>
      <c r="K86" s="88">
        <f t="shared" si="31"/>
        <v>0</v>
      </c>
      <c r="L86" s="88">
        <f t="shared" si="31"/>
        <v>0</v>
      </c>
      <c r="M86" s="88">
        <f t="shared" si="31"/>
        <v>6260013</v>
      </c>
      <c r="N86" s="88">
        <f t="shared" si="31"/>
        <v>6260013</v>
      </c>
      <c r="O86" s="88">
        <f t="shared" si="31"/>
        <v>0</v>
      </c>
      <c r="P86" s="88">
        <f t="shared" si="31"/>
        <v>0</v>
      </c>
      <c r="Q86" s="52"/>
      <c r="R86" s="52"/>
      <c r="S86" s="39"/>
      <c r="T86" s="39"/>
      <c r="U86" s="39"/>
    </row>
    <row r="87" spans="1:21" s="33" customFormat="1" ht="12.75" hidden="1">
      <c r="A87" s="772" t="s">
        <v>45</v>
      </c>
      <c r="B87" s="751" t="s">
        <v>117</v>
      </c>
      <c r="C87" s="74" t="s">
        <v>13</v>
      </c>
      <c r="D87" s="85">
        <f>E87+M87</f>
        <v>150000</v>
      </c>
      <c r="E87" s="88">
        <f>F87+I87+J87+K87+L87</f>
        <v>0</v>
      </c>
      <c r="F87" s="88">
        <f>G87+H87</f>
        <v>0</v>
      </c>
      <c r="G87" s="88">
        <v>0</v>
      </c>
      <c r="H87" s="88">
        <v>0</v>
      </c>
      <c r="I87" s="88">
        <v>0</v>
      </c>
      <c r="J87" s="88">
        <v>0</v>
      </c>
      <c r="K87" s="88">
        <v>0</v>
      </c>
      <c r="L87" s="88">
        <v>0</v>
      </c>
      <c r="M87" s="88">
        <f t="shared" si="25"/>
        <v>150000</v>
      </c>
      <c r="N87" s="88">
        <v>150000</v>
      </c>
      <c r="O87" s="88">
        <v>0</v>
      </c>
      <c r="P87" s="88">
        <v>0</v>
      </c>
      <c r="Q87" s="52"/>
      <c r="R87" s="52"/>
      <c r="S87" s="39"/>
      <c r="T87" s="39"/>
      <c r="U87" s="39"/>
    </row>
    <row r="88" spans="1:21" s="33" customFormat="1" ht="12.75" hidden="1">
      <c r="A88" s="773"/>
      <c r="B88" s="752"/>
      <c r="C88" s="74" t="s">
        <v>14</v>
      </c>
      <c r="D88" s="85">
        <f>E88+M88</f>
        <v>0</v>
      </c>
      <c r="E88" s="88">
        <f>F88+I88+J88+K88+L88</f>
        <v>0</v>
      </c>
      <c r="F88" s="88">
        <f>G88+H88</f>
        <v>0</v>
      </c>
      <c r="G88" s="88"/>
      <c r="H88" s="88"/>
      <c r="I88" s="88"/>
      <c r="J88" s="88"/>
      <c r="K88" s="88"/>
      <c r="L88" s="88"/>
      <c r="M88" s="88">
        <f t="shared" si="25"/>
        <v>0</v>
      </c>
      <c r="N88" s="88"/>
      <c r="O88" s="88"/>
      <c r="P88" s="88"/>
      <c r="Q88" s="52"/>
      <c r="R88" s="52"/>
      <c r="S88" s="39"/>
      <c r="T88" s="39"/>
      <c r="U88" s="39"/>
    </row>
    <row r="89" spans="1:21" s="33" customFormat="1" ht="12.75" hidden="1">
      <c r="A89" s="774"/>
      <c r="B89" s="753"/>
      <c r="C89" s="74" t="s">
        <v>15</v>
      </c>
      <c r="D89" s="85">
        <f>D87+D88</f>
        <v>150000</v>
      </c>
      <c r="E89" s="88">
        <f>E87+E88</f>
        <v>0</v>
      </c>
      <c r="F89" s="88">
        <f aca="true" t="shared" si="32" ref="F89:P89">F87+F88</f>
        <v>0</v>
      </c>
      <c r="G89" s="88">
        <f t="shared" si="32"/>
        <v>0</v>
      </c>
      <c r="H89" s="88">
        <f t="shared" si="32"/>
        <v>0</v>
      </c>
      <c r="I89" s="88">
        <f t="shared" si="32"/>
        <v>0</v>
      </c>
      <c r="J89" s="88">
        <f t="shared" si="32"/>
        <v>0</v>
      </c>
      <c r="K89" s="88">
        <f t="shared" si="32"/>
        <v>0</v>
      </c>
      <c r="L89" s="88">
        <f t="shared" si="32"/>
        <v>0</v>
      </c>
      <c r="M89" s="88">
        <f t="shared" si="32"/>
        <v>150000</v>
      </c>
      <c r="N89" s="88">
        <f t="shared" si="32"/>
        <v>150000</v>
      </c>
      <c r="O89" s="88">
        <f t="shared" si="32"/>
        <v>0</v>
      </c>
      <c r="P89" s="88">
        <f t="shared" si="32"/>
        <v>0</v>
      </c>
      <c r="Q89" s="52"/>
      <c r="R89" s="52"/>
      <c r="S89" s="39"/>
      <c r="T89" s="39"/>
      <c r="U89" s="39"/>
    </row>
    <row r="90" spans="1:21" s="33" customFormat="1" ht="12.75" hidden="1">
      <c r="A90" s="772" t="s">
        <v>51</v>
      </c>
      <c r="B90" s="751" t="s">
        <v>52</v>
      </c>
      <c r="C90" s="74" t="s">
        <v>13</v>
      </c>
      <c r="D90" s="85">
        <f>E90+M90</f>
        <v>1213479</v>
      </c>
      <c r="E90" s="88">
        <f>F90+I90+J90+K90+L90</f>
        <v>1213479</v>
      </c>
      <c r="F90" s="88">
        <f>G90+H90</f>
        <v>394000</v>
      </c>
      <c r="G90" s="88">
        <v>160900</v>
      </c>
      <c r="H90" s="88">
        <f>212100+1000+20000</f>
        <v>233100</v>
      </c>
      <c r="I90" s="88">
        <v>50000</v>
      </c>
      <c r="J90" s="88">
        <v>0</v>
      </c>
      <c r="K90" s="88">
        <v>769479</v>
      </c>
      <c r="L90" s="88">
        <v>0</v>
      </c>
      <c r="M90" s="88">
        <f t="shared" si="25"/>
        <v>0</v>
      </c>
      <c r="N90" s="88">
        <v>0</v>
      </c>
      <c r="O90" s="88">
        <v>0</v>
      </c>
      <c r="P90" s="88">
        <v>0</v>
      </c>
      <c r="Q90" s="52"/>
      <c r="R90" s="52"/>
      <c r="S90" s="39"/>
      <c r="T90" s="39"/>
      <c r="U90" s="39"/>
    </row>
    <row r="91" spans="1:21" s="33" customFormat="1" ht="12.75" hidden="1">
      <c r="A91" s="773"/>
      <c r="B91" s="752"/>
      <c r="C91" s="74" t="s">
        <v>14</v>
      </c>
      <c r="D91" s="85">
        <f>E91+M91</f>
        <v>0</v>
      </c>
      <c r="E91" s="88">
        <f>F91+I91+J91+K91+L91</f>
        <v>0</v>
      </c>
      <c r="F91" s="88">
        <f>G91+H91</f>
        <v>0</v>
      </c>
      <c r="G91" s="88"/>
      <c r="H91" s="88"/>
      <c r="I91" s="88"/>
      <c r="J91" s="88"/>
      <c r="K91" s="88"/>
      <c r="L91" s="88"/>
      <c r="M91" s="88">
        <f t="shared" si="25"/>
        <v>0</v>
      </c>
      <c r="N91" s="88"/>
      <c r="O91" s="88"/>
      <c r="P91" s="88"/>
      <c r="Q91" s="52"/>
      <c r="R91" s="52"/>
      <c r="S91" s="39"/>
      <c r="T91" s="39"/>
      <c r="U91" s="39"/>
    </row>
    <row r="92" spans="1:21" s="33" customFormat="1" ht="12.75" hidden="1">
      <c r="A92" s="774"/>
      <c r="B92" s="753"/>
      <c r="C92" s="74" t="s">
        <v>15</v>
      </c>
      <c r="D92" s="85">
        <f>D90+D91</f>
        <v>1213479</v>
      </c>
      <c r="E92" s="88">
        <f>E90+E91</f>
        <v>1213479</v>
      </c>
      <c r="F92" s="88">
        <f aca="true" t="shared" si="33" ref="F92:P92">F90+F91</f>
        <v>394000</v>
      </c>
      <c r="G92" s="88">
        <f t="shared" si="33"/>
        <v>160900</v>
      </c>
      <c r="H92" s="88">
        <f t="shared" si="33"/>
        <v>233100</v>
      </c>
      <c r="I92" s="88">
        <f t="shared" si="33"/>
        <v>50000</v>
      </c>
      <c r="J92" s="88">
        <f t="shared" si="33"/>
        <v>0</v>
      </c>
      <c r="K92" s="88">
        <f t="shared" si="33"/>
        <v>769479</v>
      </c>
      <c r="L92" s="88">
        <f t="shared" si="33"/>
        <v>0</v>
      </c>
      <c r="M92" s="88">
        <f t="shared" si="33"/>
        <v>0</v>
      </c>
      <c r="N92" s="88">
        <f t="shared" si="33"/>
        <v>0</v>
      </c>
      <c r="O92" s="88">
        <f t="shared" si="33"/>
        <v>0</v>
      </c>
      <c r="P92" s="88">
        <f t="shared" si="33"/>
        <v>0</v>
      </c>
      <c r="Q92" s="52"/>
      <c r="R92" s="52"/>
      <c r="S92" s="39"/>
      <c r="T92" s="39"/>
      <c r="U92" s="39"/>
    </row>
    <row r="93" spans="1:21" s="35" customFormat="1" ht="17.25" customHeight="1">
      <c r="A93" s="778" t="s">
        <v>68</v>
      </c>
      <c r="B93" s="757" t="s">
        <v>69</v>
      </c>
      <c r="C93" s="77" t="s">
        <v>13</v>
      </c>
      <c r="D93" s="89">
        <f aca="true" t="shared" si="34" ref="D93:P94">D96+D99</f>
        <v>2112913</v>
      </c>
      <c r="E93" s="83">
        <f t="shared" si="34"/>
        <v>2112913</v>
      </c>
      <c r="F93" s="83">
        <f t="shared" si="34"/>
        <v>680805</v>
      </c>
      <c r="G93" s="83">
        <f t="shared" si="34"/>
        <v>182100</v>
      </c>
      <c r="H93" s="83">
        <f t="shared" si="34"/>
        <v>498705</v>
      </c>
      <c r="I93" s="83">
        <f t="shared" si="34"/>
        <v>150000</v>
      </c>
      <c r="J93" s="83">
        <f t="shared" si="34"/>
        <v>0</v>
      </c>
      <c r="K93" s="83">
        <f t="shared" si="34"/>
        <v>1282108</v>
      </c>
      <c r="L93" s="83">
        <f t="shared" si="34"/>
        <v>0</v>
      </c>
      <c r="M93" s="83">
        <f t="shared" si="34"/>
        <v>0</v>
      </c>
      <c r="N93" s="83">
        <f t="shared" si="34"/>
        <v>0</v>
      </c>
      <c r="O93" s="83">
        <f t="shared" si="34"/>
        <v>0</v>
      </c>
      <c r="P93" s="83">
        <f t="shared" si="34"/>
        <v>0</v>
      </c>
      <c r="Q93" s="65"/>
      <c r="R93" s="65"/>
      <c r="S93" s="41"/>
      <c r="T93" s="41"/>
      <c r="U93" s="41"/>
    </row>
    <row r="94" spans="1:21" s="35" customFormat="1" ht="17.25" customHeight="1">
      <c r="A94" s="779"/>
      <c r="B94" s="758"/>
      <c r="C94" s="77" t="s">
        <v>14</v>
      </c>
      <c r="D94" s="89">
        <f t="shared" si="34"/>
        <v>2000</v>
      </c>
      <c r="E94" s="83">
        <f t="shared" si="34"/>
        <v>2000</v>
      </c>
      <c r="F94" s="83">
        <f t="shared" si="34"/>
        <v>2000</v>
      </c>
      <c r="G94" s="83">
        <f t="shared" si="34"/>
        <v>0</v>
      </c>
      <c r="H94" s="83">
        <f t="shared" si="34"/>
        <v>2000</v>
      </c>
      <c r="I94" s="83">
        <f t="shared" si="34"/>
        <v>0</v>
      </c>
      <c r="J94" s="83">
        <f t="shared" si="34"/>
        <v>0</v>
      </c>
      <c r="K94" s="83">
        <f t="shared" si="34"/>
        <v>0</v>
      </c>
      <c r="L94" s="83">
        <f t="shared" si="34"/>
        <v>0</v>
      </c>
      <c r="M94" s="83">
        <f t="shared" si="34"/>
        <v>0</v>
      </c>
      <c r="N94" s="83">
        <f t="shared" si="34"/>
        <v>0</v>
      </c>
      <c r="O94" s="83">
        <f t="shared" si="34"/>
        <v>0</v>
      </c>
      <c r="P94" s="83">
        <f t="shared" si="34"/>
        <v>0</v>
      </c>
      <c r="Q94" s="65"/>
      <c r="R94" s="65"/>
      <c r="S94" s="41"/>
      <c r="T94" s="41"/>
      <c r="U94" s="41"/>
    </row>
    <row r="95" spans="1:21" s="35" customFormat="1" ht="17.25" customHeight="1">
      <c r="A95" s="780"/>
      <c r="B95" s="759"/>
      <c r="C95" s="77" t="s">
        <v>15</v>
      </c>
      <c r="D95" s="90">
        <f aca="true" t="shared" si="35" ref="D95:O95">D93+D94</f>
        <v>2114913</v>
      </c>
      <c r="E95" s="83">
        <f t="shared" si="35"/>
        <v>2114913</v>
      </c>
      <c r="F95" s="83">
        <f t="shared" si="35"/>
        <v>682805</v>
      </c>
      <c r="G95" s="83">
        <f t="shared" si="35"/>
        <v>182100</v>
      </c>
      <c r="H95" s="83">
        <f t="shared" si="35"/>
        <v>500705</v>
      </c>
      <c r="I95" s="83">
        <f t="shared" si="35"/>
        <v>150000</v>
      </c>
      <c r="J95" s="83">
        <f t="shared" si="35"/>
        <v>0</v>
      </c>
      <c r="K95" s="83">
        <f t="shared" si="35"/>
        <v>1282108</v>
      </c>
      <c r="L95" s="83">
        <f t="shared" si="35"/>
        <v>0</v>
      </c>
      <c r="M95" s="83">
        <f t="shared" si="35"/>
        <v>0</v>
      </c>
      <c r="N95" s="83">
        <f t="shared" si="35"/>
        <v>0</v>
      </c>
      <c r="O95" s="83">
        <f t="shared" si="35"/>
        <v>0</v>
      </c>
      <c r="P95" s="83">
        <f>P93+P94</f>
        <v>0</v>
      </c>
      <c r="Q95" s="65"/>
      <c r="R95" s="65"/>
      <c r="S95" s="41"/>
      <c r="T95" s="41"/>
      <c r="U95" s="41"/>
    </row>
    <row r="96" spans="1:21" s="33" customFormat="1" ht="12.75">
      <c r="A96" s="772" t="s">
        <v>118</v>
      </c>
      <c r="B96" s="751" t="s">
        <v>119</v>
      </c>
      <c r="C96" s="74" t="s">
        <v>13</v>
      </c>
      <c r="D96" s="85">
        <f>E96+M96</f>
        <v>652805</v>
      </c>
      <c r="E96" s="88">
        <f>F96+I96+J96+K96+L96</f>
        <v>652805</v>
      </c>
      <c r="F96" s="88">
        <f>G96+H96</f>
        <v>502805</v>
      </c>
      <c r="G96" s="88">
        <v>4100</v>
      </c>
      <c r="H96" s="88">
        <v>498705</v>
      </c>
      <c r="I96" s="88">
        <v>150000</v>
      </c>
      <c r="J96" s="88">
        <v>0</v>
      </c>
      <c r="K96" s="88">
        <v>0</v>
      </c>
      <c r="L96" s="88">
        <v>0</v>
      </c>
      <c r="M96" s="88">
        <f>N96+P96</f>
        <v>0</v>
      </c>
      <c r="N96" s="88">
        <v>0</v>
      </c>
      <c r="O96" s="88">
        <v>0</v>
      </c>
      <c r="P96" s="88">
        <v>0</v>
      </c>
      <c r="Q96" s="52"/>
      <c r="R96" s="52"/>
      <c r="S96" s="39"/>
      <c r="T96" s="39"/>
      <c r="U96" s="39"/>
    </row>
    <row r="97" spans="1:21" s="33" customFormat="1" ht="12.75">
      <c r="A97" s="773"/>
      <c r="B97" s="752"/>
      <c r="C97" s="74" t="s">
        <v>14</v>
      </c>
      <c r="D97" s="85">
        <f>E97+M97</f>
        <v>2000</v>
      </c>
      <c r="E97" s="88">
        <f>F97+I97+J97+K97+L97</f>
        <v>2000</v>
      </c>
      <c r="F97" s="88">
        <f>G97+H97</f>
        <v>2000</v>
      </c>
      <c r="G97" s="88"/>
      <c r="H97" s="88">
        <v>2000</v>
      </c>
      <c r="I97" s="88"/>
      <c r="J97" s="88"/>
      <c r="K97" s="88"/>
      <c r="L97" s="88"/>
      <c r="M97" s="88">
        <f>N97+P97</f>
        <v>0</v>
      </c>
      <c r="N97" s="88"/>
      <c r="O97" s="88"/>
      <c r="P97" s="88"/>
      <c r="Q97" s="52"/>
      <c r="R97" s="52"/>
      <c r="S97" s="39"/>
      <c r="T97" s="39"/>
      <c r="U97" s="39"/>
    </row>
    <row r="98" spans="1:21" s="33" customFormat="1" ht="12.75">
      <c r="A98" s="774"/>
      <c r="B98" s="753"/>
      <c r="C98" s="74" t="s">
        <v>15</v>
      </c>
      <c r="D98" s="85">
        <f>D96+D97</f>
        <v>654805</v>
      </c>
      <c r="E98" s="88">
        <f>E96+E97</f>
        <v>654805</v>
      </c>
      <c r="F98" s="88">
        <f aca="true" t="shared" si="36" ref="F98:P98">F96+F97</f>
        <v>504805</v>
      </c>
      <c r="G98" s="88">
        <f t="shared" si="36"/>
        <v>4100</v>
      </c>
      <c r="H98" s="88">
        <f t="shared" si="36"/>
        <v>500705</v>
      </c>
      <c r="I98" s="88">
        <f t="shared" si="36"/>
        <v>150000</v>
      </c>
      <c r="J98" s="88">
        <f t="shared" si="36"/>
        <v>0</v>
      </c>
      <c r="K98" s="88">
        <f t="shared" si="36"/>
        <v>0</v>
      </c>
      <c r="L98" s="88">
        <f t="shared" si="36"/>
        <v>0</v>
      </c>
      <c r="M98" s="88">
        <f t="shared" si="36"/>
        <v>0</v>
      </c>
      <c r="N98" s="88">
        <f t="shared" si="36"/>
        <v>0</v>
      </c>
      <c r="O98" s="88">
        <f t="shared" si="36"/>
        <v>0</v>
      </c>
      <c r="P98" s="88">
        <f t="shared" si="36"/>
        <v>0</v>
      </c>
      <c r="Q98" s="52"/>
      <c r="R98" s="52"/>
      <c r="S98" s="39"/>
      <c r="T98" s="39"/>
      <c r="U98" s="39"/>
    </row>
    <row r="99" spans="1:21" s="33" customFormat="1" ht="12.75" hidden="1">
      <c r="A99" s="772" t="s">
        <v>79</v>
      </c>
      <c r="B99" s="751" t="s">
        <v>52</v>
      </c>
      <c r="C99" s="74" t="s">
        <v>13</v>
      </c>
      <c r="D99" s="85">
        <f>E99+M99</f>
        <v>1460108</v>
      </c>
      <c r="E99" s="88">
        <f>F99+I99+J99+K99+L99</f>
        <v>1460108</v>
      </c>
      <c r="F99" s="88">
        <f>G99+H99</f>
        <v>178000</v>
      </c>
      <c r="G99" s="88">
        <v>178000</v>
      </c>
      <c r="H99" s="88">
        <v>0</v>
      </c>
      <c r="I99" s="88">
        <v>0</v>
      </c>
      <c r="J99" s="88">
        <v>0</v>
      </c>
      <c r="K99" s="88">
        <v>1282108</v>
      </c>
      <c r="L99" s="88">
        <v>0</v>
      </c>
      <c r="M99" s="88">
        <f>N99+P99</f>
        <v>0</v>
      </c>
      <c r="N99" s="88">
        <v>0</v>
      </c>
      <c r="O99" s="88">
        <v>0</v>
      </c>
      <c r="P99" s="88">
        <v>0</v>
      </c>
      <c r="Q99" s="52"/>
      <c r="R99" s="52"/>
      <c r="S99" s="39"/>
      <c r="T99" s="39"/>
      <c r="U99" s="39"/>
    </row>
    <row r="100" spans="1:21" s="33" customFormat="1" ht="12.75" hidden="1">
      <c r="A100" s="773"/>
      <c r="B100" s="752"/>
      <c r="C100" s="74" t="s">
        <v>14</v>
      </c>
      <c r="D100" s="85">
        <f>E100+M100</f>
        <v>0</v>
      </c>
      <c r="E100" s="88">
        <f>F100+I100+J100+K100+L100</f>
        <v>0</v>
      </c>
      <c r="F100" s="88">
        <f>G100+H100</f>
        <v>0</v>
      </c>
      <c r="G100" s="88"/>
      <c r="H100" s="88"/>
      <c r="I100" s="88"/>
      <c r="J100" s="88"/>
      <c r="K100" s="88"/>
      <c r="L100" s="88"/>
      <c r="M100" s="88">
        <f>N100+P100</f>
        <v>0</v>
      </c>
      <c r="N100" s="88"/>
      <c r="O100" s="88"/>
      <c r="P100" s="88"/>
      <c r="Q100" s="52"/>
      <c r="R100" s="52"/>
      <c r="S100" s="39"/>
      <c r="T100" s="39"/>
      <c r="U100" s="39"/>
    </row>
    <row r="101" spans="1:21" s="33" customFormat="1" ht="12.75" hidden="1">
      <c r="A101" s="774"/>
      <c r="B101" s="753"/>
      <c r="C101" s="74" t="s">
        <v>15</v>
      </c>
      <c r="D101" s="85">
        <f>D99+D100</f>
        <v>1460108</v>
      </c>
      <c r="E101" s="88">
        <f>E99+E100</f>
        <v>1460108</v>
      </c>
      <c r="F101" s="88">
        <f aca="true" t="shared" si="37" ref="F101:P101">F99+F100</f>
        <v>178000</v>
      </c>
      <c r="G101" s="88">
        <f t="shared" si="37"/>
        <v>178000</v>
      </c>
      <c r="H101" s="88">
        <f t="shared" si="37"/>
        <v>0</v>
      </c>
      <c r="I101" s="88">
        <f t="shared" si="37"/>
        <v>0</v>
      </c>
      <c r="J101" s="88">
        <f t="shared" si="37"/>
        <v>0</v>
      </c>
      <c r="K101" s="88">
        <f t="shared" si="37"/>
        <v>1282108</v>
      </c>
      <c r="L101" s="88">
        <f t="shared" si="37"/>
        <v>0</v>
      </c>
      <c r="M101" s="88">
        <f t="shared" si="37"/>
        <v>0</v>
      </c>
      <c r="N101" s="88">
        <f t="shared" si="37"/>
        <v>0</v>
      </c>
      <c r="O101" s="88">
        <f t="shared" si="37"/>
        <v>0</v>
      </c>
      <c r="P101" s="88">
        <f t="shared" si="37"/>
        <v>0</v>
      </c>
      <c r="Q101" s="52"/>
      <c r="R101" s="52"/>
      <c r="S101" s="39"/>
      <c r="T101" s="39"/>
      <c r="U101" s="39"/>
    </row>
    <row r="102" spans="1:21" s="35" customFormat="1" ht="15.75" customHeight="1">
      <c r="A102" s="778" t="s">
        <v>22</v>
      </c>
      <c r="B102" s="757" t="s">
        <v>23</v>
      </c>
      <c r="C102" s="77" t="s">
        <v>13</v>
      </c>
      <c r="D102" s="89">
        <f aca="true" t="shared" si="38" ref="D102:P103">D105</f>
        <v>2245140</v>
      </c>
      <c r="E102" s="83">
        <f t="shared" si="38"/>
        <v>1272500</v>
      </c>
      <c r="F102" s="83">
        <f t="shared" si="38"/>
        <v>1272500</v>
      </c>
      <c r="G102" s="83">
        <f t="shared" si="38"/>
        <v>0</v>
      </c>
      <c r="H102" s="83">
        <f t="shared" si="38"/>
        <v>1272500</v>
      </c>
      <c r="I102" s="83">
        <f t="shared" si="38"/>
        <v>0</v>
      </c>
      <c r="J102" s="83">
        <f t="shared" si="38"/>
        <v>0</v>
      </c>
      <c r="K102" s="83">
        <f t="shared" si="38"/>
        <v>0</v>
      </c>
      <c r="L102" s="83">
        <f t="shared" si="38"/>
        <v>0</v>
      </c>
      <c r="M102" s="83">
        <f t="shared" si="38"/>
        <v>972640</v>
      </c>
      <c r="N102" s="83">
        <f t="shared" si="38"/>
        <v>972640</v>
      </c>
      <c r="O102" s="83">
        <f>O105</f>
        <v>0</v>
      </c>
      <c r="P102" s="83">
        <f t="shared" si="38"/>
        <v>0</v>
      </c>
      <c r="Q102" s="65"/>
      <c r="R102" s="65"/>
      <c r="S102" s="41"/>
      <c r="T102" s="41"/>
      <c r="U102" s="41"/>
    </row>
    <row r="103" spans="1:21" s="35" customFormat="1" ht="15.75" customHeight="1">
      <c r="A103" s="779"/>
      <c r="B103" s="758"/>
      <c r="C103" s="77" t="s">
        <v>14</v>
      </c>
      <c r="D103" s="89">
        <f t="shared" si="38"/>
        <v>22000</v>
      </c>
      <c r="E103" s="83">
        <f t="shared" si="38"/>
        <v>22000</v>
      </c>
      <c r="F103" s="83">
        <f t="shared" si="38"/>
        <v>22000</v>
      </c>
      <c r="G103" s="83">
        <f t="shared" si="38"/>
        <v>0</v>
      </c>
      <c r="H103" s="83">
        <f t="shared" si="38"/>
        <v>22000</v>
      </c>
      <c r="I103" s="83">
        <f t="shared" si="38"/>
        <v>0</v>
      </c>
      <c r="J103" s="83">
        <f t="shared" si="38"/>
        <v>0</v>
      </c>
      <c r="K103" s="83">
        <f t="shared" si="38"/>
        <v>0</v>
      </c>
      <c r="L103" s="83">
        <f t="shared" si="38"/>
        <v>0</v>
      </c>
      <c r="M103" s="83">
        <f t="shared" si="38"/>
        <v>0</v>
      </c>
      <c r="N103" s="83">
        <f t="shared" si="38"/>
        <v>0</v>
      </c>
      <c r="O103" s="83">
        <f>O106</f>
        <v>0</v>
      </c>
      <c r="P103" s="83">
        <f t="shared" si="38"/>
        <v>0</v>
      </c>
      <c r="Q103" s="65"/>
      <c r="R103" s="65"/>
      <c r="S103" s="41"/>
      <c r="T103" s="41"/>
      <c r="U103" s="41"/>
    </row>
    <row r="104" spans="1:21" s="35" customFormat="1" ht="15.75" customHeight="1">
      <c r="A104" s="780"/>
      <c r="B104" s="759"/>
      <c r="C104" s="77" t="s">
        <v>15</v>
      </c>
      <c r="D104" s="90">
        <f aca="true" t="shared" si="39" ref="D104:O104">D102+D103</f>
        <v>2267140</v>
      </c>
      <c r="E104" s="83">
        <f t="shared" si="39"/>
        <v>1294500</v>
      </c>
      <c r="F104" s="83">
        <f t="shared" si="39"/>
        <v>1294500</v>
      </c>
      <c r="G104" s="83">
        <f t="shared" si="39"/>
        <v>0</v>
      </c>
      <c r="H104" s="83">
        <f t="shared" si="39"/>
        <v>1294500</v>
      </c>
      <c r="I104" s="83">
        <f t="shared" si="39"/>
        <v>0</v>
      </c>
      <c r="J104" s="83">
        <f t="shared" si="39"/>
        <v>0</v>
      </c>
      <c r="K104" s="83">
        <f t="shared" si="39"/>
        <v>0</v>
      </c>
      <c r="L104" s="83">
        <f t="shared" si="39"/>
        <v>0</v>
      </c>
      <c r="M104" s="83">
        <f t="shared" si="39"/>
        <v>972640</v>
      </c>
      <c r="N104" s="83">
        <f t="shared" si="39"/>
        <v>972640</v>
      </c>
      <c r="O104" s="83">
        <f t="shared" si="39"/>
        <v>0</v>
      </c>
      <c r="P104" s="83">
        <f>P102+P103</f>
        <v>0</v>
      </c>
      <c r="Q104" s="65"/>
      <c r="R104" s="65"/>
      <c r="S104" s="41"/>
      <c r="T104" s="41"/>
      <c r="U104" s="41"/>
    </row>
    <row r="105" spans="1:21" s="33" customFormat="1" ht="12.75">
      <c r="A105" s="772" t="s">
        <v>24</v>
      </c>
      <c r="B105" s="751" t="s">
        <v>120</v>
      </c>
      <c r="C105" s="74" t="s">
        <v>13</v>
      </c>
      <c r="D105" s="85">
        <f>E105+M105</f>
        <v>2245140</v>
      </c>
      <c r="E105" s="88">
        <f>F105+I105+J105+K105+L105</f>
        <v>1272500</v>
      </c>
      <c r="F105" s="88">
        <f>G105+H105</f>
        <v>1272500</v>
      </c>
      <c r="G105" s="88">
        <v>0</v>
      </c>
      <c r="H105" s="88">
        <v>1272500</v>
      </c>
      <c r="I105" s="88">
        <v>0</v>
      </c>
      <c r="J105" s="88">
        <v>0</v>
      </c>
      <c r="K105" s="88">
        <v>0</v>
      </c>
      <c r="L105" s="88">
        <v>0</v>
      </c>
      <c r="M105" s="88">
        <f>N105+P105</f>
        <v>972640</v>
      </c>
      <c r="N105" s="88">
        <v>972640</v>
      </c>
      <c r="O105" s="88">
        <v>0</v>
      </c>
      <c r="P105" s="88">
        <v>0</v>
      </c>
      <c r="Q105" s="52"/>
      <c r="R105" s="52"/>
      <c r="S105" s="39"/>
      <c r="T105" s="39"/>
      <c r="U105" s="39"/>
    </row>
    <row r="106" spans="1:21" s="33" customFormat="1" ht="12.75">
      <c r="A106" s="773"/>
      <c r="B106" s="752"/>
      <c r="C106" s="74" t="s">
        <v>14</v>
      </c>
      <c r="D106" s="85">
        <f>E106+M106</f>
        <v>22000</v>
      </c>
      <c r="E106" s="88">
        <f>F106+I106+J106+K106+L106</f>
        <v>22000</v>
      </c>
      <c r="F106" s="88">
        <f>G106+H106</f>
        <v>22000</v>
      </c>
      <c r="G106" s="88"/>
      <c r="H106" s="88">
        <v>22000</v>
      </c>
      <c r="I106" s="88"/>
      <c r="J106" s="88"/>
      <c r="K106" s="88"/>
      <c r="L106" s="88"/>
      <c r="M106" s="88">
        <f>N106+P106</f>
        <v>0</v>
      </c>
      <c r="N106" s="88"/>
      <c r="O106" s="88"/>
      <c r="P106" s="88"/>
      <c r="Q106" s="52"/>
      <c r="R106" s="52"/>
      <c r="S106" s="39"/>
      <c r="T106" s="39"/>
      <c r="U106" s="39"/>
    </row>
    <row r="107" spans="1:21" s="33" customFormat="1" ht="12.75">
      <c r="A107" s="774"/>
      <c r="B107" s="753"/>
      <c r="C107" s="74" t="s">
        <v>15</v>
      </c>
      <c r="D107" s="85">
        <f>D105+D106</f>
        <v>2267140</v>
      </c>
      <c r="E107" s="88">
        <f>E105+E106</f>
        <v>1294500</v>
      </c>
      <c r="F107" s="88">
        <f aca="true" t="shared" si="40" ref="F107:P107">F105+F106</f>
        <v>1294500</v>
      </c>
      <c r="G107" s="88">
        <f t="shared" si="40"/>
        <v>0</v>
      </c>
      <c r="H107" s="88">
        <f t="shared" si="40"/>
        <v>1294500</v>
      </c>
      <c r="I107" s="88">
        <f t="shared" si="40"/>
        <v>0</v>
      </c>
      <c r="J107" s="88">
        <f t="shared" si="40"/>
        <v>0</v>
      </c>
      <c r="K107" s="88">
        <f t="shared" si="40"/>
        <v>0</v>
      </c>
      <c r="L107" s="88">
        <f t="shared" si="40"/>
        <v>0</v>
      </c>
      <c r="M107" s="88">
        <f t="shared" si="40"/>
        <v>972640</v>
      </c>
      <c r="N107" s="88">
        <f t="shared" si="40"/>
        <v>972640</v>
      </c>
      <c r="O107" s="88">
        <f t="shared" si="40"/>
        <v>0</v>
      </c>
      <c r="P107" s="88">
        <f t="shared" si="40"/>
        <v>0</v>
      </c>
      <c r="Q107" s="52"/>
      <c r="R107" s="52"/>
      <c r="S107" s="39"/>
      <c r="T107" s="39"/>
      <c r="U107" s="39"/>
    </row>
    <row r="108" spans="1:21" s="35" customFormat="1" ht="14.25" hidden="1">
      <c r="A108" s="778" t="s">
        <v>25</v>
      </c>
      <c r="B108" s="757" t="s">
        <v>26</v>
      </c>
      <c r="C108" s="77" t="s">
        <v>13</v>
      </c>
      <c r="D108" s="90">
        <f>D111+D114+D117+D120</f>
        <v>4730270</v>
      </c>
      <c r="E108" s="83">
        <f aca="true" t="shared" si="41" ref="E108:P109">E111+E114+E117+E120</f>
        <v>4712270</v>
      </c>
      <c r="F108" s="83">
        <f t="shared" si="41"/>
        <v>4707970</v>
      </c>
      <c r="G108" s="83">
        <f t="shared" si="41"/>
        <v>3983272</v>
      </c>
      <c r="H108" s="83">
        <f t="shared" si="41"/>
        <v>724698</v>
      </c>
      <c r="I108" s="83">
        <f t="shared" si="41"/>
        <v>0</v>
      </c>
      <c r="J108" s="83">
        <f t="shared" si="41"/>
        <v>4300</v>
      </c>
      <c r="K108" s="83">
        <f t="shared" si="41"/>
        <v>0</v>
      </c>
      <c r="L108" s="83">
        <f t="shared" si="41"/>
        <v>0</v>
      </c>
      <c r="M108" s="83">
        <f t="shared" si="41"/>
        <v>18000</v>
      </c>
      <c r="N108" s="83">
        <f t="shared" si="41"/>
        <v>18000</v>
      </c>
      <c r="O108" s="83">
        <f t="shared" si="41"/>
        <v>0</v>
      </c>
      <c r="P108" s="83">
        <f t="shared" si="41"/>
        <v>0</v>
      </c>
      <c r="Q108" s="65"/>
      <c r="R108" s="65"/>
      <c r="S108" s="41"/>
      <c r="T108" s="41"/>
      <c r="U108" s="41"/>
    </row>
    <row r="109" spans="1:21" s="35" customFormat="1" ht="14.25" hidden="1">
      <c r="A109" s="779"/>
      <c r="B109" s="758"/>
      <c r="C109" s="77" t="s">
        <v>14</v>
      </c>
      <c r="D109" s="90">
        <f>D112+D115+D118+D121</f>
        <v>0</v>
      </c>
      <c r="E109" s="83">
        <f t="shared" si="41"/>
        <v>0</v>
      </c>
      <c r="F109" s="83">
        <f t="shared" si="41"/>
        <v>0</v>
      </c>
      <c r="G109" s="83">
        <f t="shared" si="41"/>
        <v>0</v>
      </c>
      <c r="H109" s="83">
        <f t="shared" si="41"/>
        <v>0</v>
      </c>
      <c r="I109" s="83">
        <f t="shared" si="41"/>
        <v>0</v>
      </c>
      <c r="J109" s="83">
        <f t="shared" si="41"/>
        <v>0</v>
      </c>
      <c r="K109" s="83">
        <f t="shared" si="41"/>
        <v>0</v>
      </c>
      <c r="L109" s="83">
        <f t="shared" si="41"/>
        <v>0</v>
      </c>
      <c r="M109" s="83">
        <f t="shared" si="41"/>
        <v>0</v>
      </c>
      <c r="N109" s="83">
        <f t="shared" si="41"/>
        <v>0</v>
      </c>
      <c r="O109" s="83">
        <f t="shared" si="41"/>
        <v>0</v>
      </c>
      <c r="P109" s="83">
        <f t="shared" si="41"/>
        <v>0</v>
      </c>
      <c r="Q109" s="65"/>
      <c r="R109" s="65"/>
      <c r="S109" s="41"/>
      <c r="T109" s="41"/>
      <c r="U109" s="41"/>
    </row>
    <row r="110" spans="1:21" s="35" customFormat="1" ht="14.25" hidden="1">
      <c r="A110" s="780"/>
      <c r="B110" s="759"/>
      <c r="C110" s="77" t="s">
        <v>15</v>
      </c>
      <c r="D110" s="90">
        <f aca="true" t="shared" si="42" ref="D110:O110">D108+D109</f>
        <v>4730270</v>
      </c>
      <c r="E110" s="83">
        <f t="shared" si="42"/>
        <v>4712270</v>
      </c>
      <c r="F110" s="83">
        <f t="shared" si="42"/>
        <v>4707970</v>
      </c>
      <c r="G110" s="83">
        <f t="shared" si="42"/>
        <v>3983272</v>
      </c>
      <c r="H110" s="83">
        <f t="shared" si="42"/>
        <v>724698</v>
      </c>
      <c r="I110" s="83">
        <f t="shared" si="42"/>
        <v>0</v>
      </c>
      <c r="J110" s="83">
        <f t="shared" si="42"/>
        <v>4300</v>
      </c>
      <c r="K110" s="83">
        <f t="shared" si="42"/>
        <v>0</v>
      </c>
      <c r="L110" s="83">
        <f t="shared" si="42"/>
        <v>0</v>
      </c>
      <c r="M110" s="83">
        <f t="shared" si="42"/>
        <v>18000</v>
      </c>
      <c r="N110" s="83">
        <f t="shared" si="42"/>
        <v>18000</v>
      </c>
      <c r="O110" s="83">
        <f t="shared" si="42"/>
        <v>0</v>
      </c>
      <c r="P110" s="83">
        <f>P108+P109</f>
        <v>0</v>
      </c>
      <c r="Q110" s="65"/>
      <c r="R110" s="65"/>
      <c r="S110" s="41"/>
      <c r="T110" s="41"/>
      <c r="U110" s="41"/>
    </row>
    <row r="111" spans="1:21" s="51" customFormat="1" ht="12.75" hidden="1">
      <c r="A111" s="772" t="s">
        <v>27</v>
      </c>
      <c r="B111" s="751" t="s">
        <v>121</v>
      </c>
      <c r="C111" s="74" t="s">
        <v>13</v>
      </c>
      <c r="D111" s="93">
        <f>E111+M111</f>
        <v>4278770</v>
      </c>
      <c r="E111" s="94">
        <f>F111+I111+J111+K111+L111</f>
        <v>4278770</v>
      </c>
      <c r="F111" s="94">
        <f>G111+H111</f>
        <v>4274470</v>
      </c>
      <c r="G111" s="94">
        <v>3753672</v>
      </c>
      <c r="H111" s="94">
        <v>520798</v>
      </c>
      <c r="I111" s="94">
        <v>0</v>
      </c>
      <c r="J111" s="94">
        <v>4300</v>
      </c>
      <c r="K111" s="94">
        <v>0</v>
      </c>
      <c r="L111" s="94">
        <v>0</v>
      </c>
      <c r="M111" s="94">
        <f>N111+P111</f>
        <v>0</v>
      </c>
      <c r="N111" s="94">
        <v>0</v>
      </c>
      <c r="O111" s="94">
        <v>0</v>
      </c>
      <c r="P111" s="94">
        <v>0</v>
      </c>
      <c r="Q111" s="68"/>
      <c r="R111" s="68"/>
      <c r="S111" s="50"/>
      <c r="T111" s="50"/>
      <c r="U111" s="50"/>
    </row>
    <row r="112" spans="1:21" s="51" customFormat="1" ht="12.75" hidden="1">
      <c r="A112" s="773"/>
      <c r="B112" s="752"/>
      <c r="C112" s="74" t="s">
        <v>14</v>
      </c>
      <c r="D112" s="93">
        <f>E112+M112</f>
        <v>0</v>
      </c>
      <c r="E112" s="94">
        <f>F112+I112+J112+K112+L112</f>
        <v>0</v>
      </c>
      <c r="F112" s="94">
        <f>G112+H112</f>
        <v>0</v>
      </c>
      <c r="G112" s="94"/>
      <c r="H112" s="94"/>
      <c r="I112" s="94"/>
      <c r="J112" s="94"/>
      <c r="K112" s="94"/>
      <c r="L112" s="94"/>
      <c r="M112" s="94">
        <f>N112+P112</f>
        <v>0</v>
      </c>
      <c r="N112" s="94"/>
      <c r="O112" s="94"/>
      <c r="P112" s="94"/>
      <c r="Q112" s="68"/>
      <c r="R112" s="68"/>
      <c r="S112" s="50"/>
      <c r="T112" s="50"/>
      <c r="U112" s="50"/>
    </row>
    <row r="113" spans="1:21" s="51" customFormat="1" ht="12.75" hidden="1">
      <c r="A113" s="774"/>
      <c r="B113" s="753"/>
      <c r="C113" s="74" t="s">
        <v>15</v>
      </c>
      <c r="D113" s="93">
        <f>D111+D112</f>
        <v>4278770</v>
      </c>
      <c r="E113" s="94">
        <f>E111+E112</f>
        <v>4278770</v>
      </c>
      <c r="F113" s="94">
        <f aca="true" t="shared" si="43" ref="F113:P113">F111+F112</f>
        <v>4274470</v>
      </c>
      <c r="G113" s="94">
        <f t="shared" si="43"/>
        <v>3753672</v>
      </c>
      <c r="H113" s="94">
        <f t="shared" si="43"/>
        <v>520798</v>
      </c>
      <c r="I113" s="94">
        <f t="shared" si="43"/>
        <v>0</v>
      </c>
      <c r="J113" s="94">
        <f t="shared" si="43"/>
        <v>4300</v>
      </c>
      <c r="K113" s="94">
        <f t="shared" si="43"/>
        <v>0</v>
      </c>
      <c r="L113" s="94">
        <f t="shared" si="43"/>
        <v>0</v>
      </c>
      <c r="M113" s="94">
        <f t="shared" si="43"/>
        <v>0</v>
      </c>
      <c r="N113" s="94">
        <f t="shared" si="43"/>
        <v>0</v>
      </c>
      <c r="O113" s="94">
        <f t="shared" si="43"/>
        <v>0</v>
      </c>
      <c r="P113" s="94">
        <f t="shared" si="43"/>
        <v>0</v>
      </c>
      <c r="Q113" s="68"/>
      <c r="R113" s="68"/>
      <c r="S113" s="50"/>
      <c r="T113" s="50"/>
      <c r="U113" s="50"/>
    </row>
    <row r="114" spans="1:21" s="33" customFormat="1" ht="12.75" hidden="1">
      <c r="A114" s="772" t="s">
        <v>122</v>
      </c>
      <c r="B114" s="751" t="s">
        <v>123</v>
      </c>
      <c r="C114" s="74" t="s">
        <v>13</v>
      </c>
      <c r="D114" s="85">
        <f>E114+M114</f>
        <v>25500</v>
      </c>
      <c r="E114" s="88">
        <f>F114+I114+J114+K114+L114</f>
        <v>25500</v>
      </c>
      <c r="F114" s="88">
        <f>G114+H114</f>
        <v>25500</v>
      </c>
      <c r="G114" s="88">
        <v>3600</v>
      </c>
      <c r="H114" s="88">
        <v>21900</v>
      </c>
      <c r="I114" s="88">
        <v>0</v>
      </c>
      <c r="J114" s="88">
        <v>0</v>
      </c>
      <c r="K114" s="88">
        <v>0</v>
      </c>
      <c r="L114" s="88">
        <v>0</v>
      </c>
      <c r="M114" s="88">
        <f>N114+P114</f>
        <v>0</v>
      </c>
      <c r="N114" s="94">
        <v>0</v>
      </c>
      <c r="O114" s="94">
        <v>0</v>
      </c>
      <c r="P114" s="94">
        <v>0</v>
      </c>
      <c r="Q114" s="52"/>
      <c r="R114" s="52"/>
      <c r="S114" s="39"/>
      <c r="T114" s="39"/>
      <c r="U114" s="39"/>
    </row>
    <row r="115" spans="1:21" s="33" customFormat="1" ht="12.75" hidden="1">
      <c r="A115" s="773"/>
      <c r="B115" s="752"/>
      <c r="C115" s="74" t="s">
        <v>14</v>
      </c>
      <c r="D115" s="85">
        <f>E115+M115</f>
        <v>0</v>
      </c>
      <c r="E115" s="88">
        <f>F115+I115+J115+K115+L115</f>
        <v>0</v>
      </c>
      <c r="F115" s="88">
        <f>G115+H115</f>
        <v>0</v>
      </c>
      <c r="G115" s="88"/>
      <c r="H115" s="88"/>
      <c r="I115" s="88"/>
      <c r="J115" s="88"/>
      <c r="K115" s="88"/>
      <c r="L115" s="88"/>
      <c r="M115" s="88">
        <f>N115+P115</f>
        <v>0</v>
      </c>
      <c r="N115" s="94"/>
      <c r="O115" s="94"/>
      <c r="P115" s="94"/>
      <c r="Q115" s="52"/>
      <c r="R115" s="52"/>
      <c r="S115" s="39"/>
      <c r="T115" s="39"/>
      <c r="U115" s="39"/>
    </row>
    <row r="116" spans="1:21" s="33" customFormat="1" ht="12.75" hidden="1">
      <c r="A116" s="774"/>
      <c r="B116" s="753"/>
      <c r="C116" s="74" t="s">
        <v>15</v>
      </c>
      <c r="D116" s="85">
        <f>D114+D115</f>
        <v>25500</v>
      </c>
      <c r="E116" s="88">
        <f>E114+E115</f>
        <v>25500</v>
      </c>
      <c r="F116" s="88">
        <f aca="true" t="shared" si="44" ref="F116:P116">F114+F115</f>
        <v>25500</v>
      </c>
      <c r="G116" s="88">
        <f t="shared" si="44"/>
        <v>3600</v>
      </c>
      <c r="H116" s="88">
        <f t="shared" si="44"/>
        <v>21900</v>
      </c>
      <c r="I116" s="88">
        <f t="shared" si="44"/>
        <v>0</v>
      </c>
      <c r="J116" s="88">
        <f t="shared" si="44"/>
        <v>0</v>
      </c>
      <c r="K116" s="88">
        <f t="shared" si="44"/>
        <v>0</v>
      </c>
      <c r="L116" s="88">
        <f t="shared" si="44"/>
        <v>0</v>
      </c>
      <c r="M116" s="88">
        <f t="shared" si="44"/>
        <v>0</v>
      </c>
      <c r="N116" s="88">
        <f t="shared" si="44"/>
        <v>0</v>
      </c>
      <c r="O116" s="88">
        <f t="shared" si="44"/>
        <v>0</v>
      </c>
      <c r="P116" s="88">
        <f t="shared" si="44"/>
        <v>0</v>
      </c>
      <c r="Q116" s="52"/>
      <c r="R116" s="52"/>
      <c r="S116" s="39"/>
      <c r="T116" s="39"/>
      <c r="U116" s="39"/>
    </row>
    <row r="117" spans="1:21" s="33" customFormat="1" ht="12.75" hidden="1">
      <c r="A117" s="772" t="s">
        <v>53</v>
      </c>
      <c r="B117" s="751" t="s">
        <v>54</v>
      </c>
      <c r="C117" s="74" t="s">
        <v>13</v>
      </c>
      <c r="D117" s="85">
        <f>E117+M117</f>
        <v>256000</v>
      </c>
      <c r="E117" s="88">
        <f>F117+I117+J117+K117+L117</f>
        <v>256000</v>
      </c>
      <c r="F117" s="88">
        <f>G117+H117</f>
        <v>256000</v>
      </c>
      <c r="G117" s="88">
        <v>226000</v>
      </c>
      <c r="H117" s="88">
        <v>30000</v>
      </c>
      <c r="I117" s="88">
        <v>0</v>
      </c>
      <c r="J117" s="88">
        <v>0</v>
      </c>
      <c r="K117" s="88">
        <v>0</v>
      </c>
      <c r="L117" s="88">
        <v>0</v>
      </c>
      <c r="M117" s="88">
        <f>N117+P117</f>
        <v>0</v>
      </c>
      <c r="N117" s="94">
        <v>0</v>
      </c>
      <c r="O117" s="94">
        <v>0</v>
      </c>
      <c r="P117" s="94">
        <v>0</v>
      </c>
      <c r="Q117" s="52"/>
      <c r="R117" s="52"/>
      <c r="S117" s="39"/>
      <c r="T117" s="39"/>
      <c r="U117" s="39"/>
    </row>
    <row r="118" spans="1:21" s="33" customFormat="1" ht="12.75" hidden="1">
      <c r="A118" s="773"/>
      <c r="B118" s="752"/>
      <c r="C118" s="74" t="s">
        <v>14</v>
      </c>
      <c r="D118" s="85">
        <f>E118+M118</f>
        <v>0</v>
      </c>
      <c r="E118" s="88">
        <f>F118+I118+J118+K118+L118</f>
        <v>0</v>
      </c>
      <c r="F118" s="88">
        <f>G118+H118</f>
        <v>0</v>
      </c>
      <c r="G118" s="88"/>
      <c r="H118" s="88"/>
      <c r="I118" s="88"/>
      <c r="J118" s="88"/>
      <c r="K118" s="88"/>
      <c r="L118" s="88"/>
      <c r="M118" s="88">
        <f>N118+P118</f>
        <v>0</v>
      </c>
      <c r="N118" s="94"/>
      <c r="O118" s="94"/>
      <c r="P118" s="94"/>
      <c r="Q118" s="52"/>
      <c r="R118" s="52"/>
      <c r="S118" s="39"/>
      <c r="T118" s="39"/>
      <c r="U118" s="39"/>
    </row>
    <row r="119" spans="1:21" s="33" customFormat="1" ht="12.75" hidden="1">
      <c r="A119" s="774"/>
      <c r="B119" s="753"/>
      <c r="C119" s="74" t="s">
        <v>15</v>
      </c>
      <c r="D119" s="85">
        <f>D117+D118</f>
        <v>256000</v>
      </c>
      <c r="E119" s="88">
        <f>E117+E118</f>
        <v>256000</v>
      </c>
      <c r="F119" s="88">
        <f aca="true" t="shared" si="45" ref="F119:P119">F117+F118</f>
        <v>256000</v>
      </c>
      <c r="G119" s="88">
        <f t="shared" si="45"/>
        <v>226000</v>
      </c>
      <c r="H119" s="88">
        <f t="shared" si="45"/>
        <v>30000</v>
      </c>
      <c r="I119" s="88">
        <f t="shared" si="45"/>
        <v>0</v>
      </c>
      <c r="J119" s="88">
        <f t="shared" si="45"/>
        <v>0</v>
      </c>
      <c r="K119" s="88">
        <f t="shared" si="45"/>
        <v>0</v>
      </c>
      <c r="L119" s="88">
        <f t="shared" si="45"/>
        <v>0</v>
      </c>
      <c r="M119" s="88">
        <f t="shared" si="45"/>
        <v>0</v>
      </c>
      <c r="N119" s="88">
        <f t="shared" si="45"/>
        <v>0</v>
      </c>
      <c r="O119" s="88">
        <f t="shared" si="45"/>
        <v>0</v>
      </c>
      <c r="P119" s="88">
        <f t="shared" si="45"/>
        <v>0</v>
      </c>
      <c r="Q119" s="52"/>
      <c r="R119" s="52"/>
      <c r="S119" s="39"/>
      <c r="T119" s="39"/>
      <c r="U119" s="39"/>
    </row>
    <row r="120" spans="1:21" s="33" customFormat="1" ht="12.75" hidden="1">
      <c r="A120" s="772" t="s">
        <v>44</v>
      </c>
      <c r="B120" s="751" t="s">
        <v>80</v>
      </c>
      <c r="C120" s="74" t="s">
        <v>13</v>
      </c>
      <c r="D120" s="85">
        <f>E120+M120</f>
        <v>170000</v>
      </c>
      <c r="E120" s="88">
        <f>F120+I120+J120+K120+L120</f>
        <v>152000</v>
      </c>
      <c r="F120" s="88">
        <f>G120+H120</f>
        <v>152000</v>
      </c>
      <c r="G120" s="88">
        <v>0</v>
      </c>
      <c r="H120" s="88">
        <v>152000</v>
      </c>
      <c r="I120" s="88">
        <v>0</v>
      </c>
      <c r="J120" s="88">
        <v>0</v>
      </c>
      <c r="K120" s="88">
        <v>0</v>
      </c>
      <c r="L120" s="88">
        <v>0</v>
      </c>
      <c r="M120" s="88">
        <f>N120+P120</f>
        <v>18000</v>
      </c>
      <c r="N120" s="88">
        <v>18000</v>
      </c>
      <c r="O120" s="88">
        <v>0</v>
      </c>
      <c r="P120" s="88">
        <v>0</v>
      </c>
      <c r="Q120" s="52"/>
      <c r="R120" s="52"/>
      <c r="S120" s="39"/>
      <c r="T120" s="39"/>
      <c r="U120" s="39"/>
    </row>
    <row r="121" spans="1:21" s="33" customFormat="1" ht="12.75" hidden="1">
      <c r="A121" s="773"/>
      <c r="B121" s="752"/>
      <c r="C121" s="74" t="s">
        <v>14</v>
      </c>
      <c r="D121" s="85">
        <f>E121+M121</f>
        <v>0</v>
      </c>
      <c r="E121" s="88">
        <f>F121+I121+J121+K121+L121</f>
        <v>0</v>
      </c>
      <c r="F121" s="88">
        <f>G121+H121</f>
        <v>0</v>
      </c>
      <c r="G121" s="88"/>
      <c r="H121" s="88"/>
      <c r="I121" s="88"/>
      <c r="J121" s="88"/>
      <c r="K121" s="88"/>
      <c r="L121" s="88"/>
      <c r="M121" s="88">
        <f>N121+P121</f>
        <v>0</v>
      </c>
      <c r="N121" s="88"/>
      <c r="O121" s="88"/>
      <c r="P121" s="88"/>
      <c r="Q121" s="52"/>
      <c r="R121" s="52"/>
      <c r="S121" s="39"/>
      <c r="T121" s="39"/>
      <c r="U121" s="39"/>
    </row>
    <row r="122" spans="1:21" s="33" customFormat="1" ht="12.75" hidden="1">
      <c r="A122" s="774"/>
      <c r="B122" s="753"/>
      <c r="C122" s="74" t="s">
        <v>15</v>
      </c>
      <c r="D122" s="85">
        <f>D120+D121</f>
        <v>170000</v>
      </c>
      <c r="E122" s="88">
        <f>E120+E121</f>
        <v>152000</v>
      </c>
      <c r="F122" s="88">
        <f aca="true" t="shared" si="46" ref="F122:P122">F120+F121</f>
        <v>152000</v>
      </c>
      <c r="G122" s="88">
        <f t="shared" si="46"/>
        <v>0</v>
      </c>
      <c r="H122" s="88">
        <f t="shared" si="46"/>
        <v>152000</v>
      </c>
      <c r="I122" s="88">
        <f t="shared" si="46"/>
        <v>0</v>
      </c>
      <c r="J122" s="88">
        <f t="shared" si="46"/>
        <v>0</v>
      </c>
      <c r="K122" s="88">
        <f t="shared" si="46"/>
        <v>0</v>
      </c>
      <c r="L122" s="88">
        <f t="shared" si="46"/>
        <v>0</v>
      </c>
      <c r="M122" s="88">
        <f t="shared" si="46"/>
        <v>18000</v>
      </c>
      <c r="N122" s="88">
        <f t="shared" si="46"/>
        <v>18000</v>
      </c>
      <c r="O122" s="88">
        <f t="shared" si="46"/>
        <v>0</v>
      </c>
      <c r="P122" s="88">
        <f t="shared" si="46"/>
        <v>0</v>
      </c>
      <c r="Q122" s="52"/>
      <c r="R122" s="52"/>
      <c r="S122" s="39"/>
      <c r="T122" s="39"/>
      <c r="U122" s="39"/>
    </row>
    <row r="123" spans="1:21" s="35" customFormat="1" ht="15" customHeight="1">
      <c r="A123" s="778" t="s">
        <v>70</v>
      </c>
      <c r="B123" s="757" t="s">
        <v>71</v>
      </c>
      <c r="C123" s="77" t="s">
        <v>13</v>
      </c>
      <c r="D123" s="95">
        <f aca="true" t="shared" si="47" ref="D123:P124">D126</f>
        <v>93611196</v>
      </c>
      <c r="E123" s="96">
        <f t="shared" si="47"/>
        <v>7887967</v>
      </c>
      <c r="F123" s="96">
        <f t="shared" si="47"/>
        <v>2620543</v>
      </c>
      <c r="G123" s="96">
        <f t="shared" si="47"/>
        <v>0</v>
      </c>
      <c r="H123" s="96">
        <f t="shared" si="47"/>
        <v>2620543</v>
      </c>
      <c r="I123" s="96">
        <f t="shared" si="47"/>
        <v>0</v>
      </c>
      <c r="J123" s="96">
        <f t="shared" si="47"/>
        <v>0</v>
      </c>
      <c r="K123" s="96">
        <f t="shared" si="47"/>
        <v>5267424</v>
      </c>
      <c r="L123" s="96">
        <f t="shared" si="47"/>
        <v>0</v>
      </c>
      <c r="M123" s="96">
        <f t="shared" si="47"/>
        <v>85723229</v>
      </c>
      <c r="N123" s="96">
        <f t="shared" si="47"/>
        <v>83593828</v>
      </c>
      <c r="O123" s="96">
        <f>O126</f>
        <v>83593828</v>
      </c>
      <c r="P123" s="96">
        <f t="shared" si="47"/>
        <v>2129401</v>
      </c>
      <c r="Q123" s="65"/>
      <c r="R123" s="65"/>
      <c r="S123" s="41"/>
      <c r="T123" s="41"/>
      <c r="U123" s="41"/>
    </row>
    <row r="124" spans="1:21" s="35" customFormat="1" ht="15" customHeight="1">
      <c r="A124" s="779"/>
      <c r="B124" s="758"/>
      <c r="C124" s="77" t="s">
        <v>14</v>
      </c>
      <c r="D124" s="95">
        <f t="shared" si="47"/>
        <v>-8634461</v>
      </c>
      <c r="E124" s="96">
        <f t="shared" si="47"/>
        <v>-20193</v>
      </c>
      <c r="F124" s="96">
        <f t="shared" si="47"/>
        <v>0</v>
      </c>
      <c r="G124" s="96">
        <f t="shared" si="47"/>
        <v>0</v>
      </c>
      <c r="H124" s="96">
        <f t="shared" si="47"/>
        <v>0</v>
      </c>
      <c r="I124" s="96">
        <f t="shared" si="47"/>
        <v>0</v>
      </c>
      <c r="J124" s="96">
        <f t="shared" si="47"/>
        <v>0</v>
      </c>
      <c r="K124" s="96">
        <f t="shared" si="47"/>
        <v>-20193</v>
      </c>
      <c r="L124" s="96">
        <f t="shared" si="47"/>
        <v>0</v>
      </c>
      <c r="M124" s="96">
        <f t="shared" si="47"/>
        <v>-8614268</v>
      </c>
      <c r="N124" s="96">
        <f t="shared" si="47"/>
        <v>-8614268</v>
      </c>
      <c r="O124" s="96">
        <f>O127</f>
        <v>-8614268</v>
      </c>
      <c r="P124" s="96">
        <f t="shared" si="47"/>
        <v>0</v>
      </c>
      <c r="Q124" s="65"/>
      <c r="R124" s="65"/>
      <c r="S124" s="41"/>
      <c r="T124" s="41"/>
      <c r="U124" s="41"/>
    </row>
    <row r="125" spans="1:21" s="35" customFormat="1" ht="15" customHeight="1">
      <c r="A125" s="780"/>
      <c r="B125" s="759"/>
      <c r="C125" s="77" t="s">
        <v>15</v>
      </c>
      <c r="D125" s="95">
        <f>D123+D124</f>
        <v>84976735</v>
      </c>
      <c r="E125" s="96">
        <f>E123+E124</f>
        <v>7867774</v>
      </c>
      <c r="F125" s="96">
        <f aca="true" t="shared" si="48" ref="F125:P125">F123+F124</f>
        <v>2620543</v>
      </c>
      <c r="G125" s="96">
        <f t="shared" si="48"/>
        <v>0</v>
      </c>
      <c r="H125" s="96">
        <f t="shared" si="48"/>
        <v>2620543</v>
      </c>
      <c r="I125" s="96">
        <f t="shared" si="48"/>
        <v>0</v>
      </c>
      <c r="J125" s="96">
        <f t="shared" si="48"/>
        <v>0</v>
      </c>
      <c r="K125" s="96">
        <f t="shared" si="48"/>
        <v>5247231</v>
      </c>
      <c r="L125" s="96">
        <f t="shared" si="48"/>
        <v>0</v>
      </c>
      <c r="M125" s="96">
        <f t="shared" si="48"/>
        <v>77108961</v>
      </c>
      <c r="N125" s="96">
        <f t="shared" si="48"/>
        <v>74979560</v>
      </c>
      <c r="O125" s="96">
        <f t="shared" si="48"/>
        <v>74979560</v>
      </c>
      <c r="P125" s="96">
        <f t="shared" si="48"/>
        <v>2129401</v>
      </c>
      <c r="Q125" s="65"/>
      <c r="R125" s="65"/>
      <c r="S125" s="41"/>
      <c r="T125" s="41"/>
      <c r="U125" s="41"/>
    </row>
    <row r="126" spans="1:21" s="51" customFormat="1" ht="12.75">
      <c r="A126" s="772" t="s">
        <v>72</v>
      </c>
      <c r="B126" s="751" t="s">
        <v>52</v>
      </c>
      <c r="C126" s="74" t="s">
        <v>13</v>
      </c>
      <c r="D126" s="85">
        <f>E126+M126</f>
        <v>93611196</v>
      </c>
      <c r="E126" s="88">
        <f>F126+I126+J126+K126+L126</f>
        <v>7887967</v>
      </c>
      <c r="F126" s="88">
        <f>G126+H126</f>
        <v>2620543</v>
      </c>
      <c r="G126" s="88">
        <v>0</v>
      </c>
      <c r="H126" s="88">
        <f>13350+854750+1337970+33890+256823+123760</f>
        <v>2620543</v>
      </c>
      <c r="I126" s="88">
        <v>0</v>
      </c>
      <c r="J126" s="88">
        <v>0</v>
      </c>
      <c r="K126" s="88">
        <v>5267424</v>
      </c>
      <c r="L126" s="88">
        <v>0</v>
      </c>
      <c r="M126" s="88">
        <f>N126+P126</f>
        <v>85723229</v>
      </c>
      <c r="N126" s="88">
        <v>83593828</v>
      </c>
      <c r="O126" s="88">
        <f>5028775+1681756+4503175+28946542+781572+42652008</f>
        <v>83593828</v>
      </c>
      <c r="P126" s="88">
        <v>2129401</v>
      </c>
      <c r="Q126" s="68"/>
      <c r="R126" s="68"/>
      <c r="S126" s="50"/>
      <c r="T126" s="50"/>
      <c r="U126" s="50"/>
    </row>
    <row r="127" spans="1:21" s="51" customFormat="1" ht="12.75">
      <c r="A127" s="773"/>
      <c r="B127" s="752"/>
      <c r="C127" s="74" t="s">
        <v>14</v>
      </c>
      <c r="D127" s="85">
        <f>E127+M127</f>
        <v>-8634461</v>
      </c>
      <c r="E127" s="88">
        <f>F127+I127+J127+K127+L127</f>
        <v>-20193</v>
      </c>
      <c r="F127" s="88">
        <f>G127+H127</f>
        <v>0</v>
      </c>
      <c r="G127" s="88"/>
      <c r="H127" s="88"/>
      <c r="I127" s="88"/>
      <c r="J127" s="88"/>
      <c r="K127" s="88">
        <f>-61200-10800+39785+7022+4250+750</f>
        <v>-20193</v>
      </c>
      <c r="L127" s="88"/>
      <c r="M127" s="88">
        <f>N127+P127</f>
        <v>-8614268</v>
      </c>
      <c r="N127" s="88">
        <f>-3124208-550978+4421825-30529-4291081-238400-4800897</f>
        <v>-8614268</v>
      </c>
      <c r="O127" s="88">
        <f>-3124208-550978+4421825-30529-4291081-238400-4800897</f>
        <v>-8614268</v>
      </c>
      <c r="P127" s="88"/>
      <c r="Q127" s="68"/>
      <c r="R127" s="68"/>
      <c r="S127" s="50"/>
      <c r="T127" s="50"/>
      <c r="U127" s="50"/>
    </row>
    <row r="128" spans="1:21" s="51" customFormat="1" ht="12.75">
      <c r="A128" s="774"/>
      <c r="B128" s="753"/>
      <c r="C128" s="74" t="s">
        <v>15</v>
      </c>
      <c r="D128" s="85">
        <f>D126+D127</f>
        <v>84976735</v>
      </c>
      <c r="E128" s="88">
        <f>E126+E127</f>
        <v>7867774</v>
      </c>
      <c r="F128" s="88">
        <f aca="true" t="shared" si="49" ref="F128:P128">F126+F127</f>
        <v>2620543</v>
      </c>
      <c r="G128" s="88">
        <f t="shared" si="49"/>
        <v>0</v>
      </c>
      <c r="H128" s="88">
        <f t="shared" si="49"/>
        <v>2620543</v>
      </c>
      <c r="I128" s="88">
        <f t="shared" si="49"/>
        <v>0</v>
      </c>
      <c r="J128" s="88">
        <f t="shared" si="49"/>
        <v>0</v>
      </c>
      <c r="K128" s="88">
        <f t="shared" si="49"/>
        <v>5247231</v>
      </c>
      <c r="L128" s="88">
        <f t="shared" si="49"/>
        <v>0</v>
      </c>
      <c r="M128" s="88">
        <f t="shared" si="49"/>
        <v>77108961</v>
      </c>
      <c r="N128" s="88">
        <f t="shared" si="49"/>
        <v>74979560</v>
      </c>
      <c r="O128" s="88">
        <f t="shared" si="49"/>
        <v>74979560</v>
      </c>
      <c r="P128" s="88">
        <f t="shared" si="49"/>
        <v>2129401</v>
      </c>
      <c r="Q128" s="68"/>
      <c r="R128" s="68"/>
      <c r="S128" s="50"/>
      <c r="T128" s="50"/>
      <c r="U128" s="50"/>
    </row>
    <row r="129" spans="1:21" s="35" customFormat="1" ht="14.25" hidden="1">
      <c r="A129" s="778" t="s">
        <v>206</v>
      </c>
      <c r="B129" s="757" t="s">
        <v>207</v>
      </c>
      <c r="C129" s="77" t="s">
        <v>13</v>
      </c>
      <c r="D129" s="95">
        <f aca="true" t="shared" si="50" ref="D129:P130">D135+D132</f>
        <v>3741050</v>
      </c>
      <c r="E129" s="96">
        <f t="shared" si="50"/>
        <v>200000</v>
      </c>
      <c r="F129" s="96">
        <f t="shared" si="50"/>
        <v>0</v>
      </c>
      <c r="G129" s="96">
        <f t="shared" si="50"/>
        <v>0</v>
      </c>
      <c r="H129" s="96">
        <f t="shared" si="50"/>
        <v>0</v>
      </c>
      <c r="I129" s="96">
        <f t="shared" si="50"/>
        <v>200000</v>
      </c>
      <c r="J129" s="96">
        <f t="shared" si="50"/>
        <v>0</v>
      </c>
      <c r="K129" s="96">
        <f t="shared" si="50"/>
        <v>0</v>
      </c>
      <c r="L129" s="96">
        <f t="shared" si="50"/>
        <v>0</v>
      </c>
      <c r="M129" s="96">
        <f t="shared" si="50"/>
        <v>3541050</v>
      </c>
      <c r="N129" s="96">
        <f t="shared" si="50"/>
        <v>3541050</v>
      </c>
      <c r="O129" s="96">
        <f t="shared" si="50"/>
        <v>0</v>
      </c>
      <c r="P129" s="96">
        <f t="shared" si="50"/>
        <v>0</v>
      </c>
      <c r="Q129" s="65"/>
      <c r="R129" s="65"/>
      <c r="S129" s="41"/>
      <c r="T129" s="41"/>
      <c r="U129" s="41"/>
    </row>
    <row r="130" spans="1:21" s="35" customFormat="1" ht="14.25" hidden="1">
      <c r="A130" s="779"/>
      <c r="B130" s="758"/>
      <c r="C130" s="77" t="s">
        <v>14</v>
      </c>
      <c r="D130" s="95">
        <f t="shared" si="50"/>
        <v>0</v>
      </c>
      <c r="E130" s="96">
        <f t="shared" si="50"/>
        <v>0</v>
      </c>
      <c r="F130" s="96">
        <f t="shared" si="50"/>
        <v>0</v>
      </c>
      <c r="G130" s="96">
        <f t="shared" si="50"/>
        <v>0</v>
      </c>
      <c r="H130" s="96">
        <f t="shared" si="50"/>
        <v>0</v>
      </c>
      <c r="I130" s="96">
        <f t="shared" si="50"/>
        <v>0</v>
      </c>
      <c r="J130" s="96">
        <f t="shared" si="50"/>
        <v>0</v>
      </c>
      <c r="K130" s="96">
        <f t="shared" si="50"/>
        <v>0</v>
      </c>
      <c r="L130" s="96">
        <f t="shared" si="50"/>
        <v>0</v>
      </c>
      <c r="M130" s="96">
        <f t="shared" si="50"/>
        <v>0</v>
      </c>
      <c r="N130" s="96">
        <f t="shared" si="50"/>
        <v>0</v>
      </c>
      <c r="O130" s="96">
        <f t="shared" si="50"/>
        <v>0</v>
      </c>
      <c r="P130" s="96">
        <f t="shared" si="50"/>
        <v>0</v>
      </c>
      <c r="Q130" s="65"/>
      <c r="R130" s="65"/>
      <c r="S130" s="41"/>
      <c r="T130" s="41"/>
      <c r="U130" s="41"/>
    </row>
    <row r="131" spans="1:21" s="35" customFormat="1" ht="14.25" hidden="1">
      <c r="A131" s="780"/>
      <c r="B131" s="759"/>
      <c r="C131" s="77" t="s">
        <v>15</v>
      </c>
      <c r="D131" s="95">
        <f>D129+D130</f>
        <v>3741050</v>
      </c>
      <c r="E131" s="96">
        <f>E129+E130</f>
        <v>200000</v>
      </c>
      <c r="F131" s="96">
        <f aca="true" t="shared" si="51" ref="F131:P131">F129+F130</f>
        <v>0</v>
      </c>
      <c r="G131" s="96">
        <f t="shared" si="51"/>
        <v>0</v>
      </c>
      <c r="H131" s="96">
        <f t="shared" si="51"/>
        <v>0</v>
      </c>
      <c r="I131" s="96">
        <f t="shared" si="51"/>
        <v>200000</v>
      </c>
      <c r="J131" s="96">
        <f t="shared" si="51"/>
        <v>0</v>
      </c>
      <c r="K131" s="96">
        <f t="shared" si="51"/>
        <v>0</v>
      </c>
      <c r="L131" s="96">
        <f t="shared" si="51"/>
        <v>0</v>
      </c>
      <c r="M131" s="96">
        <f t="shared" si="51"/>
        <v>3541050</v>
      </c>
      <c r="N131" s="96">
        <f t="shared" si="51"/>
        <v>3541050</v>
      </c>
      <c r="O131" s="96">
        <f t="shared" si="51"/>
        <v>0</v>
      </c>
      <c r="P131" s="96">
        <f t="shared" si="51"/>
        <v>0</v>
      </c>
      <c r="Q131" s="65"/>
      <c r="R131" s="65"/>
      <c r="S131" s="41"/>
      <c r="T131" s="41"/>
      <c r="U131" s="41"/>
    </row>
    <row r="132" spans="1:21" s="51" customFormat="1" ht="12.75" hidden="1">
      <c r="A132" s="772" t="s">
        <v>208</v>
      </c>
      <c r="B132" s="751" t="s">
        <v>209</v>
      </c>
      <c r="C132" s="74" t="s">
        <v>13</v>
      </c>
      <c r="D132" s="85">
        <f>E132+M132</f>
        <v>200000</v>
      </c>
      <c r="E132" s="88">
        <f>F132+I132+J132+K132+L132</f>
        <v>200000</v>
      </c>
      <c r="F132" s="88">
        <f>G132+H132</f>
        <v>0</v>
      </c>
      <c r="G132" s="88">
        <v>0</v>
      </c>
      <c r="H132" s="88">
        <v>0</v>
      </c>
      <c r="I132" s="88">
        <v>200000</v>
      </c>
      <c r="J132" s="88">
        <v>0</v>
      </c>
      <c r="K132" s="88">
        <v>0</v>
      </c>
      <c r="L132" s="88">
        <v>0</v>
      </c>
      <c r="M132" s="88">
        <f>N132+P132</f>
        <v>0</v>
      </c>
      <c r="N132" s="88">
        <v>0</v>
      </c>
      <c r="O132" s="88">
        <v>0</v>
      </c>
      <c r="P132" s="88">
        <v>0</v>
      </c>
      <c r="Q132" s="68"/>
      <c r="R132" s="68"/>
      <c r="S132" s="50"/>
      <c r="T132" s="50"/>
      <c r="U132" s="50"/>
    </row>
    <row r="133" spans="1:21" s="51" customFormat="1" ht="12.75" hidden="1">
      <c r="A133" s="773"/>
      <c r="B133" s="752"/>
      <c r="C133" s="74" t="s">
        <v>14</v>
      </c>
      <c r="D133" s="85">
        <f>E133+M133</f>
        <v>0</v>
      </c>
      <c r="E133" s="88">
        <f>F133+I133+J133+K133+L133</f>
        <v>0</v>
      </c>
      <c r="F133" s="88">
        <f>G133+H133</f>
        <v>0</v>
      </c>
      <c r="G133" s="88"/>
      <c r="H133" s="88"/>
      <c r="I133" s="88"/>
      <c r="J133" s="88"/>
      <c r="K133" s="88"/>
      <c r="L133" s="88"/>
      <c r="M133" s="88">
        <f>N133+P133</f>
        <v>0</v>
      </c>
      <c r="N133" s="88"/>
      <c r="O133" s="88"/>
      <c r="P133" s="88"/>
      <c r="Q133" s="68"/>
      <c r="R133" s="68"/>
      <c r="S133" s="50"/>
      <c r="T133" s="50"/>
      <c r="U133" s="50"/>
    </row>
    <row r="134" spans="1:21" s="51" customFormat="1" ht="12.75" hidden="1">
      <c r="A134" s="774"/>
      <c r="B134" s="753"/>
      <c r="C134" s="74" t="s">
        <v>15</v>
      </c>
      <c r="D134" s="85">
        <f>D132+D133</f>
        <v>200000</v>
      </c>
      <c r="E134" s="88">
        <f>E132+E133</f>
        <v>200000</v>
      </c>
      <c r="F134" s="88">
        <f aca="true" t="shared" si="52" ref="F134:P134">F132+F133</f>
        <v>0</v>
      </c>
      <c r="G134" s="88">
        <f t="shared" si="52"/>
        <v>0</v>
      </c>
      <c r="H134" s="88">
        <f t="shared" si="52"/>
        <v>0</v>
      </c>
      <c r="I134" s="88">
        <f t="shared" si="52"/>
        <v>200000</v>
      </c>
      <c r="J134" s="88">
        <f t="shared" si="52"/>
        <v>0</v>
      </c>
      <c r="K134" s="88">
        <f t="shared" si="52"/>
        <v>0</v>
      </c>
      <c r="L134" s="88">
        <f t="shared" si="52"/>
        <v>0</v>
      </c>
      <c r="M134" s="88">
        <f t="shared" si="52"/>
        <v>0</v>
      </c>
      <c r="N134" s="88">
        <f t="shared" si="52"/>
        <v>0</v>
      </c>
      <c r="O134" s="88">
        <f t="shared" si="52"/>
        <v>0</v>
      </c>
      <c r="P134" s="88">
        <f t="shared" si="52"/>
        <v>0</v>
      </c>
      <c r="Q134" s="68"/>
      <c r="R134" s="68"/>
      <c r="S134" s="50"/>
      <c r="T134" s="50"/>
      <c r="U134" s="50"/>
    </row>
    <row r="135" spans="1:21" s="51" customFormat="1" ht="12.75" hidden="1">
      <c r="A135" s="772" t="s">
        <v>210</v>
      </c>
      <c r="B135" s="751" t="s">
        <v>52</v>
      </c>
      <c r="C135" s="74" t="s">
        <v>13</v>
      </c>
      <c r="D135" s="85">
        <f>E135+M135</f>
        <v>3541050</v>
      </c>
      <c r="E135" s="88">
        <f>F135+I135+J135+K135+L135</f>
        <v>0</v>
      </c>
      <c r="F135" s="88">
        <f>G135+H135</f>
        <v>0</v>
      </c>
      <c r="G135" s="88">
        <v>0</v>
      </c>
      <c r="H135" s="88">
        <v>0</v>
      </c>
      <c r="I135" s="88">
        <v>0</v>
      </c>
      <c r="J135" s="88">
        <v>0</v>
      </c>
      <c r="K135" s="88">
        <v>0</v>
      </c>
      <c r="L135" s="88">
        <v>0</v>
      </c>
      <c r="M135" s="88">
        <f>N135+P135</f>
        <v>3541050</v>
      </c>
      <c r="N135" s="88">
        <v>3541050</v>
      </c>
      <c r="O135" s="88">
        <v>0</v>
      </c>
      <c r="P135" s="88">
        <v>0</v>
      </c>
      <c r="Q135" s="68"/>
      <c r="R135" s="68"/>
      <c r="S135" s="50"/>
      <c r="T135" s="50"/>
      <c r="U135" s="50"/>
    </row>
    <row r="136" spans="1:21" s="51" customFormat="1" ht="12.75" hidden="1">
      <c r="A136" s="773"/>
      <c r="B136" s="752"/>
      <c r="C136" s="74" t="s">
        <v>14</v>
      </c>
      <c r="D136" s="85">
        <f>E136+M136</f>
        <v>0</v>
      </c>
      <c r="E136" s="88">
        <f>F136+I136+J136+K136+L136</f>
        <v>0</v>
      </c>
      <c r="F136" s="88">
        <f>G136+H136</f>
        <v>0</v>
      </c>
      <c r="G136" s="88"/>
      <c r="H136" s="88"/>
      <c r="I136" s="88"/>
      <c r="J136" s="88"/>
      <c r="K136" s="88"/>
      <c r="L136" s="88"/>
      <c r="M136" s="88">
        <f>N136+P136</f>
        <v>0</v>
      </c>
      <c r="N136" s="88"/>
      <c r="O136" s="88"/>
      <c r="P136" s="88"/>
      <c r="Q136" s="68"/>
      <c r="R136" s="68"/>
      <c r="S136" s="50"/>
      <c r="T136" s="50"/>
      <c r="U136" s="50"/>
    </row>
    <row r="137" spans="1:21" s="51" customFormat="1" ht="12.75" hidden="1">
      <c r="A137" s="774"/>
      <c r="B137" s="753"/>
      <c r="C137" s="74" t="s">
        <v>15</v>
      </c>
      <c r="D137" s="85">
        <f>D135+D136</f>
        <v>3541050</v>
      </c>
      <c r="E137" s="88">
        <f>E135+E136</f>
        <v>0</v>
      </c>
      <c r="F137" s="88">
        <f aca="true" t="shared" si="53" ref="F137:P137">F135+F136</f>
        <v>0</v>
      </c>
      <c r="G137" s="88">
        <f t="shared" si="53"/>
        <v>0</v>
      </c>
      <c r="H137" s="88">
        <f t="shared" si="53"/>
        <v>0</v>
      </c>
      <c r="I137" s="88">
        <f t="shared" si="53"/>
        <v>0</v>
      </c>
      <c r="J137" s="88">
        <f t="shared" si="53"/>
        <v>0</v>
      </c>
      <c r="K137" s="88">
        <f t="shared" si="53"/>
        <v>0</v>
      </c>
      <c r="L137" s="88">
        <f t="shared" si="53"/>
        <v>0</v>
      </c>
      <c r="M137" s="88">
        <f t="shared" si="53"/>
        <v>3541050</v>
      </c>
      <c r="N137" s="88">
        <f t="shared" si="53"/>
        <v>3541050</v>
      </c>
      <c r="O137" s="88">
        <f t="shared" si="53"/>
        <v>0</v>
      </c>
      <c r="P137" s="88">
        <f t="shared" si="53"/>
        <v>0</v>
      </c>
      <c r="Q137" s="68"/>
      <c r="R137" s="68"/>
      <c r="S137" s="50"/>
      <c r="T137" s="50"/>
      <c r="U137" s="50"/>
    </row>
    <row r="138" spans="1:21" s="35" customFormat="1" ht="15" customHeight="1">
      <c r="A138" s="778" t="s">
        <v>28</v>
      </c>
      <c r="B138" s="757" t="s">
        <v>29</v>
      </c>
      <c r="C138" s="77" t="s">
        <v>13</v>
      </c>
      <c r="D138" s="89">
        <f aca="true" t="shared" si="54" ref="D138:P139">D141+D144+D147+D150+D156+D153</f>
        <v>116700835</v>
      </c>
      <c r="E138" s="83">
        <f t="shared" si="54"/>
        <v>116040835</v>
      </c>
      <c r="F138" s="83">
        <f t="shared" si="54"/>
        <v>54743541</v>
      </c>
      <c r="G138" s="83">
        <f t="shared" si="54"/>
        <v>34045019</v>
      </c>
      <c r="H138" s="83">
        <f t="shared" si="54"/>
        <v>20698522</v>
      </c>
      <c r="I138" s="83">
        <f t="shared" si="54"/>
        <v>135000</v>
      </c>
      <c r="J138" s="83">
        <f t="shared" si="54"/>
        <v>1327000</v>
      </c>
      <c r="K138" s="83">
        <f t="shared" si="54"/>
        <v>59835294</v>
      </c>
      <c r="L138" s="83">
        <f t="shared" si="54"/>
        <v>0</v>
      </c>
      <c r="M138" s="83">
        <f t="shared" si="54"/>
        <v>660000</v>
      </c>
      <c r="N138" s="83">
        <f t="shared" si="54"/>
        <v>660000</v>
      </c>
      <c r="O138" s="83">
        <f t="shared" si="54"/>
        <v>40000</v>
      </c>
      <c r="P138" s="83">
        <f t="shared" si="54"/>
        <v>0</v>
      </c>
      <c r="Q138" s="65"/>
      <c r="R138" s="65"/>
      <c r="S138" s="41"/>
      <c r="T138" s="41"/>
      <c r="U138" s="41"/>
    </row>
    <row r="139" spans="1:21" s="35" customFormat="1" ht="15" customHeight="1">
      <c r="A139" s="779"/>
      <c r="B139" s="758"/>
      <c r="C139" s="77" t="s">
        <v>14</v>
      </c>
      <c r="D139" s="89">
        <f t="shared" si="54"/>
        <v>1174887</v>
      </c>
      <c r="E139" s="83">
        <f t="shared" si="54"/>
        <v>1174887</v>
      </c>
      <c r="F139" s="83">
        <f t="shared" si="54"/>
        <v>43980</v>
      </c>
      <c r="G139" s="83">
        <f t="shared" si="54"/>
        <v>0</v>
      </c>
      <c r="H139" s="83">
        <f t="shared" si="54"/>
        <v>43980</v>
      </c>
      <c r="I139" s="83">
        <f t="shared" si="54"/>
        <v>0</v>
      </c>
      <c r="J139" s="83">
        <f t="shared" si="54"/>
        <v>0</v>
      </c>
      <c r="K139" s="83">
        <f t="shared" si="54"/>
        <v>1130907</v>
      </c>
      <c r="L139" s="83">
        <f t="shared" si="54"/>
        <v>0</v>
      </c>
      <c r="M139" s="83">
        <f t="shared" si="54"/>
        <v>0</v>
      </c>
      <c r="N139" s="83">
        <f t="shared" si="54"/>
        <v>0</v>
      </c>
      <c r="O139" s="83">
        <f t="shared" si="54"/>
        <v>0</v>
      </c>
      <c r="P139" s="83">
        <f t="shared" si="54"/>
        <v>0</v>
      </c>
      <c r="Q139" s="65"/>
      <c r="R139" s="65"/>
      <c r="S139" s="41"/>
      <c r="T139" s="41"/>
      <c r="U139" s="41"/>
    </row>
    <row r="140" spans="1:21" s="35" customFormat="1" ht="15" customHeight="1">
      <c r="A140" s="780"/>
      <c r="B140" s="759"/>
      <c r="C140" s="77" t="s">
        <v>15</v>
      </c>
      <c r="D140" s="89">
        <f>D138+D139</f>
        <v>117875722</v>
      </c>
      <c r="E140" s="83">
        <f>E138+E139</f>
        <v>117215722</v>
      </c>
      <c r="F140" s="83">
        <f aca="true" t="shared" si="55" ref="F140:P140">F138+F139</f>
        <v>54787521</v>
      </c>
      <c r="G140" s="83">
        <f t="shared" si="55"/>
        <v>34045019</v>
      </c>
      <c r="H140" s="83">
        <f t="shared" si="55"/>
        <v>20742502</v>
      </c>
      <c r="I140" s="83">
        <f t="shared" si="55"/>
        <v>135000</v>
      </c>
      <c r="J140" s="83">
        <f t="shared" si="55"/>
        <v>1327000</v>
      </c>
      <c r="K140" s="83">
        <f t="shared" si="55"/>
        <v>60966201</v>
      </c>
      <c r="L140" s="83">
        <f t="shared" si="55"/>
        <v>0</v>
      </c>
      <c r="M140" s="83">
        <f t="shared" si="55"/>
        <v>660000</v>
      </c>
      <c r="N140" s="83">
        <f t="shared" si="55"/>
        <v>660000</v>
      </c>
      <c r="O140" s="83">
        <f t="shared" si="55"/>
        <v>40000</v>
      </c>
      <c r="P140" s="83">
        <f t="shared" si="55"/>
        <v>0</v>
      </c>
      <c r="Q140" s="65"/>
      <c r="R140" s="65"/>
      <c r="S140" s="41"/>
      <c r="T140" s="41"/>
      <c r="U140" s="41"/>
    </row>
    <row r="141" spans="1:21" s="51" customFormat="1" ht="12.75" hidden="1">
      <c r="A141" s="772" t="s">
        <v>124</v>
      </c>
      <c r="B141" s="751" t="s">
        <v>125</v>
      </c>
      <c r="C141" s="74" t="s">
        <v>13</v>
      </c>
      <c r="D141" s="85">
        <f>E141+M141</f>
        <v>1444000</v>
      </c>
      <c r="E141" s="88">
        <f>F141+I141+J141+K141+L141</f>
        <v>1444000</v>
      </c>
      <c r="F141" s="88">
        <f>G141+H141</f>
        <v>344000</v>
      </c>
      <c r="G141" s="88">
        <v>50000</v>
      </c>
      <c r="H141" s="88">
        <v>294000</v>
      </c>
      <c r="I141" s="88">
        <v>0</v>
      </c>
      <c r="J141" s="88">
        <v>1100000</v>
      </c>
      <c r="K141" s="88">
        <v>0</v>
      </c>
      <c r="L141" s="88">
        <v>0</v>
      </c>
      <c r="M141" s="88">
        <f aca="true" t="shared" si="56" ref="M141:M157">N141+P141</f>
        <v>0</v>
      </c>
      <c r="N141" s="88">
        <v>0</v>
      </c>
      <c r="O141" s="88">
        <v>0</v>
      </c>
      <c r="P141" s="88">
        <v>0</v>
      </c>
      <c r="Q141" s="68"/>
      <c r="R141" s="68"/>
      <c r="S141" s="50"/>
      <c r="T141" s="50"/>
      <c r="U141" s="50"/>
    </row>
    <row r="142" spans="1:21" s="51" customFormat="1" ht="12.75" hidden="1">
      <c r="A142" s="773"/>
      <c r="B142" s="752"/>
      <c r="C142" s="74" t="s">
        <v>14</v>
      </c>
      <c r="D142" s="85">
        <f>E142+M142</f>
        <v>0</v>
      </c>
      <c r="E142" s="88">
        <f>F142+I142+J142+K142+L142</f>
        <v>0</v>
      </c>
      <c r="F142" s="88">
        <f>G142+H142</f>
        <v>0</v>
      </c>
      <c r="G142" s="88"/>
      <c r="H142" s="88"/>
      <c r="I142" s="88"/>
      <c r="J142" s="88"/>
      <c r="K142" s="88"/>
      <c r="L142" s="88"/>
      <c r="M142" s="88">
        <f t="shared" si="56"/>
        <v>0</v>
      </c>
      <c r="N142" s="88"/>
      <c r="O142" s="88"/>
      <c r="P142" s="88"/>
      <c r="Q142" s="68"/>
      <c r="R142" s="68"/>
      <c r="S142" s="50"/>
      <c r="T142" s="50"/>
      <c r="U142" s="50"/>
    </row>
    <row r="143" spans="1:21" s="51" customFormat="1" ht="12.75" hidden="1">
      <c r="A143" s="774"/>
      <c r="B143" s="753"/>
      <c r="C143" s="74" t="s">
        <v>15</v>
      </c>
      <c r="D143" s="85">
        <f>D141+D142</f>
        <v>1444000</v>
      </c>
      <c r="E143" s="88">
        <f>E141+E142</f>
        <v>1444000</v>
      </c>
      <c r="F143" s="88">
        <f aca="true" t="shared" si="57" ref="F143:P143">F141+F142</f>
        <v>344000</v>
      </c>
      <c r="G143" s="88">
        <f t="shared" si="57"/>
        <v>50000</v>
      </c>
      <c r="H143" s="88">
        <f t="shared" si="57"/>
        <v>294000</v>
      </c>
      <c r="I143" s="88">
        <f t="shared" si="57"/>
        <v>0</v>
      </c>
      <c r="J143" s="88">
        <f t="shared" si="57"/>
        <v>1100000</v>
      </c>
      <c r="K143" s="88">
        <f t="shared" si="57"/>
        <v>0</v>
      </c>
      <c r="L143" s="88">
        <f t="shared" si="57"/>
        <v>0</v>
      </c>
      <c r="M143" s="88">
        <f t="shared" si="57"/>
        <v>0</v>
      </c>
      <c r="N143" s="88">
        <f t="shared" si="57"/>
        <v>0</v>
      </c>
      <c r="O143" s="88">
        <f t="shared" si="57"/>
        <v>0</v>
      </c>
      <c r="P143" s="88">
        <f t="shared" si="57"/>
        <v>0</v>
      </c>
      <c r="Q143" s="68"/>
      <c r="R143" s="68"/>
      <c r="S143" s="50"/>
      <c r="T143" s="50"/>
      <c r="U143" s="50"/>
    </row>
    <row r="144" spans="1:21" s="51" customFormat="1" ht="12.75">
      <c r="A144" s="772" t="s">
        <v>30</v>
      </c>
      <c r="B144" s="751" t="s">
        <v>126</v>
      </c>
      <c r="C144" s="74" t="s">
        <v>13</v>
      </c>
      <c r="D144" s="85">
        <f>E144+M144</f>
        <v>83086937</v>
      </c>
      <c r="E144" s="88">
        <f>F144+I144+J144+K144+L144</f>
        <v>82426937</v>
      </c>
      <c r="F144" s="88">
        <f>G144+H144</f>
        <v>42002735</v>
      </c>
      <c r="G144" s="88">
        <v>33807019</v>
      </c>
      <c r="H144" s="88">
        <v>8195716</v>
      </c>
      <c r="I144" s="88">
        <v>0</v>
      </c>
      <c r="J144" s="88">
        <v>40000</v>
      </c>
      <c r="K144" s="88">
        <v>40384202</v>
      </c>
      <c r="L144" s="88">
        <v>0</v>
      </c>
      <c r="M144" s="88">
        <f t="shared" si="56"/>
        <v>660000</v>
      </c>
      <c r="N144" s="88">
        <v>660000</v>
      </c>
      <c r="O144" s="88">
        <f>34000+6000</f>
        <v>40000</v>
      </c>
      <c r="P144" s="88">
        <v>0</v>
      </c>
      <c r="Q144" s="68"/>
      <c r="R144" s="68"/>
      <c r="S144" s="50"/>
      <c r="T144" s="50"/>
      <c r="U144" s="50"/>
    </row>
    <row r="145" spans="1:21" s="51" customFormat="1" ht="12.75">
      <c r="A145" s="773"/>
      <c r="B145" s="752"/>
      <c r="C145" s="74" t="s">
        <v>14</v>
      </c>
      <c r="D145" s="85">
        <f>E145+M145</f>
        <v>1057745</v>
      </c>
      <c r="E145" s="88">
        <f>F145+I145+J145+K145+L145</f>
        <v>1057745</v>
      </c>
      <c r="F145" s="88">
        <f>G145+H145</f>
        <v>196628</v>
      </c>
      <c r="G145" s="88"/>
      <c r="H145" s="88">
        <f>100000+96628</f>
        <v>196628</v>
      </c>
      <c r="I145" s="88"/>
      <c r="J145" s="88"/>
      <c r="K145" s="88">
        <f>646949+114168+85000+15000</f>
        <v>861117</v>
      </c>
      <c r="L145" s="88"/>
      <c r="M145" s="88">
        <f t="shared" si="56"/>
        <v>0</v>
      </c>
      <c r="N145" s="88"/>
      <c r="O145" s="88"/>
      <c r="P145" s="88"/>
      <c r="Q145" s="68"/>
      <c r="R145" s="68"/>
      <c r="S145" s="50"/>
      <c r="T145" s="50"/>
      <c r="U145" s="50"/>
    </row>
    <row r="146" spans="1:21" s="51" customFormat="1" ht="12.75">
      <c r="A146" s="774"/>
      <c r="B146" s="753"/>
      <c r="C146" s="74" t="s">
        <v>15</v>
      </c>
      <c r="D146" s="85">
        <f>D144+D145</f>
        <v>84144682</v>
      </c>
      <c r="E146" s="88">
        <f>E144+E145</f>
        <v>83484682</v>
      </c>
      <c r="F146" s="88">
        <f aca="true" t="shared" si="58" ref="F146:P146">F144+F145</f>
        <v>42199363</v>
      </c>
      <c r="G146" s="88">
        <f t="shared" si="58"/>
        <v>33807019</v>
      </c>
      <c r="H146" s="88">
        <f t="shared" si="58"/>
        <v>8392344</v>
      </c>
      <c r="I146" s="88">
        <f t="shared" si="58"/>
        <v>0</v>
      </c>
      <c r="J146" s="88">
        <f t="shared" si="58"/>
        <v>40000</v>
      </c>
      <c r="K146" s="88">
        <f t="shared" si="58"/>
        <v>41245319</v>
      </c>
      <c r="L146" s="88">
        <f t="shared" si="58"/>
        <v>0</v>
      </c>
      <c r="M146" s="88">
        <f t="shared" si="58"/>
        <v>660000</v>
      </c>
      <c r="N146" s="88">
        <f t="shared" si="58"/>
        <v>660000</v>
      </c>
      <c r="O146" s="88">
        <f t="shared" si="58"/>
        <v>40000</v>
      </c>
      <c r="P146" s="88">
        <f t="shared" si="58"/>
        <v>0</v>
      </c>
      <c r="Q146" s="68"/>
      <c r="R146" s="68"/>
      <c r="S146" s="50"/>
      <c r="T146" s="50"/>
      <c r="U146" s="50"/>
    </row>
    <row r="147" spans="1:21" s="33" customFormat="1" ht="12.75" hidden="1">
      <c r="A147" s="772" t="s">
        <v>127</v>
      </c>
      <c r="B147" s="751" t="s">
        <v>128</v>
      </c>
      <c r="C147" s="74" t="s">
        <v>13</v>
      </c>
      <c r="D147" s="85">
        <f>E147+M147</f>
        <v>450000</v>
      </c>
      <c r="E147" s="88">
        <f>F147+I147+J147+K147+L147</f>
        <v>450000</v>
      </c>
      <c r="F147" s="88">
        <f>G147+H147</f>
        <v>450000</v>
      </c>
      <c r="G147" s="88">
        <v>3000</v>
      </c>
      <c r="H147" s="88">
        <v>447000</v>
      </c>
      <c r="I147" s="88">
        <v>0</v>
      </c>
      <c r="J147" s="88">
        <v>0</v>
      </c>
      <c r="K147" s="88">
        <v>0</v>
      </c>
      <c r="L147" s="88">
        <v>0</v>
      </c>
      <c r="M147" s="88">
        <f t="shared" si="56"/>
        <v>0</v>
      </c>
      <c r="N147" s="88">
        <v>0</v>
      </c>
      <c r="O147" s="88">
        <v>0</v>
      </c>
      <c r="P147" s="88">
        <v>0</v>
      </c>
      <c r="Q147" s="52"/>
      <c r="R147" s="52"/>
      <c r="S147" s="39"/>
      <c r="T147" s="39"/>
      <c r="U147" s="39"/>
    </row>
    <row r="148" spans="1:21" s="33" customFormat="1" ht="12.75" hidden="1">
      <c r="A148" s="773"/>
      <c r="B148" s="752"/>
      <c r="C148" s="74" t="s">
        <v>14</v>
      </c>
      <c r="D148" s="85">
        <f>E148+M148</f>
        <v>0</v>
      </c>
      <c r="E148" s="88">
        <f>F148+I148+J148+K148+L148</f>
        <v>0</v>
      </c>
      <c r="F148" s="88">
        <f>G148+H148</f>
        <v>0</v>
      </c>
      <c r="G148" s="88"/>
      <c r="H148" s="88"/>
      <c r="I148" s="88"/>
      <c r="J148" s="88"/>
      <c r="K148" s="88"/>
      <c r="L148" s="88"/>
      <c r="M148" s="88">
        <f t="shared" si="56"/>
        <v>0</v>
      </c>
      <c r="N148" s="88"/>
      <c r="O148" s="88"/>
      <c r="P148" s="88"/>
      <c r="Q148" s="52"/>
      <c r="R148" s="52"/>
      <c r="S148" s="39"/>
      <c r="T148" s="39"/>
      <c r="U148" s="39"/>
    </row>
    <row r="149" spans="1:21" s="33" customFormat="1" ht="12.75" hidden="1">
      <c r="A149" s="774"/>
      <c r="B149" s="753"/>
      <c r="C149" s="74" t="s">
        <v>15</v>
      </c>
      <c r="D149" s="85">
        <f>D147+D148</f>
        <v>450000</v>
      </c>
      <c r="E149" s="88">
        <f>E147+E148</f>
        <v>450000</v>
      </c>
      <c r="F149" s="88">
        <f aca="true" t="shared" si="59" ref="F149:P149">F147+F148</f>
        <v>450000</v>
      </c>
      <c r="G149" s="88">
        <f t="shared" si="59"/>
        <v>3000</v>
      </c>
      <c r="H149" s="88">
        <f t="shared" si="59"/>
        <v>447000</v>
      </c>
      <c r="I149" s="88">
        <f t="shared" si="59"/>
        <v>0</v>
      </c>
      <c r="J149" s="88">
        <f t="shared" si="59"/>
        <v>0</v>
      </c>
      <c r="K149" s="88">
        <f t="shared" si="59"/>
        <v>0</v>
      </c>
      <c r="L149" s="88">
        <f t="shared" si="59"/>
        <v>0</v>
      </c>
      <c r="M149" s="88">
        <f t="shared" si="59"/>
        <v>0</v>
      </c>
      <c r="N149" s="88">
        <f t="shared" si="59"/>
        <v>0</v>
      </c>
      <c r="O149" s="88">
        <f t="shared" si="59"/>
        <v>0</v>
      </c>
      <c r="P149" s="88">
        <f t="shared" si="59"/>
        <v>0</v>
      </c>
      <c r="Q149" s="52"/>
      <c r="R149" s="52"/>
      <c r="S149" s="39"/>
      <c r="T149" s="39"/>
      <c r="U149" s="39"/>
    </row>
    <row r="150" spans="1:21" s="51" customFormat="1" ht="12.75">
      <c r="A150" s="772" t="s">
        <v>129</v>
      </c>
      <c r="B150" s="751" t="s">
        <v>130</v>
      </c>
      <c r="C150" s="74" t="s">
        <v>13</v>
      </c>
      <c r="D150" s="85">
        <f>E150+M150</f>
        <v>27618078</v>
      </c>
      <c r="E150" s="88">
        <f>F150+I150+J150+K150+L150</f>
        <v>27618078</v>
      </c>
      <c r="F150" s="88">
        <f>G150+H150</f>
        <v>10100000</v>
      </c>
      <c r="G150" s="88">
        <v>100000</v>
      </c>
      <c r="H150" s="88">
        <f>50000+300000+40000+9768000+2000+20000+20000-200000</f>
        <v>10000000</v>
      </c>
      <c r="I150" s="88">
        <v>0</v>
      </c>
      <c r="J150" s="88">
        <v>0</v>
      </c>
      <c r="K150" s="88">
        <v>17518078</v>
      </c>
      <c r="L150" s="88">
        <v>0</v>
      </c>
      <c r="M150" s="88">
        <f t="shared" si="56"/>
        <v>0</v>
      </c>
      <c r="N150" s="88">
        <v>0</v>
      </c>
      <c r="O150" s="88">
        <v>0</v>
      </c>
      <c r="P150" s="88">
        <v>0</v>
      </c>
      <c r="Q150" s="68"/>
      <c r="R150" s="68"/>
      <c r="S150" s="50"/>
      <c r="T150" s="50"/>
      <c r="U150" s="50"/>
    </row>
    <row r="151" spans="1:21" s="51" customFormat="1" ht="12.75">
      <c r="A151" s="773"/>
      <c r="B151" s="752"/>
      <c r="C151" s="74" t="s">
        <v>14</v>
      </c>
      <c r="D151" s="85">
        <f>E151+M151</f>
        <v>152142</v>
      </c>
      <c r="E151" s="88">
        <f>F151+I151+J151+K151+L151</f>
        <v>152142</v>
      </c>
      <c r="F151" s="88">
        <f>G151+H151</f>
        <v>-117648</v>
      </c>
      <c r="G151" s="88"/>
      <c r="H151" s="88">
        <v>-117648</v>
      </c>
      <c r="I151" s="88"/>
      <c r="J151" s="88"/>
      <c r="K151" s="88">
        <v>269790</v>
      </c>
      <c r="L151" s="88"/>
      <c r="M151" s="88">
        <f t="shared" si="56"/>
        <v>0</v>
      </c>
      <c r="N151" s="88"/>
      <c r="O151" s="88"/>
      <c r="P151" s="88"/>
      <c r="Q151" s="68"/>
      <c r="R151" s="68"/>
      <c r="S151" s="50"/>
      <c r="T151" s="50"/>
      <c r="U151" s="50"/>
    </row>
    <row r="152" spans="1:21" s="51" customFormat="1" ht="12.75">
      <c r="A152" s="774"/>
      <c r="B152" s="753"/>
      <c r="C152" s="74" t="s">
        <v>15</v>
      </c>
      <c r="D152" s="85">
        <f>D150+D151</f>
        <v>27770220</v>
      </c>
      <c r="E152" s="88">
        <f>E150+E151</f>
        <v>27770220</v>
      </c>
      <c r="F152" s="88">
        <f aca="true" t="shared" si="60" ref="F152:P152">F150+F151</f>
        <v>9982352</v>
      </c>
      <c r="G152" s="88">
        <f t="shared" si="60"/>
        <v>100000</v>
      </c>
      <c r="H152" s="88">
        <f t="shared" si="60"/>
        <v>9882352</v>
      </c>
      <c r="I152" s="88">
        <f t="shared" si="60"/>
        <v>0</v>
      </c>
      <c r="J152" s="88">
        <f t="shared" si="60"/>
        <v>0</v>
      </c>
      <c r="K152" s="88">
        <f t="shared" si="60"/>
        <v>17787868</v>
      </c>
      <c r="L152" s="88">
        <f t="shared" si="60"/>
        <v>0</v>
      </c>
      <c r="M152" s="88">
        <f t="shared" si="60"/>
        <v>0</v>
      </c>
      <c r="N152" s="88">
        <f t="shared" si="60"/>
        <v>0</v>
      </c>
      <c r="O152" s="88">
        <f t="shared" si="60"/>
        <v>0</v>
      </c>
      <c r="P152" s="88">
        <f t="shared" si="60"/>
        <v>0</v>
      </c>
      <c r="Q152" s="68"/>
      <c r="R152" s="68"/>
      <c r="S152" s="50"/>
      <c r="T152" s="50"/>
      <c r="U152" s="50"/>
    </row>
    <row r="153" spans="1:21" s="33" customFormat="1" ht="12.75" hidden="1">
      <c r="A153" s="772" t="s">
        <v>55</v>
      </c>
      <c r="B153" s="751" t="s">
        <v>56</v>
      </c>
      <c r="C153" s="74" t="s">
        <v>13</v>
      </c>
      <c r="D153" s="85">
        <f>E153+M153</f>
        <v>202000</v>
      </c>
      <c r="E153" s="88">
        <f>F153+I153+J153+K153+L153</f>
        <v>202000</v>
      </c>
      <c r="F153" s="88">
        <f>G153+H153</f>
        <v>172000</v>
      </c>
      <c r="G153" s="88">
        <v>70000</v>
      </c>
      <c r="H153" s="88">
        <v>102000</v>
      </c>
      <c r="I153" s="88">
        <v>0</v>
      </c>
      <c r="J153" s="88">
        <v>30000</v>
      </c>
      <c r="K153" s="88">
        <v>0</v>
      </c>
      <c r="L153" s="88">
        <v>0</v>
      </c>
      <c r="M153" s="88">
        <f t="shared" si="56"/>
        <v>0</v>
      </c>
      <c r="N153" s="88">
        <v>0</v>
      </c>
      <c r="O153" s="88">
        <v>0</v>
      </c>
      <c r="P153" s="88">
        <v>0</v>
      </c>
      <c r="Q153" s="52"/>
      <c r="R153" s="52"/>
      <c r="S153" s="39"/>
      <c r="T153" s="39"/>
      <c r="U153" s="39"/>
    </row>
    <row r="154" spans="1:21" s="33" customFormat="1" ht="12.75" hidden="1">
      <c r="A154" s="773"/>
      <c r="B154" s="752"/>
      <c r="C154" s="74" t="s">
        <v>14</v>
      </c>
      <c r="D154" s="85">
        <f>E154+M154</f>
        <v>0</v>
      </c>
      <c r="E154" s="88">
        <f>F154+I154+J154+K154+L154</f>
        <v>0</v>
      </c>
      <c r="F154" s="88">
        <f>G154+H154</f>
        <v>0</v>
      </c>
      <c r="G154" s="88"/>
      <c r="H154" s="88"/>
      <c r="I154" s="88"/>
      <c r="J154" s="88"/>
      <c r="K154" s="88"/>
      <c r="L154" s="88"/>
      <c r="M154" s="88">
        <f t="shared" si="56"/>
        <v>0</v>
      </c>
      <c r="N154" s="88"/>
      <c r="O154" s="88"/>
      <c r="P154" s="88"/>
      <c r="Q154" s="52"/>
      <c r="R154" s="52"/>
      <c r="S154" s="39"/>
      <c r="T154" s="39"/>
      <c r="U154" s="39"/>
    </row>
    <row r="155" spans="1:21" s="33" customFormat="1" ht="12.75" hidden="1">
      <c r="A155" s="774"/>
      <c r="B155" s="753"/>
      <c r="C155" s="74" t="s">
        <v>15</v>
      </c>
      <c r="D155" s="85">
        <f>D153+D154</f>
        <v>202000</v>
      </c>
      <c r="E155" s="88">
        <f>E153+E154</f>
        <v>202000</v>
      </c>
      <c r="F155" s="88">
        <f aca="true" t="shared" si="61" ref="F155:P155">F153+F154</f>
        <v>172000</v>
      </c>
      <c r="G155" s="88">
        <f t="shared" si="61"/>
        <v>70000</v>
      </c>
      <c r="H155" s="88">
        <f t="shared" si="61"/>
        <v>102000</v>
      </c>
      <c r="I155" s="88">
        <f t="shared" si="61"/>
        <v>0</v>
      </c>
      <c r="J155" s="88">
        <f t="shared" si="61"/>
        <v>30000</v>
      </c>
      <c r="K155" s="88">
        <f t="shared" si="61"/>
        <v>0</v>
      </c>
      <c r="L155" s="88">
        <f t="shared" si="61"/>
        <v>0</v>
      </c>
      <c r="M155" s="88">
        <f t="shared" si="61"/>
        <v>0</v>
      </c>
      <c r="N155" s="88">
        <f t="shared" si="61"/>
        <v>0</v>
      </c>
      <c r="O155" s="88">
        <f t="shared" si="61"/>
        <v>0</v>
      </c>
      <c r="P155" s="88">
        <f t="shared" si="61"/>
        <v>0</v>
      </c>
      <c r="Q155" s="52"/>
      <c r="R155" s="52"/>
      <c r="S155" s="39"/>
      <c r="T155" s="39"/>
      <c r="U155" s="39"/>
    </row>
    <row r="156" spans="1:21" s="51" customFormat="1" ht="12.75">
      <c r="A156" s="772" t="s">
        <v>131</v>
      </c>
      <c r="B156" s="751" t="s">
        <v>52</v>
      </c>
      <c r="C156" s="74" t="s">
        <v>13</v>
      </c>
      <c r="D156" s="85">
        <f>E156+M156</f>
        <v>3899820</v>
      </c>
      <c r="E156" s="88">
        <f>F156+I156+J156+K156+L156</f>
        <v>3899820</v>
      </c>
      <c r="F156" s="88">
        <f>G156+H156</f>
        <v>1674806</v>
      </c>
      <c r="G156" s="88">
        <v>15000</v>
      </c>
      <c r="H156" s="88">
        <v>1659806</v>
      </c>
      <c r="I156" s="88">
        <v>135000</v>
      </c>
      <c r="J156" s="88">
        <v>157000</v>
      </c>
      <c r="K156" s="88">
        <v>1933014</v>
      </c>
      <c r="L156" s="88">
        <v>0</v>
      </c>
      <c r="M156" s="88">
        <f t="shared" si="56"/>
        <v>0</v>
      </c>
      <c r="N156" s="88">
        <v>0</v>
      </c>
      <c r="O156" s="88">
        <v>0</v>
      </c>
      <c r="P156" s="88">
        <v>0</v>
      </c>
      <c r="Q156" s="68"/>
      <c r="R156" s="68"/>
      <c r="S156" s="50"/>
      <c r="T156" s="50"/>
      <c r="U156" s="50"/>
    </row>
    <row r="157" spans="1:21" s="51" customFormat="1" ht="12.75">
      <c r="A157" s="773"/>
      <c r="B157" s="752"/>
      <c r="C157" s="74" t="s">
        <v>14</v>
      </c>
      <c r="D157" s="85">
        <f>E157+M157</f>
        <v>-35000</v>
      </c>
      <c r="E157" s="88">
        <f>F157+I157+J157+K157+L157</f>
        <v>-35000</v>
      </c>
      <c r="F157" s="88">
        <f>G157+H157</f>
        <v>-35000</v>
      </c>
      <c r="G157" s="88"/>
      <c r="H157" s="88">
        <v>-35000</v>
      </c>
      <c r="I157" s="88"/>
      <c r="J157" s="88"/>
      <c r="K157" s="88"/>
      <c r="L157" s="88"/>
      <c r="M157" s="88">
        <f t="shared" si="56"/>
        <v>0</v>
      </c>
      <c r="N157" s="88"/>
      <c r="O157" s="88"/>
      <c r="P157" s="88"/>
      <c r="Q157" s="68"/>
      <c r="R157" s="68"/>
      <c r="S157" s="50"/>
      <c r="T157" s="50"/>
      <c r="U157" s="50"/>
    </row>
    <row r="158" spans="1:21" s="51" customFormat="1" ht="12.75">
      <c r="A158" s="774"/>
      <c r="B158" s="753"/>
      <c r="C158" s="74" t="s">
        <v>15</v>
      </c>
      <c r="D158" s="85">
        <f>D156+D157</f>
        <v>3864820</v>
      </c>
      <c r="E158" s="88">
        <f>E156+E157</f>
        <v>3864820</v>
      </c>
      <c r="F158" s="88">
        <f aca="true" t="shared" si="62" ref="F158:P158">F156+F157</f>
        <v>1639806</v>
      </c>
      <c r="G158" s="88">
        <f t="shared" si="62"/>
        <v>15000</v>
      </c>
      <c r="H158" s="88">
        <f t="shared" si="62"/>
        <v>1624806</v>
      </c>
      <c r="I158" s="88">
        <f t="shared" si="62"/>
        <v>135000</v>
      </c>
      <c r="J158" s="88">
        <f t="shared" si="62"/>
        <v>157000</v>
      </c>
      <c r="K158" s="88">
        <f t="shared" si="62"/>
        <v>1933014</v>
      </c>
      <c r="L158" s="88">
        <f t="shared" si="62"/>
        <v>0</v>
      </c>
      <c r="M158" s="88">
        <f t="shared" si="62"/>
        <v>0</v>
      </c>
      <c r="N158" s="88">
        <f t="shared" si="62"/>
        <v>0</v>
      </c>
      <c r="O158" s="88">
        <f t="shared" si="62"/>
        <v>0</v>
      </c>
      <c r="P158" s="88">
        <f t="shared" si="62"/>
        <v>0</v>
      </c>
      <c r="Q158" s="68"/>
      <c r="R158" s="68"/>
      <c r="S158" s="50"/>
      <c r="T158" s="50"/>
      <c r="U158" s="50"/>
    </row>
    <row r="159" spans="1:21" s="35" customFormat="1" ht="14.25" hidden="1">
      <c r="A159" s="778" t="s">
        <v>57</v>
      </c>
      <c r="B159" s="757" t="s">
        <v>58</v>
      </c>
      <c r="C159" s="77" t="s">
        <v>13</v>
      </c>
      <c r="D159" s="89">
        <f aca="true" t="shared" si="63" ref="D159:P160">D162</f>
        <v>5000</v>
      </c>
      <c r="E159" s="83">
        <f t="shared" si="63"/>
        <v>5000</v>
      </c>
      <c r="F159" s="83">
        <f t="shared" si="63"/>
        <v>5000</v>
      </c>
      <c r="G159" s="83">
        <f t="shared" si="63"/>
        <v>0</v>
      </c>
      <c r="H159" s="83">
        <f t="shared" si="63"/>
        <v>5000</v>
      </c>
      <c r="I159" s="83">
        <f t="shared" si="63"/>
        <v>0</v>
      </c>
      <c r="J159" s="83">
        <f t="shared" si="63"/>
        <v>0</v>
      </c>
      <c r="K159" s="83">
        <f t="shared" si="63"/>
        <v>0</v>
      </c>
      <c r="L159" s="83">
        <f t="shared" si="63"/>
        <v>0</v>
      </c>
      <c r="M159" s="83">
        <f t="shared" si="63"/>
        <v>0</v>
      </c>
      <c r="N159" s="83">
        <f t="shared" si="63"/>
        <v>0</v>
      </c>
      <c r="O159" s="83">
        <f>O162</f>
        <v>0</v>
      </c>
      <c r="P159" s="83">
        <f t="shared" si="63"/>
        <v>0</v>
      </c>
      <c r="Q159" s="65"/>
      <c r="R159" s="65"/>
      <c r="S159" s="41"/>
      <c r="T159" s="41"/>
      <c r="U159" s="41"/>
    </row>
    <row r="160" spans="1:21" s="35" customFormat="1" ht="14.25" hidden="1">
      <c r="A160" s="779"/>
      <c r="B160" s="758"/>
      <c r="C160" s="77" t="s">
        <v>14</v>
      </c>
      <c r="D160" s="89">
        <f t="shared" si="63"/>
        <v>0</v>
      </c>
      <c r="E160" s="83">
        <f t="shared" si="63"/>
        <v>0</v>
      </c>
      <c r="F160" s="83">
        <f t="shared" si="63"/>
        <v>0</v>
      </c>
      <c r="G160" s="83">
        <f t="shared" si="63"/>
        <v>0</v>
      </c>
      <c r="H160" s="83">
        <f t="shared" si="63"/>
        <v>0</v>
      </c>
      <c r="I160" s="83">
        <f t="shared" si="63"/>
        <v>0</v>
      </c>
      <c r="J160" s="83">
        <f t="shared" si="63"/>
        <v>0</v>
      </c>
      <c r="K160" s="83">
        <f t="shared" si="63"/>
        <v>0</v>
      </c>
      <c r="L160" s="83">
        <f t="shared" si="63"/>
        <v>0</v>
      </c>
      <c r="M160" s="83">
        <f t="shared" si="63"/>
        <v>0</v>
      </c>
      <c r="N160" s="83">
        <f t="shared" si="63"/>
        <v>0</v>
      </c>
      <c r="O160" s="83">
        <f>O163</f>
        <v>0</v>
      </c>
      <c r="P160" s="83">
        <f t="shared" si="63"/>
        <v>0</v>
      </c>
      <c r="Q160" s="65"/>
      <c r="R160" s="65"/>
      <c r="S160" s="41"/>
      <c r="T160" s="41"/>
      <c r="U160" s="41"/>
    </row>
    <row r="161" spans="1:21" s="35" customFormat="1" ht="14.25" hidden="1">
      <c r="A161" s="780"/>
      <c r="B161" s="759"/>
      <c r="C161" s="77" t="s">
        <v>15</v>
      </c>
      <c r="D161" s="89">
        <f>D159+D160</f>
        <v>5000</v>
      </c>
      <c r="E161" s="83">
        <f>E159+E160</f>
        <v>5000</v>
      </c>
      <c r="F161" s="83">
        <f aca="true" t="shared" si="64" ref="F161:P161">F159+F160</f>
        <v>5000</v>
      </c>
      <c r="G161" s="83">
        <f t="shared" si="64"/>
        <v>0</v>
      </c>
      <c r="H161" s="83">
        <f t="shared" si="64"/>
        <v>5000</v>
      </c>
      <c r="I161" s="83">
        <f t="shared" si="64"/>
        <v>0</v>
      </c>
      <c r="J161" s="83">
        <f t="shared" si="64"/>
        <v>0</v>
      </c>
      <c r="K161" s="83">
        <f t="shared" si="64"/>
        <v>0</v>
      </c>
      <c r="L161" s="83">
        <f t="shared" si="64"/>
        <v>0</v>
      </c>
      <c r="M161" s="83">
        <f t="shared" si="64"/>
        <v>0</v>
      </c>
      <c r="N161" s="83">
        <f t="shared" si="64"/>
        <v>0</v>
      </c>
      <c r="O161" s="83">
        <f t="shared" si="64"/>
        <v>0</v>
      </c>
      <c r="P161" s="83">
        <f t="shared" si="64"/>
        <v>0</v>
      </c>
      <c r="Q161" s="65"/>
      <c r="R161" s="65"/>
      <c r="S161" s="41"/>
      <c r="T161" s="41"/>
      <c r="U161" s="41"/>
    </row>
    <row r="162" spans="1:21" s="51" customFormat="1" ht="12.75" hidden="1">
      <c r="A162" s="772" t="s">
        <v>59</v>
      </c>
      <c r="B162" s="751" t="s">
        <v>60</v>
      </c>
      <c r="C162" s="74" t="s">
        <v>13</v>
      </c>
      <c r="D162" s="85">
        <f>E162+M162</f>
        <v>5000</v>
      </c>
      <c r="E162" s="88">
        <f>F162+I162+J162+K162+L162</f>
        <v>5000</v>
      </c>
      <c r="F162" s="88">
        <f>G162+H162</f>
        <v>5000</v>
      </c>
      <c r="G162" s="88">
        <v>0</v>
      </c>
      <c r="H162" s="88">
        <v>5000</v>
      </c>
      <c r="I162" s="88">
        <v>0</v>
      </c>
      <c r="J162" s="88">
        <v>0</v>
      </c>
      <c r="K162" s="88">
        <v>0</v>
      </c>
      <c r="L162" s="88">
        <v>0</v>
      </c>
      <c r="M162" s="88">
        <f>N162+P162</f>
        <v>0</v>
      </c>
      <c r="N162" s="88">
        <v>0</v>
      </c>
      <c r="O162" s="88">
        <v>0</v>
      </c>
      <c r="P162" s="88">
        <v>0</v>
      </c>
      <c r="Q162" s="68"/>
      <c r="R162" s="68"/>
      <c r="S162" s="50"/>
      <c r="T162" s="50"/>
      <c r="U162" s="50"/>
    </row>
    <row r="163" spans="1:21" s="51" customFormat="1" ht="12.75" hidden="1">
      <c r="A163" s="773"/>
      <c r="B163" s="752"/>
      <c r="C163" s="74" t="s">
        <v>14</v>
      </c>
      <c r="D163" s="85">
        <f>E163+M163</f>
        <v>0</v>
      </c>
      <c r="E163" s="88">
        <f>F163+I163+J163+K163+L163</f>
        <v>0</v>
      </c>
      <c r="F163" s="88">
        <f>G163+H163</f>
        <v>0</v>
      </c>
      <c r="G163" s="88"/>
      <c r="H163" s="88"/>
      <c r="I163" s="88"/>
      <c r="J163" s="88"/>
      <c r="K163" s="88"/>
      <c r="L163" s="88"/>
      <c r="M163" s="88">
        <f>N163+P163</f>
        <v>0</v>
      </c>
      <c r="N163" s="88"/>
      <c r="O163" s="88"/>
      <c r="P163" s="88"/>
      <c r="Q163" s="68"/>
      <c r="R163" s="68"/>
      <c r="S163" s="50"/>
      <c r="T163" s="50"/>
      <c r="U163" s="50"/>
    </row>
    <row r="164" spans="1:21" s="51" customFormat="1" ht="12.75" hidden="1">
      <c r="A164" s="774"/>
      <c r="B164" s="753"/>
      <c r="C164" s="74" t="s">
        <v>15</v>
      </c>
      <c r="D164" s="85">
        <f>D162+D163</f>
        <v>5000</v>
      </c>
      <c r="E164" s="88">
        <f>E162+E163</f>
        <v>5000</v>
      </c>
      <c r="F164" s="88">
        <f aca="true" t="shared" si="65" ref="F164:P164">F162+F163</f>
        <v>5000</v>
      </c>
      <c r="G164" s="88">
        <f t="shared" si="65"/>
        <v>0</v>
      </c>
      <c r="H164" s="88">
        <f t="shared" si="65"/>
        <v>5000</v>
      </c>
      <c r="I164" s="88">
        <f t="shared" si="65"/>
        <v>0</v>
      </c>
      <c r="J164" s="88">
        <f t="shared" si="65"/>
        <v>0</v>
      </c>
      <c r="K164" s="88">
        <f t="shared" si="65"/>
        <v>0</v>
      </c>
      <c r="L164" s="88">
        <f t="shared" si="65"/>
        <v>0</v>
      </c>
      <c r="M164" s="88">
        <f t="shared" si="65"/>
        <v>0</v>
      </c>
      <c r="N164" s="88">
        <f t="shared" si="65"/>
        <v>0</v>
      </c>
      <c r="O164" s="88">
        <f t="shared" si="65"/>
        <v>0</v>
      </c>
      <c r="P164" s="88">
        <f t="shared" si="65"/>
        <v>0</v>
      </c>
      <c r="Q164" s="68"/>
      <c r="R164" s="68"/>
      <c r="S164" s="50"/>
      <c r="T164" s="50"/>
      <c r="U164" s="50"/>
    </row>
    <row r="165" spans="1:21" s="35" customFormat="1" ht="14.25" hidden="1">
      <c r="A165" s="778" t="s">
        <v>132</v>
      </c>
      <c r="B165" s="757" t="s">
        <v>133</v>
      </c>
      <c r="C165" s="77" t="s">
        <v>13</v>
      </c>
      <c r="D165" s="89">
        <f aca="true" t="shared" si="66" ref="D165:P166">D168</f>
        <v>1685000</v>
      </c>
      <c r="E165" s="83">
        <f t="shared" si="66"/>
        <v>685000</v>
      </c>
      <c r="F165" s="83">
        <f t="shared" si="66"/>
        <v>685000</v>
      </c>
      <c r="G165" s="83">
        <f t="shared" si="66"/>
        <v>0</v>
      </c>
      <c r="H165" s="83">
        <f t="shared" si="66"/>
        <v>685000</v>
      </c>
      <c r="I165" s="83">
        <f t="shared" si="66"/>
        <v>0</v>
      </c>
      <c r="J165" s="83">
        <f t="shared" si="66"/>
        <v>0</v>
      </c>
      <c r="K165" s="83">
        <f t="shared" si="66"/>
        <v>0</v>
      </c>
      <c r="L165" s="83">
        <f t="shared" si="66"/>
        <v>0</v>
      </c>
      <c r="M165" s="83">
        <f t="shared" si="66"/>
        <v>1000000</v>
      </c>
      <c r="N165" s="83">
        <f t="shared" si="66"/>
        <v>1000000</v>
      </c>
      <c r="O165" s="83">
        <f>O168</f>
        <v>0</v>
      </c>
      <c r="P165" s="83">
        <f t="shared" si="66"/>
        <v>0</v>
      </c>
      <c r="Q165" s="65"/>
      <c r="R165" s="65"/>
      <c r="S165" s="41"/>
      <c r="T165" s="41"/>
      <c r="U165" s="41"/>
    </row>
    <row r="166" spans="1:21" s="35" customFormat="1" ht="14.25" hidden="1">
      <c r="A166" s="779"/>
      <c r="B166" s="758"/>
      <c r="C166" s="77" t="s">
        <v>14</v>
      </c>
      <c r="D166" s="89">
        <f t="shared" si="66"/>
        <v>0</v>
      </c>
      <c r="E166" s="83">
        <f t="shared" si="66"/>
        <v>0</v>
      </c>
      <c r="F166" s="83">
        <f t="shared" si="66"/>
        <v>0</v>
      </c>
      <c r="G166" s="83">
        <f t="shared" si="66"/>
        <v>0</v>
      </c>
      <c r="H166" s="83">
        <f t="shared" si="66"/>
        <v>0</v>
      </c>
      <c r="I166" s="83">
        <f t="shared" si="66"/>
        <v>0</v>
      </c>
      <c r="J166" s="83">
        <f t="shared" si="66"/>
        <v>0</v>
      </c>
      <c r="K166" s="83">
        <f t="shared" si="66"/>
        <v>0</v>
      </c>
      <c r="L166" s="83">
        <f t="shared" si="66"/>
        <v>0</v>
      </c>
      <c r="M166" s="83">
        <f t="shared" si="66"/>
        <v>0</v>
      </c>
      <c r="N166" s="83">
        <f t="shared" si="66"/>
        <v>0</v>
      </c>
      <c r="O166" s="83">
        <f>O169</f>
        <v>0</v>
      </c>
      <c r="P166" s="83">
        <f t="shared" si="66"/>
        <v>0</v>
      </c>
      <c r="Q166" s="65"/>
      <c r="R166" s="65"/>
      <c r="S166" s="41"/>
      <c r="T166" s="41"/>
      <c r="U166" s="41"/>
    </row>
    <row r="167" spans="1:21" s="35" customFormat="1" ht="14.25" hidden="1">
      <c r="A167" s="780"/>
      <c r="B167" s="759"/>
      <c r="C167" s="77" t="s">
        <v>15</v>
      </c>
      <c r="D167" s="89">
        <f>D165+D166</f>
        <v>1685000</v>
      </c>
      <c r="E167" s="83">
        <f>E165+E166</f>
        <v>685000</v>
      </c>
      <c r="F167" s="83">
        <f aca="true" t="shared" si="67" ref="F167:P167">F165+F166</f>
        <v>685000</v>
      </c>
      <c r="G167" s="83">
        <f t="shared" si="67"/>
        <v>0</v>
      </c>
      <c r="H167" s="83">
        <f t="shared" si="67"/>
        <v>685000</v>
      </c>
      <c r="I167" s="83">
        <f t="shared" si="67"/>
        <v>0</v>
      </c>
      <c r="J167" s="83">
        <f t="shared" si="67"/>
        <v>0</v>
      </c>
      <c r="K167" s="83">
        <f t="shared" si="67"/>
        <v>0</v>
      </c>
      <c r="L167" s="83">
        <f t="shared" si="67"/>
        <v>0</v>
      </c>
      <c r="M167" s="83">
        <f t="shared" si="67"/>
        <v>1000000</v>
      </c>
      <c r="N167" s="83">
        <f t="shared" si="67"/>
        <v>1000000</v>
      </c>
      <c r="O167" s="83">
        <f t="shared" si="67"/>
        <v>0</v>
      </c>
      <c r="P167" s="83">
        <f t="shared" si="67"/>
        <v>0</v>
      </c>
      <c r="Q167" s="65"/>
      <c r="R167" s="65"/>
      <c r="S167" s="41"/>
      <c r="T167" s="41"/>
      <c r="U167" s="41"/>
    </row>
    <row r="168" spans="1:21" s="51" customFormat="1" ht="12.75" hidden="1">
      <c r="A168" s="772" t="s">
        <v>134</v>
      </c>
      <c r="B168" s="751" t="s">
        <v>52</v>
      </c>
      <c r="C168" s="74" t="s">
        <v>13</v>
      </c>
      <c r="D168" s="85">
        <f>E168+M168</f>
        <v>1685000</v>
      </c>
      <c r="E168" s="88">
        <f>F168+I168+J168+K168+L168</f>
        <v>685000</v>
      </c>
      <c r="F168" s="88">
        <f>G168+H168</f>
        <v>685000</v>
      </c>
      <c r="G168" s="88">
        <v>0</v>
      </c>
      <c r="H168" s="88">
        <v>685000</v>
      </c>
      <c r="I168" s="88">
        <v>0</v>
      </c>
      <c r="J168" s="88">
        <v>0</v>
      </c>
      <c r="K168" s="88">
        <v>0</v>
      </c>
      <c r="L168" s="88">
        <v>0</v>
      </c>
      <c r="M168" s="88">
        <f>N168+P168</f>
        <v>1000000</v>
      </c>
      <c r="N168" s="88">
        <v>1000000</v>
      </c>
      <c r="O168" s="88">
        <v>0</v>
      </c>
      <c r="P168" s="88">
        <v>0</v>
      </c>
      <c r="Q168" s="68"/>
      <c r="R168" s="68"/>
      <c r="S168" s="50"/>
      <c r="T168" s="50"/>
      <c r="U168" s="50"/>
    </row>
    <row r="169" spans="1:21" s="51" customFormat="1" ht="12.75" hidden="1">
      <c r="A169" s="773"/>
      <c r="B169" s="752"/>
      <c r="C169" s="74" t="s">
        <v>14</v>
      </c>
      <c r="D169" s="85">
        <f>E169+M169</f>
        <v>0</v>
      </c>
      <c r="E169" s="88">
        <f>F169+I169+J169+K169+L169</f>
        <v>0</v>
      </c>
      <c r="F169" s="88">
        <f>G169+H169</f>
        <v>0</v>
      </c>
      <c r="G169" s="88"/>
      <c r="H169" s="88"/>
      <c r="I169" s="88"/>
      <c r="J169" s="88"/>
      <c r="K169" s="88"/>
      <c r="L169" s="88"/>
      <c r="M169" s="88">
        <f>N169+P169</f>
        <v>0</v>
      </c>
      <c r="N169" s="88"/>
      <c r="O169" s="88"/>
      <c r="P169" s="88"/>
      <c r="Q169" s="68"/>
      <c r="R169" s="68"/>
      <c r="S169" s="50"/>
      <c r="T169" s="50"/>
      <c r="U169" s="50"/>
    </row>
    <row r="170" spans="1:21" s="51" customFormat="1" ht="12.75" hidden="1">
      <c r="A170" s="774"/>
      <c r="B170" s="753"/>
      <c r="C170" s="74" t="s">
        <v>15</v>
      </c>
      <c r="D170" s="85">
        <f>D168+D169</f>
        <v>1685000</v>
      </c>
      <c r="E170" s="88">
        <f>E168+E169</f>
        <v>685000</v>
      </c>
      <c r="F170" s="88">
        <f aca="true" t="shared" si="68" ref="F170:P170">F168+F169</f>
        <v>685000</v>
      </c>
      <c r="G170" s="88">
        <f t="shared" si="68"/>
        <v>0</v>
      </c>
      <c r="H170" s="88">
        <f t="shared" si="68"/>
        <v>685000</v>
      </c>
      <c r="I170" s="88">
        <f t="shared" si="68"/>
        <v>0</v>
      </c>
      <c r="J170" s="88">
        <f t="shared" si="68"/>
        <v>0</v>
      </c>
      <c r="K170" s="88">
        <f t="shared" si="68"/>
        <v>0</v>
      </c>
      <c r="L170" s="88">
        <f t="shared" si="68"/>
        <v>0</v>
      </c>
      <c r="M170" s="88">
        <f t="shared" si="68"/>
        <v>1000000</v>
      </c>
      <c r="N170" s="88">
        <f t="shared" si="68"/>
        <v>1000000</v>
      </c>
      <c r="O170" s="88">
        <f t="shared" si="68"/>
        <v>0</v>
      </c>
      <c r="P170" s="88">
        <f t="shared" si="68"/>
        <v>0</v>
      </c>
      <c r="Q170" s="68"/>
      <c r="R170" s="68"/>
      <c r="S170" s="50"/>
      <c r="T170" s="50"/>
      <c r="U170" s="50"/>
    </row>
    <row r="171" spans="1:21" s="35" customFormat="1" ht="14.25" hidden="1">
      <c r="A171" s="778" t="s">
        <v>135</v>
      </c>
      <c r="B171" s="757" t="s">
        <v>136</v>
      </c>
      <c r="C171" s="77" t="s">
        <v>13</v>
      </c>
      <c r="D171" s="89">
        <f aca="true" t="shared" si="69" ref="D171:P172">D174+D177</f>
        <v>42192158</v>
      </c>
      <c r="E171" s="83">
        <f t="shared" si="69"/>
        <v>42192158</v>
      </c>
      <c r="F171" s="83">
        <f t="shared" si="69"/>
        <v>0</v>
      </c>
      <c r="G171" s="83">
        <f t="shared" si="69"/>
        <v>0</v>
      </c>
      <c r="H171" s="83">
        <f t="shared" si="69"/>
        <v>0</v>
      </c>
      <c r="I171" s="83">
        <f t="shared" si="69"/>
        <v>0</v>
      </c>
      <c r="J171" s="83">
        <f t="shared" si="69"/>
        <v>0</v>
      </c>
      <c r="K171" s="83">
        <f t="shared" si="69"/>
        <v>0</v>
      </c>
      <c r="L171" s="83">
        <f t="shared" si="69"/>
        <v>42192158</v>
      </c>
      <c r="M171" s="83">
        <f t="shared" si="69"/>
        <v>0</v>
      </c>
      <c r="N171" s="83">
        <f t="shared" si="69"/>
        <v>0</v>
      </c>
      <c r="O171" s="83">
        <f t="shared" si="69"/>
        <v>0</v>
      </c>
      <c r="P171" s="83">
        <f t="shared" si="69"/>
        <v>0</v>
      </c>
      <c r="Q171" s="65"/>
      <c r="R171" s="65"/>
      <c r="S171" s="41"/>
      <c r="T171" s="41"/>
      <c r="U171" s="41"/>
    </row>
    <row r="172" spans="1:21" s="35" customFormat="1" ht="14.25" hidden="1">
      <c r="A172" s="779"/>
      <c r="B172" s="758"/>
      <c r="C172" s="77" t="s">
        <v>14</v>
      </c>
      <c r="D172" s="89">
        <f t="shared" si="69"/>
        <v>0</v>
      </c>
      <c r="E172" s="83">
        <f t="shared" si="69"/>
        <v>0</v>
      </c>
      <c r="F172" s="83">
        <f t="shared" si="69"/>
        <v>0</v>
      </c>
      <c r="G172" s="83">
        <f t="shared" si="69"/>
        <v>0</v>
      </c>
      <c r="H172" s="83">
        <f t="shared" si="69"/>
        <v>0</v>
      </c>
      <c r="I172" s="83">
        <f t="shared" si="69"/>
        <v>0</v>
      </c>
      <c r="J172" s="83">
        <f t="shared" si="69"/>
        <v>0</v>
      </c>
      <c r="K172" s="83">
        <f t="shared" si="69"/>
        <v>0</v>
      </c>
      <c r="L172" s="83">
        <f t="shared" si="69"/>
        <v>0</v>
      </c>
      <c r="M172" s="83">
        <f t="shared" si="69"/>
        <v>0</v>
      </c>
      <c r="N172" s="83">
        <f t="shared" si="69"/>
        <v>0</v>
      </c>
      <c r="O172" s="83">
        <f t="shared" si="69"/>
        <v>0</v>
      </c>
      <c r="P172" s="83">
        <f t="shared" si="69"/>
        <v>0</v>
      </c>
      <c r="Q172" s="65"/>
      <c r="R172" s="65"/>
      <c r="S172" s="41"/>
      <c r="T172" s="41"/>
      <c r="U172" s="41"/>
    </row>
    <row r="173" spans="1:21" s="35" customFormat="1" ht="14.25" hidden="1">
      <c r="A173" s="780"/>
      <c r="B173" s="759"/>
      <c r="C173" s="77" t="s">
        <v>15</v>
      </c>
      <c r="D173" s="89">
        <f>D171+D172</f>
        <v>42192158</v>
      </c>
      <c r="E173" s="83">
        <f>E171+E172</f>
        <v>42192158</v>
      </c>
      <c r="F173" s="83">
        <f aca="true" t="shared" si="70" ref="F173:P173">F171+F172</f>
        <v>0</v>
      </c>
      <c r="G173" s="83">
        <f t="shared" si="70"/>
        <v>0</v>
      </c>
      <c r="H173" s="83">
        <f t="shared" si="70"/>
        <v>0</v>
      </c>
      <c r="I173" s="83">
        <f t="shared" si="70"/>
        <v>0</v>
      </c>
      <c r="J173" s="83">
        <f t="shared" si="70"/>
        <v>0</v>
      </c>
      <c r="K173" s="83">
        <f t="shared" si="70"/>
        <v>0</v>
      </c>
      <c r="L173" s="83">
        <f t="shared" si="70"/>
        <v>42192158</v>
      </c>
      <c r="M173" s="83">
        <f t="shared" si="70"/>
        <v>0</v>
      </c>
      <c r="N173" s="83">
        <f t="shared" si="70"/>
        <v>0</v>
      </c>
      <c r="O173" s="83">
        <f t="shared" si="70"/>
        <v>0</v>
      </c>
      <c r="P173" s="83">
        <f t="shared" si="70"/>
        <v>0</v>
      </c>
      <c r="Q173" s="65"/>
      <c r="R173" s="65"/>
      <c r="S173" s="41"/>
      <c r="T173" s="41"/>
      <c r="U173" s="41"/>
    </row>
    <row r="174" spans="1:21" s="33" customFormat="1" ht="20.25" customHeight="1" hidden="1">
      <c r="A174" s="772" t="s">
        <v>137</v>
      </c>
      <c r="B174" s="751" t="s">
        <v>211</v>
      </c>
      <c r="C174" s="74" t="s">
        <v>13</v>
      </c>
      <c r="D174" s="85">
        <f>E174+M174</f>
        <v>8682633</v>
      </c>
      <c r="E174" s="88">
        <f>F174+I174+J174+K174+L174</f>
        <v>8682633</v>
      </c>
      <c r="F174" s="88">
        <f>G174+H174</f>
        <v>0</v>
      </c>
      <c r="G174" s="88">
        <v>0</v>
      </c>
      <c r="H174" s="88">
        <v>0</v>
      </c>
      <c r="I174" s="88">
        <v>0</v>
      </c>
      <c r="J174" s="88">
        <v>0</v>
      </c>
      <c r="K174" s="88">
        <v>0</v>
      </c>
      <c r="L174" s="88">
        <v>8682633</v>
      </c>
      <c r="M174" s="88">
        <f>N174+P174</f>
        <v>0</v>
      </c>
      <c r="N174" s="88">
        <v>0</v>
      </c>
      <c r="O174" s="88">
        <v>0</v>
      </c>
      <c r="P174" s="88">
        <v>0</v>
      </c>
      <c r="Q174" s="52"/>
      <c r="R174" s="52"/>
      <c r="S174" s="39"/>
      <c r="T174" s="39"/>
      <c r="U174" s="39"/>
    </row>
    <row r="175" spans="1:21" s="33" customFormat="1" ht="20.25" customHeight="1" hidden="1">
      <c r="A175" s="773"/>
      <c r="B175" s="752"/>
      <c r="C175" s="74" t="s">
        <v>14</v>
      </c>
      <c r="D175" s="85">
        <f>E175+M175</f>
        <v>0</v>
      </c>
      <c r="E175" s="88">
        <f>F175+I175+J175+K175+L175</f>
        <v>0</v>
      </c>
      <c r="F175" s="88">
        <f>G175+H175</f>
        <v>0</v>
      </c>
      <c r="G175" s="88"/>
      <c r="H175" s="88"/>
      <c r="I175" s="88"/>
      <c r="J175" s="88"/>
      <c r="K175" s="88"/>
      <c r="L175" s="88"/>
      <c r="M175" s="88">
        <f>N175+P175</f>
        <v>0</v>
      </c>
      <c r="N175" s="88"/>
      <c r="O175" s="88"/>
      <c r="P175" s="88"/>
      <c r="Q175" s="52"/>
      <c r="R175" s="52"/>
      <c r="S175" s="39"/>
      <c r="T175" s="39"/>
      <c r="U175" s="39"/>
    </row>
    <row r="176" spans="1:21" s="33" customFormat="1" ht="20.25" customHeight="1" hidden="1">
      <c r="A176" s="774"/>
      <c r="B176" s="753"/>
      <c r="C176" s="74" t="s">
        <v>15</v>
      </c>
      <c r="D176" s="85">
        <f>D174+D175</f>
        <v>8682633</v>
      </c>
      <c r="E176" s="88">
        <f>E174+E175</f>
        <v>8682633</v>
      </c>
      <c r="F176" s="88">
        <f aca="true" t="shared" si="71" ref="F176:P176">F174+F175</f>
        <v>0</v>
      </c>
      <c r="G176" s="88">
        <f t="shared" si="71"/>
        <v>0</v>
      </c>
      <c r="H176" s="88">
        <f t="shared" si="71"/>
        <v>0</v>
      </c>
      <c r="I176" s="88">
        <f t="shared" si="71"/>
        <v>0</v>
      </c>
      <c r="J176" s="88">
        <f t="shared" si="71"/>
        <v>0</v>
      </c>
      <c r="K176" s="88">
        <f t="shared" si="71"/>
        <v>0</v>
      </c>
      <c r="L176" s="88">
        <f t="shared" si="71"/>
        <v>8682633</v>
      </c>
      <c r="M176" s="88">
        <f t="shared" si="71"/>
        <v>0</v>
      </c>
      <c r="N176" s="88">
        <f t="shared" si="71"/>
        <v>0</v>
      </c>
      <c r="O176" s="88">
        <f t="shared" si="71"/>
        <v>0</v>
      </c>
      <c r="P176" s="88">
        <f t="shared" si="71"/>
        <v>0</v>
      </c>
      <c r="Q176" s="52"/>
      <c r="R176" s="52"/>
      <c r="S176" s="39"/>
      <c r="T176" s="39"/>
      <c r="U176" s="39"/>
    </row>
    <row r="177" spans="1:21" s="33" customFormat="1" ht="12.75" hidden="1">
      <c r="A177" s="772" t="s">
        <v>138</v>
      </c>
      <c r="B177" s="751" t="s">
        <v>139</v>
      </c>
      <c r="C177" s="74" t="s">
        <v>13</v>
      </c>
      <c r="D177" s="85">
        <f>E177+M177</f>
        <v>33509525</v>
      </c>
      <c r="E177" s="88">
        <f>F177+I177+J177+K177+L177</f>
        <v>33509525</v>
      </c>
      <c r="F177" s="88">
        <f>G177+H177</f>
        <v>0</v>
      </c>
      <c r="G177" s="88">
        <v>0</v>
      </c>
      <c r="H177" s="88">
        <v>0</v>
      </c>
      <c r="I177" s="88">
        <v>0</v>
      </c>
      <c r="J177" s="88">
        <v>0</v>
      </c>
      <c r="K177" s="88">
        <v>0</v>
      </c>
      <c r="L177" s="88">
        <v>33509525</v>
      </c>
      <c r="M177" s="88">
        <f>N177+P177</f>
        <v>0</v>
      </c>
      <c r="N177" s="88">
        <v>0</v>
      </c>
      <c r="O177" s="88">
        <v>0</v>
      </c>
      <c r="P177" s="88">
        <v>0</v>
      </c>
      <c r="Q177" s="52"/>
      <c r="R177" s="52"/>
      <c r="S177" s="39"/>
      <c r="T177" s="39"/>
      <c r="U177" s="39"/>
    </row>
    <row r="178" spans="1:21" s="33" customFormat="1" ht="12.75" hidden="1">
      <c r="A178" s="773"/>
      <c r="B178" s="752"/>
      <c r="C178" s="74" t="s">
        <v>14</v>
      </c>
      <c r="D178" s="85">
        <f>E178+M178</f>
        <v>0</v>
      </c>
      <c r="E178" s="88">
        <f>F178+I178+J178+K178+L178</f>
        <v>0</v>
      </c>
      <c r="F178" s="88">
        <f>G178+H178</f>
        <v>0</v>
      </c>
      <c r="G178" s="88"/>
      <c r="H178" s="88"/>
      <c r="I178" s="88"/>
      <c r="J178" s="88"/>
      <c r="K178" s="88"/>
      <c r="L178" s="88"/>
      <c r="M178" s="88">
        <f>N178+P178</f>
        <v>0</v>
      </c>
      <c r="N178" s="88"/>
      <c r="O178" s="88"/>
      <c r="P178" s="88"/>
      <c r="Q178" s="52"/>
      <c r="R178" s="52"/>
      <c r="S178" s="39"/>
      <c r="T178" s="39"/>
      <c r="U178" s="39"/>
    </row>
    <row r="179" spans="1:21" s="33" customFormat="1" ht="12.75" hidden="1">
      <c r="A179" s="774"/>
      <c r="B179" s="753"/>
      <c r="C179" s="74" t="s">
        <v>15</v>
      </c>
      <c r="D179" s="85">
        <f>D177+D178</f>
        <v>33509525</v>
      </c>
      <c r="E179" s="88">
        <f>E177+E178</f>
        <v>33509525</v>
      </c>
      <c r="F179" s="88">
        <f aca="true" t="shared" si="72" ref="F179:P179">F177+F178</f>
        <v>0</v>
      </c>
      <c r="G179" s="88">
        <f t="shared" si="72"/>
        <v>0</v>
      </c>
      <c r="H179" s="88">
        <f t="shared" si="72"/>
        <v>0</v>
      </c>
      <c r="I179" s="88">
        <f t="shared" si="72"/>
        <v>0</v>
      </c>
      <c r="J179" s="88">
        <f t="shared" si="72"/>
        <v>0</v>
      </c>
      <c r="K179" s="88">
        <f t="shared" si="72"/>
        <v>0</v>
      </c>
      <c r="L179" s="88">
        <f t="shared" si="72"/>
        <v>33509525</v>
      </c>
      <c r="M179" s="88">
        <f t="shared" si="72"/>
        <v>0</v>
      </c>
      <c r="N179" s="88">
        <f t="shared" si="72"/>
        <v>0</v>
      </c>
      <c r="O179" s="88">
        <f t="shared" si="72"/>
        <v>0</v>
      </c>
      <c r="P179" s="88">
        <f t="shared" si="72"/>
        <v>0</v>
      </c>
      <c r="Q179" s="52"/>
      <c r="R179" s="52"/>
      <c r="S179" s="39"/>
      <c r="T179" s="39"/>
      <c r="U179" s="39"/>
    </row>
    <row r="180" spans="1:21" s="35" customFormat="1" ht="14.25" hidden="1">
      <c r="A180" s="778" t="s">
        <v>140</v>
      </c>
      <c r="B180" s="757" t="s">
        <v>141</v>
      </c>
      <c r="C180" s="77" t="s">
        <v>13</v>
      </c>
      <c r="D180" s="89">
        <f>D183</f>
        <v>20429138</v>
      </c>
      <c r="E180" s="83">
        <f aca="true" t="shared" si="73" ref="E180:P181">E183</f>
        <v>14489138</v>
      </c>
      <c r="F180" s="83">
        <f t="shared" si="73"/>
        <v>14489138</v>
      </c>
      <c r="G180" s="83">
        <f t="shared" si="73"/>
        <v>0</v>
      </c>
      <c r="H180" s="83">
        <f t="shared" si="73"/>
        <v>14489138</v>
      </c>
      <c r="I180" s="83">
        <f t="shared" si="73"/>
        <v>0</v>
      </c>
      <c r="J180" s="83">
        <f t="shared" si="73"/>
        <v>0</v>
      </c>
      <c r="K180" s="83">
        <f t="shared" si="73"/>
        <v>0</v>
      </c>
      <c r="L180" s="83">
        <f t="shared" si="73"/>
        <v>0</v>
      </c>
      <c r="M180" s="83">
        <f t="shared" si="73"/>
        <v>5940000</v>
      </c>
      <c r="N180" s="83">
        <f t="shared" si="73"/>
        <v>5940000</v>
      </c>
      <c r="O180" s="83">
        <f t="shared" si="73"/>
        <v>0</v>
      </c>
      <c r="P180" s="83">
        <f t="shared" si="73"/>
        <v>0</v>
      </c>
      <c r="Q180" s="65"/>
      <c r="R180" s="65"/>
      <c r="S180" s="41"/>
      <c r="T180" s="41"/>
      <c r="U180" s="41"/>
    </row>
    <row r="181" spans="1:21" s="35" customFormat="1" ht="14.25" hidden="1">
      <c r="A181" s="779"/>
      <c r="B181" s="758"/>
      <c r="C181" s="77" t="s">
        <v>14</v>
      </c>
      <c r="D181" s="89">
        <f>D184</f>
        <v>0</v>
      </c>
      <c r="E181" s="83">
        <f t="shared" si="73"/>
        <v>0</v>
      </c>
      <c r="F181" s="83">
        <f t="shared" si="73"/>
        <v>0</v>
      </c>
      <c r="G181" s="83">
        <f t="shared" si="73"/>
        <v>0</v>
      </c>
      <c r="H181" s="83">
        <f t="shared" si="73"/>
        <v>0</v>
      </c>
      <c r="I181" s="83">
        <f t="shared" si="73"/>
        <v>0</v>
      </c>
      <c r="J181" s="83">
        <f t="shared" si="73"/>
        <v>0</v>
      </c>
      <c r="K181" s="83">
        <f t="shared" si="73"/>
        <v>0</v>
      </c>
      <c r="L181" s="83">
        <f t="shared" si="73"/>
        <v>0</v>
      </c>
      <c r="M181" s="83">
        <f t="shared" si="73"/>
        <v>0</v>
      </c>
      <c r="N181" s="83">
        <f t="shared" si="73"/>
        <v>0</v>
      </c>
      <c r="O181" s="83">
        <f t="shared" si="73"/>
        <v>0</v>
      </c>
      <c r="P181" s="83">
        <f t="shared" si="73"/>
        <v>0</v>
      </c>
      <c r="Q181" s="65"/>
      <c r="R181" s="65"/>
      <c r="S181" s="41"/>
      <c r="T181" s="41"/>
      <c r="U181" s="41"/>
    </row>
    <row r="182" spans="1:21" s="35" customFormat="1" ht="14.25" hidden="1">
      <c r="A182" s="780"/>
      <c r="B182" s="759"/>
      <c r="C182" s="77" t="s">
        <v>15</v>
      </c>
      <c r="D182" s="89">
        <f>D180+D181</f>
        <v>20429138</v>
      </c>
      <c r="E182" s="83">
        <f>E180+E181</f>
        <v>14489138</v>
      </c>
      <c r="F182" s="83">
        <f aca="true" t="shared" si="74" ref="F182:P182">F180+F181</f>
        <v>14489138</v>
      </c>
      <c r="G182" s="83">
        <f t="shared" si="74"/>
        <v>0</v>
      </c>
      <c r="H182" s="83">
        <f t="shared" si="74"/>
        <v>14489138</v>
      </c>
      <c r="I182" s="83">
        <f t="shared" si="74"/>
        <v>0</v>
      </c>
      <c r="J182" s="83">
        <f t="shared" si="74"/>
        <v>0</v>
      </c>
      <c r="K182" s="83">
        <f t="shared" si="74"/>
        <v>0</v>
      </c>
      <c r="L182" s="83">
        <f t="shared" si="74"/>
        <v>0</v>
      </c>
      <c r="M182" s="83">
        <f t="shared" si="74"/>
        <v>5940000</v>
      </c>
      <c r="N182" s="83">
        <f t="shared" si="74"/>
        <v>5940000</v>
      </c>
      <c r="O182" s="83">
        <f t="shared" si="74"/>
        <v>0</v>
      </c>
      <c r="P182" s="83">
        <f t="shared" si="74"/>
        <v>0</v>
      </c>
      <c r="Q182" s="65"/>
      <c r="R182" s="65"/>
      <c r="S182" s="41"/>
      <c r="T182" s="41"/>
      <c r="U182" s="41"/>
    </row>
    <row r="183" spans="1:21" s="51" customFormat="1" ht="12.75" hidden="1">
      <c r="A183" s="772" t="s">
        <v>142</v>
      </c>
      <c r="B183" s="751" t="s">
        <v>143</v>
      </c>
      <c r="C183" s="74" t="s">
        <v>13</v>
      </c>
      <c r="D183" s="85">
        <f>E183+M183</f>
        <v>20429138</v>
      </c>
      <c r="E183" s="88">
        <f>F183+I183+J183+K183+L183</f>
        <v>14489138</v>
      </c>
      <c r="F183" s="88">
        <f>G183+H183</f>
        <v>14489138</v>
      </c>
      <c r="G183" s="88">
        <v>0</v>
      </c>
      <c r="H183" s="88">
        <v>14489138</v>
      </c>
      <c r="I183" s="88">
        <v>0</v>
      </c>
      <c r="J183" s="88">
        <v>0</v>
      </c>
      <c r="K183" s="88">
        <v>0</v>
      </c>
      <c r="L183" s="88">
        <v>0</v>
      </c>
      <c r="M183" s="88">
        <f>N183+P183</f>
        <v>5940000</v>
      </c>
      <c r="N183" s="88">
        <v>5940000</v>
      </c>
      <c r="O183" s="88">
        <v>0</v>
      </c>
      <c r="P183" s="88">
        <v>0</v>
      </c>
      <c r="Q183" s="68"/>
      <c r="R183" s="68"/>
      <c r="S183" s="50"/>
      <c r="T183" s="50"/>
      <c r="U183" s="50"/>
    </row>
    <row r="184" spans="1:21" s="51" customFormat="1" ht="12.75" hidden="1">
      <c r="A184" s="773"/>
      <c r="B184" s="752"/>
      <c r="C184" s="74" t="s">
        <v>14</v>
      </c>
      <c r="D184" s="85">
        <f>E184+M184</f>
        <v>0</v>
      </c>
      <c r="E184" s="88">
        <f>F184+I184+J184+K184+L184</f>
        <v>0</v>
      </c>
      <c r="F184" s="88">
        <f>G184+H184</f>
        <v>0</v>
      </c>
      <c r="G184" s="88"/>
      <c r="H184" s="88"/>
      <c r="I184" s="88"/>
      <c r="J184" s="88"/>
      <c r="K184" s="88"/>
      <c r="L184" s="88"/>
      <c r="M184" s="88">
        <f>N184+P184</f>
        <v>0</v>
      </c>
      <c r="N184" s="88"/>
      <c r="O184" s="88"/>
      <c r="P184" s="88"/>
      <c r="Q184" s="68"/>
      <c r="R184" s="68"/>
      <c r="S184" s="50"/>
      <c r="T184" s="50"/>
      <c r="U184" s="50"/>
    </row>
    <row r="185" spans="1:21" s="51" customFormat="1" ht="12.75" hidden="1">
      <c r="A185" s="774"/>
      <c r="B185" s="753"/>
      <c r="C185" s="74" t="s">
        <v>15</v>
      </c>
      <c r="D185" s="85">
        <f>D183+D184</f>
        <v>20429138</v>
      </c>
      <c r="E185" s="88">
        <f>E183+E184</f>
        <v>14489138</v>
      </c>
      <c r="F185" s="88">
        <f aca="true" t="shared" si="75" ref="F185:P185">F183+F184</f>
        <v>14489138</v>
      </c>
      <c r="G185" s="88">
        <f t="shared" si="75"/>
        <v>0</v>
      </c>
      <c r="H185" s="88">
        <f t="shared" si="75"/>
        <v>14489138</v>
      </c>
      <c r="I185" s="88">
        <f t="shared" si="75"/>
        <v>0</v>
      </c>
      <c r="J185" s="88">
        <f t="shared" si="75"/>
        <v>0</v>
      </c>
      <c r="K185" s="88">
        <f t="shared" si="75"/>
        <v>0</v>
      </c>
      <c r="L185" s="88">
        <f t="shared" si="75"/>
        <v>0</v>
      </c>
      <c r="M185" s="88">
        <f t="shared" si="75"/>
        <v>5940000</v>
      </c>
      <c r="N185" s="88">
        <f t="shared" si="75"/>
        <v>5940000</v>
      </c>
      <c r="O185" s="88">
        <f t="shared" si="75"/>
        <v>0</v>
      </c>
      <c r="P185" s="88">
        <f t="shared" si="75"/>
        <v>0</v>
      </c>
      <c r="Q185" s="68"/>
      <c r="R185" s="68"/>
      <c r="S185" s="50"/>
      <c r="T185" s="50"/>
      <c r="U185" s="50"/>
    </row>
    <row r="186" spans="1:21" s="35" customFormat="1" ht="18" customHeight="1">
      <c r="A186" s="778" t="s">
        <v>31</v>
      </c>
      <c r="B186" s="757" t="s">
        <v>32</v>
      </c>
      <c r="C186" s="77" t="s">
        <v>13</v>
      </c>
      <c r="D186" s="89">
        <f>D189+D192+D195+D198+D201+D204+D207+D210+D213+D216+D219+D225+D222</f>
        <v>86658991</v>
      </c>
      <c r="E186" s="83">
        <f aca="true" t="shared" si="76" ref="E186:P187">E189+E192+E195+E198+E201+E204+E207+E210+E213+E216+E219+E225+E222</f>
        <v>74736605</v>
      </c>
      <c r="F186" s="83">
        <f t="shared" si="76"/>
        <v>66165198</v>
      </c>
      <c r="G186" s="83">
        <f t="shared" si="76"/>
        <v>58477260</v>
      </c>
      <c r="H186" s="83">
        <f t="shared" si="76"/>
        <v>7687938</v>
      </c>
      <c r="I186" s="83">
        <f t="shared" si="76"/>
        <v>0</v>
      </c>
      <c r="J186" s="83">
        <f t="shared" si="76"/>
        <v>161071</v>
      </c>
      <c r="K186" s="83">
        <f t="shared" si="76"/>
        <v>8410336</v>
      </c>
      <c r="L186" s="83">
        <f t="shared" si="76"/>
        <v>0</v>
      </c>
      <c r="M186" s="83">
        <f t="shared" si="76"/>
        <v>11922386</v>
      </c>
      <c r="N186" s="83">
        <f t="shared" si="76"/>
        <v>11922386</v>
      </c>
      <c r="O186" s="83">
        <f t="shared" si="76"/>
        <v>8411439</v>
      </c>
      <c r="P186" s="83">
        <f t="shared" si="76"/>
        <v>0</v>
      </c>
      <c r="Q186" s="65"/>
      <c r="R186" s="65"/>
      <c r="S186" s="41"/>
      <c r="T186" s="41"/>
      <c r="U186" s="41"/>
    </row>
    <row r="187" spans="1:21" s="35" customFormat="1" ht="18" customHeight="1">
      <c r="A187" s="779"/>
      <c r="B187" s="758"/>
      <c r="C187" s="77" t="s">
        <v>14</v>
      </c>
      <c r="D187" s="89">
        <f>D190+D193+D196+D199+D202+D205+D208+D211+D214+D217+D220+D226+D223</f>
        <v>-1814785</v>
      </c>
      <c r="E187" s="83">
        <f t="shared" si="76"/>
        <v>-1814785</v>
      </c>
      <c r="F187" s="83">
        <f t="shared" si="76"/>
        <v>0</v>
      </c>
      <c r="G187" s="83">
        <f t="shared" si="76"/>
        <v>0</v>
      </c>
      <c r="H187" s="83">
        <f t="shared" si="76"/>
        <v>0</v>
      </c>
      <c r="I187" s="83">
        <f t="shared" si="76"/>
        <v>0</v>
      </c>
      <c r="J187" s="83">
        <f t="shared" si="76"/>
        <v>0</v>
      </c>
      <c r="K187" s="83">
        <f t="shared" si="76"/>
        <v>-1814785</v>
      </c>
      <c r="L187" s="83">
        <f t="shared" si="76"/>
        <v>0</v>
      </c>
      <c r="M187" s="83">
        <f t="shared" si="76"/>
        <v>0</v>
      </c>
      <c r="N187" s="83">
        <f t="shared" si="76"/>
        <v>0</v>
      </c>
      <c r="O187" s="83">
        <f t="shared" si="76"/>
        <v>0</v>
      </c>
      <c r="P187" s="83">
        <f t="shared" si="76"/>
        <v>0</v>
      </c>
      <c r="Q187" s="65"/>
      <c r="R187" s="65"/>
      <c r="S187" s="41"/>
      <c r="T187" s="41"/>
      <c r="U187" s="41"/>
    </row>
    <row r="188" spans="1:21" s="35" customFormat="1" ht="18" customHeight="1">
      <c r="A188" s="780"/>
      <c r="B188" s="759"/>
      <c r="C188" s="77" t="s">
        <v>15</v>
      </c>
      <c r="D188" s="89">
        <f>D186+D187</f>
        <v>84844206</v>
      </c>
      <c r="E188" s="83">
        <f>E186+E187</f>
        <v>72921820</v>
      </c>
      <c r="F188" s="83">
        <f aca="true" t="shared" si="77" ref="F188:P188">F186+F187</f>
        <v>66165198</v>
      </c>
      <c r="G188" s="83">
        <f t="shared" si="77"/>
        <v>58477260</v>
      </c>
      <c r="H188" s="83">
        <f t="shared" si="77"/>
        <v>7687938</v>
      </c>
      <c r="I188" s="83">
        <f t="shared" si="77"/>
        <v>0</v>
      </c>
      <c r="J188" s="83">
        <f t="shared" si="77"/>
        <v>161071</v>
      </c>
      <c r="K188" s="83">
        <f t="shared" si="77"/>
        <v>6595551</v>
      </c>
      <c r="L188" s="83">
        <f t="shared" si="77"/>
        <v>0</v>
      </c>
      <c r="M188" s="83">
        <f t="shared" si="77"/>
        <v>11922386</v>
      </c>
      <c r="N188" s="83">
        <f t="shared" si="77"/>
        <v>11922386</v>
      </c>
      <c r="O188" s="83">
        <f t="shared" si="77"/>
        <v>8411439</v>
      </c>
      <c r="P188" s="83">
        <f t="shared" si="77"/>
        <v>0</v>
      </c>
      <c r="Q188" s="65"/>
      <c r="R188" s="65"/>
      <c r="S188" s="41"/>
      <c r="T188" s="41"/>
      <c r="U188" s="41"/>
    </row>
    <row r="189" spans="1:21" s="51" customFormat="1" ht="12.75" hidden="1">
      <c r="A189" s="772" t="s">
        <v>144</v>
      </c>
      <c r="B189" s="751" t="s">
        <v>145</v>
      </c>
      <c r="C189" s="74" t="s">
        <v>13</v>
      </c>
      <c r="D189" s="85">
        <f>E189+M189</f>
        <v>21332194</v>
      </c>
      <c r="E189" s="88">
        <f>F189+I189+J189+K189+L189</f>
        <v>21332194</v>
      </c>
      <c r="F189" s="88">
        <f>G189+H189</f>
        <v>21312941</v>
      </c>
      <c r="G189" s="88">
        <v>19893016</v>
      </c>
      <c r="H189" s="88">
        <v>1419925</v>
      </c>
      <c r="I189" s="88">
        <v>0</v>
      </c>
      <c r="J189" s="88">
        <v>19253</v>
      </c>
      <c r="K189" s="88">
        <v>0</v>
      </c>
      <c r="L189" s="88">
        <v>0</v>
      </c>
      <c r="M189" s="88">
        <f aca="true" t="shared" si="78" ref="M189:M226">N189+P189</f>
        <v>0</v>
      </c>
      <c r="N189" s="88">
        <v>0</v>
      </c>
      <c r="O189" s="88">
        <v>0</v>
      </c>
      <c r="P189" s="88">
        <v>0</v>
      </c>
      <c r="Q189" s="68"/>
      <c r="R189" s="68"/>
      <c r="S189" s="50"/>
      <c r="T189" s="50"/>
      <c r="U189" s="50"/>
    </row>
    <row r="190" spans="1:21" s="51" customFormat="1" ht="12.75" hidden="1">
      <c r="A190" s="773"/>
      <c r="B190" s="752"/>
      <c r="C190" s="74" t="s">
        <v>14</v>
      </c>
      <c r="D190" s="85">
        <f>E190+M190</f>
        <v>0</v>
      </c>
      <c r="E190" s="88">
        <f>F190+I190+J190+K190+L190</f>
        <v>0</v>
      </c>
      <c r="F190" s="88">
        <f>G190+H190</f>
        <v>0</v>
      </c>
      <c r="G190" s="88"/>
      <c r="H190" s="88"/>
      <c r="I190" s="88"/>
      <c r="J190" s="88"/>
      <c r="K190" s="88"/>
      <c r="L190" s="88"/>
      <c r="M190" s="88">
        <f t="shared" si="78"/>
        <v>0</v>
      </c>
      <c r="N190" s="88"/>
      <c r="O190" s="88"/>
      <c r="P190" s="88"/>
      <c r="Q190" s="68"/>
      <c r="R190" s="68"/>
      <c r="S190" s="50"/>
      <c r="T190" s="50"/>
      <c r="U190" s="50"/>
    </row>
    <row r="191" spans="1:21" s="51" customFormat="1" ht="12.75" hidden="1">
      <c r="A191" s="774"/>
      <c r="B191" s="753"/>
      <c r="C191" s="74" t="s">
        <v>15</v>
      </c>
      <c r="D191" s="85">
        <f>D189+D190</f>
        <v>21332194</v>
      </c>
      <c r="E191" s="88">
        <f>E189+E190</f>
        <v>21332194</v>
      </c>
      <c r="F191" s="88">
        <f aca="true" t="shared" si="79" ref="F191:P191">F189+F190</f>
        <v>21312941</v>
      </c>
      <c r="G191" s="88">
        <f t="shared" si="79"/>
        <v>19893016</v>
      </c>
      <c r="H191" s="88">
        <f t="shared" si="79"/>
        <v>1419925</v>
      </c>
      <c r="I191" s="88">
        <f t="shared" si="79"/>
        <v>0</v>
      </c>
      <c r="J191" s="88">
        <f t="shared" si="79"/>
        <v>19253</v>
      </c>
      <c r="K191" s="88">
        <f t="shared" si="79"/>
        <v>0</v>
      </c>
      <c r="L191" s="88">
        <f t="shared" si="79"/>
        <v>0</v>
      </c>
      <c r="M191" s="88">
        <f t="shared" si="79"/>
        <v>0</v>
      </c>
      <c r="N191" s="88">
        <f t="shared" si="79"/>
        <v>0</v>
      </c>
      <c r="O191" s="88">
        <f t="shared" si="79"/>
        <v>0</v>
      </c>
      <c r="P191" s="88">
        <f t="shared" si="79"/>
        <v>0</v>
      </c>
      <c r="Q191" s="68"/>
      <c r="R191" s="68"/>
      <c r="S191" s="50"/>
      <c r="T191" s="50"/>
      <c r="U191" s="50"/>
    </row>
    <row r="192" spans="1:21" s="51" customFormat="1" ht="12.75" hidden="1">
      <c r="A192" s="772" t="s">
        <v>146</v>
      </c>
      <c r="B192" s="751" t="s">
        <v>147</v>
      </c>
      <c r="C192" s="74" t="s">
        <v>13</v>
      </c>
      <c r="D192" s="85">
        <f>E192+M192</f>
        <v>1114580</v>
      </c>
      <c r="E192" s="88">
        <f>F192+I192+J192+K192+L192</f>
        <v>1114580</v>
      </c>
      <c r="F192" s="88">
        <f>G192+H192</f>
        <v>326142</v>
      </c>
      <c r="G192" s="88">
        <v>311921</v>
      </c>
      <c r="H192" s="88">
        <v>14221</v>
      </c>
      <c r="I192" s="88">
        <v>0</v>
      </c>
      <c r="J192" s="88">
        <v>958</v>
      </c>
      <c r="K192" s="88">
        <v>787480</v>
      </c>
      <c r="L192" s="88">
        <v>0</v>
      </c>
      <c r="M192" s="88">
        <f t="shared" si="78"/>
        <v>0</v>
      </c>
      <c r="N192" s="88">
        <v>0</v>
      </c>
      <c r="O192" s="88">
        <v>0</v>
      </c>
      <c r="P192" s="88">
        <v>0</v>
      </c>
      <c r="Q192" s="68"/>
      <c r="R192" s="68"/>
      <c r="S192" s="50"/>
      <c r="T192" s="50"/>
      <c r="U192" s="50"/>
    </row>
    <row r="193" spans="1:21" s="51" customFormat="1" ht="12.75" hidden="1">
      <c r="A193" s="773"/>
      <c r="B193" s="752"/>
      <c r="C193" s="74" t="s">
        <v>14</v>
      </c>
      <c r="D193" s="85">
        <f>E193+M193</f>
        <v>0</v>
      </c>
      <c r="E193" s="88">
        <f>F193+I193+J193+K193+L193</f>
        <v>0</v>
      </c>
      <c r="F193" s="88">
        <f>G193+H193</f>
        <v>0</v>
      </c>
      <c r="G193" s="88"/>
      <c r="H193" s="88"/>
      <c r="I193" s="88"/>
      <c r="J193" s="88"/>
      <c r="K193" s="88"/>
      <c r="L193" s="88"/>
      <c r="M193" s="88">
        <f t="shared" si="78"/>
        <v>0</v>
      </c>
      <c r="N193" s="88"/>
      <c r="O193" s="88"/>
      <c r="P193" s="88"/>
      <c r="Q193" s="68"/>
      <c r="R193" s="68"/>
      <c r="S193" s="50"/>
      <c r="T193" s="50"/>
      <c r="U193" s="50"/>
    </row>
    <row r="194" spans="1:21" s="51" customFormat="1" ht="12.75" hidden="1">
      <c r="A194" s="774"/>
      <c r="B194" s="753"/>
      <c r="C194" s="74" t="s">
        <v>15</v>
      </c>
      <c r="D194" s="85">
        <f>D192+D193</f>
        <v>1114580</v>
      </c>
      <c r="E194" s="88">
        <f>E192+E193</f>
        <v>1114580</v>
      </c>
      <c r="F194" s="88">
        <f aca="true" t="shared" si="80" ref="F194:P194">F192+F193</f>
        <v>326142</v>
      </c>
      <c r="G194" s="88">
        <f t="shared" si="80"/>
        <v>311921</v>
      </c>
      <c r="H194" s="88">
        <f t="shared" si="80"/>
        <v>14221</v>
      </c>
      <c r="I194" s="88">
        <f t="shared" si="80"/>
        <v>0</v>
      </c>
      <c r="J194" s="88">
        <f t="shared" si="80"/>
        <v>958</v>
      </c>
      <c r="K194" s="88">
        <f t="shared" si="80"/>
        <v>787480</v>
      </c>
      <c r="L194" s="88">
        <f t="shared" si="80"/>
        <v>0</v>
      </c>
      <c r="M194" s="88">
        <f t="shared" si="80"/>
        <v>0</v>
      </c>
      <c r="N194" s="88">
        <f t="shared" si="80"/>
        <v>0</v>
      </c>
      <c r="O194" s="88">
        <f t="shared" si="80"/>
        <v>0</v>
      </c>
      <c r="P194" s="88">
        <f t="shared" si="80"/>
        <v>0</v>
      </c>
      <c r="Q194" s="68"/>
      <c r="R194" s="68"/>
      <c r="S194" s="50"/>
      <c r="T194" s="50"/>
      <c r="U194" s="50"/>
    </row>
    <row r="195" spans="1:21" s="51" customFormat="1" ht="12.75" hidden="1">
      <c r="A195" s="772" t="s">
        <v>148</v>
      </c>
      <c r="B195" s="751" t="s">
        <v>149</v>
      </c>
      <c r="C195" s="74" t="s">
        <v>13</v>
      </c>
      <c r="D195" s="85">
        <f>E195+M195</f>
        <v>16500</v>
      </c>
      <c r="E195" s="88">
        <f>F195+I195+J195+K195+L195</f>
        <v>16500</v>
      </c>
      <c r="F195" s="88">
        <f>G195+H195</f>
        <v>16500</v>
      </c>
      <c r="G195" s="88">
        <v>0</v>
      </c>
      <c r="H195" s="88">
        <v>16500</v>
      </c>
      <c r="I195" s="88">
        <v>0</v>
      </c>
      <c r="J195" s="88">
        <v>0</v>
      </c>
      <c r="K195" s="88">
        <v>0</v>
      </c>
      <c r="L195" s="88">
        <v>0</v>
      </c>
      <c r="M195" s="88">
        <f t="shared" si="78"/>
        <v>0</v>
      </c>
      <c r="N195" s="88">
        <v>0</v>
      </c>
      <c r="O195" s="88">
        <v>0</v>
      </c>
      <c r="P195" s="88">
        <v>0</v>
      </c>
      <c r="Q195" s="68"/>
      <c r="R195" s="68"/>
      <c r="S195" s="50"/>
      <c r="T195" s="50"/>
      <c r="U195" s="50"/>
    </row>
    <row r="196" spans="1:21" s="51" customFormat="1" ht="12.75" hidden="1">
      <c r="A196" s="773"/>
      <c r="B196" s="752"/>
      <c r="C196" s="74" t="s">
        <v>14</v>
      </c>
      <c r="D196" s="85">
        <f>E196+M196</f>
        <v>0</v>
      </c>
      <c r="E196" s="88">
        <f>F196+I196+J196+K196+L196</f>
        <v>0</v>
      </c>
      <c r="F196" s="88">
        <f>G196+H196</f>
        <v>0</v>
      </c>
      <c r="G196" s="88"/>
      <c r="H196" s="88"/>
      <c r="I196" s="88"/>
      <c r="J196" s="88"/>
      <c r="K196" s="88"/>
      <c r="L196" s="88"/>
      <c r="M196" s="88">
        <f t="shared" si="78"/>
        <v>0</v>
      </c>
      <c r="N196" s="88"/>
      <c r="O196" s="88"/>
      <c r="P196" s="88"/>
      <c r="Q196" s="68"/>
      <c r="R196" s="68"/>
      <c r="S196" s="50"/>
      <c r="T196" s="50"/>
      <c r="U196" s="50"/>
    </row>
    <row r="197" spans="1:21" s="51" customFormat="1" ht="12.75" hidden="1">
      <c r="A197" s="774"/>
      <c r="B197" s="753"/>
      <c r="C197" s="74" t="s">
        <v>15</v>
      </c>
      <c r="D197" s="85">
        <f>D195+D196</f>
        <v>16500</v>
      </c>
      <c r="E197" s="88">
        <f>E195+E196</f>
        <v>16500</v>
      </c>
      <c r="F197" s="88">
        <f aca="true" t="shared" si="81" ref="F197:P197">F195+F196</f>
        <v>16500</v>
      </c>
      <c r="G197" s="88">
        <f t="shared" si="81"/>
        <v>0</v>
      </c>
      <c r="H197" s="88">
        <f t="shared" si="81"/>
        <v>16500</v>
      </c>
      <c r="I197" s="88">
        <f t="shared" si="81"/>
        <v>0</v>
      </c>
      <c r="J197" s="88">
        <f t="shared" si="81"/>
        <v>0</v>
      </c>
      <c r="K197" s="88">
        <f t="shared" si="81"/>
        <v>0</v>
      </c>
      <c r="L197" s="88">
        <f t="shared" si="81"/>
        <v>0</v>
      </c>
      <c r="M197" s="88">
        <f t="shared" si="81"/>
        <v>0</v>
      </c>
      <c r="N197" s="88">
        <f t="shared" si="81"/>
        <v>0</v>
      </c>
      <c r="O197" s="88">
        <f t="shared" si="81"/>
        <v>0</v>
      </c>
      <c r="P197" s="88">
        <f t="shared" si="81"/>
        <v>0</v>
      </c>
      <c r="Q197" s="68"/>
      <c r="R197" s="68"/>
      <c r="S197" s="50"/>
      <c r="T197" s="50"/>
      <c r="U197" s="50"/>
    </row>
    <row r="198" spans="1:21" s="51" customFormat="1" ht="12.75" hidden="1">
      <c r="A198" s="772" t="s">
        <v>150</v>
      </c>
      <c r="B198" s="751" t="s">
        <v>151</v>
      </c>
      <c r="C198" s="74" t="s">
        <v>13</v>
      </c>
      <c r="D198" s="85">
        <f>E198+M198</f>
        <v>9941124</v>
      </c>
      <c r="E198" s="88">
        <f>F198+I198+J198+K198+L198</f>
        <v>6436864</v>
      </c>
      <c r="F198" s="88">
        <f>G198+H198</f>
        <v>6351792</v>
      </c>
      <c r="G198" s="88">
        <v>4931816</v>
      </c>
      <c r="H198" s="88">
        <v>1419976</v>
      </c>
      <c r="I198" s="88">
        <v>0</v>
      </c>
      <c r="J198" s="88">
        <v>11200</v>
      </c>
      <c r="K198" s="88">
        <f>49881+8802+2602+460+9022+1592+1286+227</f>
        <v>73872</v>
      </c>
      <c r="L198" s="88">
        <v>0</v>
      </c>
      <c r="M198" s="88">
        <f t="shared" si="78"/>
        <v>3504260</v>
      </c>
      <c r="N198" s="88">
        <v>3504260</v>
      </c>
      <c r="O198" s="88">
        <f>1949397+344011</f>
        <v>2293408</v>
      </c>
      <c r="P198" s="88">
        <v>0</v>
      </c>
      <c r="Q198" s="68"/>
      <c r="R198" s="68"/>
      <c r="S198" s="50"/>
      <c r="T198" s="50"/>
      <c r="U198" s="50"/>
    </row>
    <row r="199" spans="1:21" s="51" customFormat="1" ht="12.75" hidden="1">
      <c r="A199" s="773"/>
      <c r="B199" s="752"/>
      <c r="C199" s="74" t="s">
        <v>14</v>
      </c>
      <c r="D199" s="85">
        <f>E199+M199</f>
        <v>0</v>
      </c>
      <c r="E199" s="88">
        <f>F199+I199+J199+K199+L199</f>
        <v>0</v>
      </c>
      <c r="F199" s="88">
        <f>G199+H199</f>
        <v>0</v>
      </c>
      <c r="G199" s="88"/>
      <c r="H199" s="88"/>
      <c r="I199" s="88"/>
      <c r="J199" s="88"/>
      <c r="K199" s="88"/>
      <c r="L199" s="88"/>
      <c r="M199" s="88">
        <f t="shared" si="78"/>
        <v>0</v>
      </c>
      <c r="N199" s="88"/>
      <c r="O199" s="88"/>
      <c r="P199" s="88"/>
      <c r="Q199" s="68"/>
      <c r="R199" s="68"/>
      <c r="S199" s="50"/>
      <c r="T199" s="50"/>
      <c r="U199" s="50"/>
    </row>
    <row r="200" spans="1:21" s="51" customFormat="1" ht="12.75" hidden="1">
      <c r="A200" s="774"/>
      <c r="B200" s="753"/>
      <c r="C200" s="74" t="s">
        <v>15</v>
      </c>
      <c r="D200" s="85">
        <f>D198+D199</f>
        <v>9941124</v>
      </c>
      <c r="E200" s="88">
        <f>E198+E199</f>
        <v>6436864</v>
      </c>
      <c r="F200" s="88">
        <f aca="true" t="shared" si="82" ref="F200:P200">F198+F199</f>
        <v>6351792</v>
      </c>
      <c r="G200" s="88">
        <f t="shared" si="82"/>
        <v>4931816</v>
      </c>
      <c r="H200" s="88">
        <f t="shared" si="82"/>
        <v>1419976</v>
      </c>
      <c r="I200" s="88">
        <f t="shared" si="82"/>
        <v>0</v>
      </c>
      <c r="J200" s="88">
        <f t="shared" si="82"/>
        <v>11200</v>
      </c>
      <c r="K200" s="88">
        <f t="shared" si="82"/>
        <v>73872</v>
      </c>
      <c r="L200" s="88">
        <f t="shared" si="82"/>
        <v>0</v>
      </c>
      <c r="M200" s="88">
        <f t="shared" si="82"/>
        <v>3504260</v>
      </c>
      <c r="N200" s="88">
        <f t="shared" si="82"/>
        <v>3504260</v>
      </c>
      <c r="O200" s="88">
        <f t="shared" si="82"/>
        <v>2293408</v>
      </c>
      <c r="P200" s="88">
        <f t="shared" si="82"/>
        <v>0</v>
      </c>
      <c r="Q200" s="68"/>
      <c r="R200" s="68"/>
      <c r="S200" s="50"/>
      <c r="T200" s="50"/>
      <c r="U200" s="50"/>
    </row>
    <row r="201" spans="1:21" s="51" customFormat="1" ht="12.75" hidden="1">
      <c r="A201" s="772" t="s">
        <v>152</v>
      </c>
      <c r="B201" s="775" t="s">
        <v>153</v>
      </c>
      <c r="C201" s="74" t="s">
        <v>13</v>
      </c>
      <c r="D201" s="85">
        <f>E201+M201</f>
        <v>3126707</v>
      </c>
      <c r="E201" s="88">
        <f>F201+I201+J201+K201+L201</f>
        <v>3126707</v>
      </c>
      <c r="F201" s="88">
        <f>G201+H201</f>
        <v>3120987</v>
      </c>
      <c r="G201" s="88">
        <v>2923376</v>
      </c>
      <c r="H201" s="88">
        <v>197611</v>
      </c>
      <c r="I201" s="88">
        <v>0</v>
      </c>
      <c r="J201" s="88">
        <v>5720</v>
      </c>
      <c r="K201" s="88">
        <v>0</v>
      </c>
      <c r="L201" s="88">
        <v>0</v>
      </c>
      <c r="M201" s="88">
        <f t="shared" si="78"/>
        <v>0</v>
      </c>
      <c r="N201" s="88">
        <v>0</v>
      </c>
      <c r="O201" s="88">
        <v>0</v>
      </c>
      <c r="P201" s="88">
        <v>0</v>
      </c>
      <c r="Q201" s="68"/>
      <c r="R201" s="68"/>
      <c r="S201" s="50"/>
      <c r="T201" s="50"/>
      <c r="U201" s="50"/>
    </row>
    <row r="202" spans="1:21" s="51" customFormat="1" ht="12.75" hidden="1">
      <c r="A202" s="773"/>
      <c r="B202" s="776"/>
      <c r="C202" s="74" t="s">
        <v>14</v>
      </c>
      <c r="D202" s="85">
        <f>E202+M202</f>
        <v>0</v>
      </c>
      <c r="E202" s="88">
        <f>F202+I202+J202+K202+L202</f>
        <v>0</v>
      </c>
      <c r="F202" s="88">
        <f>G202+H202</f>
        <v>0</v>
      </c>
      <c r="G202" s="88"/>
      <c r="H202" s="88"/>
      <c r="I202" s="88"/>
      <c r="J202" s="88"/>
      <c r="K202" s="88"/>
      <c r="L202" s="88"/>
      <c r="M202" s="88">
        <f t="shared" si="78"/>
        <v>0</v>
      </c>
      <c r="N202" s="88"/>
      <c r="O202" s="88"/>
      <c r="P202" s="88"/>
      <c r="Q202" s="68"/>
      <c r="R202" s="68"/>
      <c r="S202" s="50"/>
      <c r="T202" s="50"/>
      <c r="U202" s="50"/>
    </row>
    <row r="203" spans="1:21" s="51" customFormat="1" ht="12.75" hidden="1">
      <c r="A203" s="774"/>
      <c r="B203" s="777"/>
      <c r="C203" s="74" t="s">
        <v>15</v>
      </c>
      <c r="D203" s="85">
        <f>D201+D202</f>
        <v>3126707</v>
      </c>
      <c r="E203" s="88">
        <f>E201+E202</f>
        <v>3126707</v>
      </c>
      <c r="F203" s="88">
        <f aca="true" t="shared" si="83" ref="F203:P203">F201+F202</f>
        <v>3120987</v>
      </c>
      <c r="G203" s="88">
        <f t="shared" si="83"/>
        <v>2923376</v>
      </c>
      <c r="H203" s="88">
        <f t="shared" si="83"/>
        <v>197611</v>
      </c>
      <c r="I203" s="88">
        <f t="shared" si="83"/>
        <v>0</v>
      </c>
      <c r="J203" s="88">
        <f t="shared" si="83"/>
        <v>5720</v>
      </c>
      <c r="K203" s="88">
        <f t="shared" si="83"/>
        <v>0</v>
      </c>
      <c r="L203" s="88">
        <f t="shared" si="83"/>
        <v>0</v>
      </c>
      <c r="M203" s="88">
        <f t="shared" si="83"/>
        <v>0</v>
      </c>
      <c r="N203" s="88">
        <f t="shared" si="83"/>
        <v>0</v>
      </c>
      <c r="O203" s="88">
        <f t="shared" si="83"/>
        <v>0</v>
      </c>
      <c r="P203" s="88">
        <f t="shared" si="83"/>
        <v>0</v>
      </c>
      <c r="Q203" s="68"/>
      <c r="R203" s="68"/>
      <c r="S203" s="50"/>
      <c r="T203" s="50"/>
      <c r="U203" s="50"/>
    </row>
    <row r="204" spans="1:21" s="51" customFormat="1" ht="12.75" hidden="1">
      <c r="A204" s="772" t="s">
        <v>154</v>
      </c>
      <c r="B204" s="751" t="s">
        <v>155</v>
      </c>
      <c r="C204" s="74" t="s">
        <v>13</v>
      </c>
      <c r="D204" s="85">
        <f>E204+M204</f>
        <v>14164063</v>
      </c>
      <c r="E204" s="88">
        <f>F204+I204+J204+K204+L204</f>
        <v>14164063</v>
      </c>
      <c r="F204" s="88">
        <f>G204+H204</f>
        <v>14155163</v>
      </c>
      <c r="G204" s="88">
        <v>12944327</v>
      </c>
      <c r="H204" s="88">
        <v>1210836</v>
      </c>
      <c r="I204" s="88">
        <v>0</v>
      </c>
      <c r="J204" s="88">
        <v>8900</v>
      </c>
      <c r="K204" s="88">
        <v>0</v>
      </c>
      <c r="L204" s="88">
        <v>0</v>
      </c>
      <c r="M204" s="88">
        <f t="shared" si="78"/>
        <v>0</v>
      </c>
      <c r="N204" s="88">
        <v>0</v>
      </c>
      <c r="O204" s="88">
        <v>0</v>
      </c>
      <c r="P204" s="88">
        <v>0</v>
      </c>
      <c r="Q204" s="68"/>
      <c r="R204" s="68"/>
      <c r="S204" s="50"/>
      <c r="T204" s="50"/>
      <c r="U204" s="50"/>
    </row>
    <row r="205" spans="1:21" s="51" customFormat="1" ht="12.75" hidden="1">
      <c r="A205" s="773"/>
      <c r="B205" s="752"/>
      <c r="C205" s="74" t="s">
        <v>14</v>
      </c>
      <c r="D205" s="85">
        <f>E205+M205</f>
        <v>0</v>
      </c>
      <c r="E205" s="88">
        <f>F205+I205+J205+K205+L205</f>
        <v>0</v>
      </c>
      <c r="F205" s="88">
        <f>G205+H205</f>
        <v>0</v>
      </c>
      <c r="G205" s="88"/>
      <c r="H205" s="88"/>
      <c r="I205" s="88"/>
      <c r="J205" s="88"/>
      <c r="K205" s="88"/>
      <c r="L205" s="88"/>
      <c r="M205" s="88">
        <f t="shared" si="78"/>
        <v>0</v>
      </c>
      <c r="N205" s="88"/>
      <c r="O205" s="88"/>
      <c r="P205" s="88"/>
      <c r="Q205" s="68"/>
      <c r="R205" s="68"/>
      <c r="S205" s="50"/>
      <c r="T205" s="50"/>
      <c r="U205" s="50"/>
    </row>
    <row r="206" spans="1:21" s="51" customFormat="1" ht="12.75" hidden="1">
      <c r="A206" s="774"/>
      <c r="B206" s="753"/>
      <c r="C206" s="74" t="s">
        <v>15</v>
      </c>
      <c r="D206" s="85">
        <f>D204+D205</f>
        <v>14164063</v>
      </c>
      <c r="E206" s="88">
        <f>E204+E205</f>
        <v>14164063</v>
      </c>
      <c r="F206" s="88">
        <f aca="true" t="shared" si="84" ref="F206:P206">F204+F205</f>
        <v>14155163</v>
      </c>
      <c r="G206" s="88">
        <f t="shared" si="84"/>
        <v>12944327</v>
      </c>
      <c r="H206" s="88">
        <f t="shared" si="84"/>
        <v>1210836</v>
      </c>
      <c r="I206" s="88">
        <f t="shared" si="84"/>
        <v>0</v>
      </c>
      <c r="J206" s="88">
        <f t="shared" si="84"/>
        <v>8900</v>
      </c>
      <c r="K206" s="88">
        <f t="shared" si="84"/>
        <v>0</v>
      </c>
      <c r="L206" s="88">
        <f t="shared" si="84"/>
        <v>0</v>
      </c>
      <c r="M206" s="88">
        <f t="shared" si="84"/>
        <v>0</v>
      </c>
      <c r="N206" s="88">
        <f t="shared" si="84"/>
        <v>0</v>
      </c>
      <c r="O206" s="88">
        <f t="shared" si="84"/>
        <v>0</v>
      </c>
      <c r="P206" s="88">
        <f t="shared" si="84"/>
        <v>0</v>
      </c>
      <c r="Q206" s="68"/>
      <c r="R206" s="68"/>
      <c r="S206" s="50"/>
      <c r="T206" s="50"/>
      <c r="U206" s="50"/>
    </row>
    <row r="207" spans="1:21" s="33" customFormat="1" ht="12.75" hidden="1">
      <c r="A207" s="772" t="s">
        <v>156</v>
      </c>
      <c r="B207" s="751" t="s">
        <v>212</v>
      </c>
      <c r="C207" s="74" t="s">
        <v>13</v>
      </c>
      <c r="D207" s="85">
        <f>E207+M207</f>
        <v>9238205</v>
      </c>
      <c r="E207" s="88">
        <f>F207+I207+J207+K207+L207</f>
        <v>2673691</v>
      </c>
      <c r="F207" s="88">
        <f>G207+H207</f>
        <v>2541520</v>
      </c>
      <c r="G207" s="88">
        <v>2265334</v>
      </c>
      <c r="H207" s="88">
        <v>276186</v>
      </c>
      <c r="I207" s="88">
        <v>0</v>
      </c>
      <c r="J207" s="88">
        <v>2000</v>
      </c>
      <c r="K207" s="88">
        <v>130171</v>
      </c>
      <c r="L207" s="88">
        <v>0</v>
      </c>
      <c r="M207" s="88">
        <f t="shared" si="78"/>
        <v>6564514</v>
      </c>
      <c r="N207" s="88">
        <v>6564514</v>
      </c>
      <c r="O207" s="88">
        <f>4284356+756063</f>
        <v>5040419</v>
      </c>
      <c r="P207" s="88">
        <v>0</v>
      </c>
      <c r="Q207" s="52"/>
      <c r="R207" s="52"/>
      <c r="S207" s="39"/>
      <c r="T207" s="39"/>
      <c r="U207" s="39"/>
    </row>
    <row r="208" spans="1:21" s="33" customFormat="1" ht="12.75" hidden="1">
      <c r="A208" s="773"/>
      <c r="B208" s="752"/>
      <c r="C208" s="74" t="s">
        <v>14</v>
      </c>
      <c r="D208" s="85">
        <f>E208+M208</f>
        <v>0</v>
      </c>
      <c r="E208" s="88">
        <f>F208+I208+J208+K208+L208</f>
        <v>0</v>
      </c>
      <c r="F208" s="88">
        <f>G208+H208</f>
        <v>0</v>
      </c>
      <c r="G208" s="88"/>
      <c r="H208" s="88"/>
      <c r="I208" s="88"/>
      <c r="J208" s="88"/>
      <c r="K208" s="88"/>
      <c r="L208" s="88"/>
      <c r="M208" s="88">
        <f t="shared" si="78"/>
        <v>0</v>
      </c>
      <c r="N208" s="88"/>
      <c r="O208" s="88"/>
      <c r="P208" s="88"/>
      <c r="Q208" s="52"/>
      <c r="R208" s="52"/>
      <c r="S208" s="39"/>
      <c r="T208" s="39"/>
      <c r="U208" s="39"/>
    </row>
    <row r="209" spans="1:21" s="33" customFormat="1" ht="12.75" hidden="1">
      <c r="A209" s="774"/>
      <c r="B209" s="753"/>
      <c r="C209" s="74" t="s">
        <v>15</v>
      </c>
      <c r="D209" s="85">
        <f>D207+D208</f>
        <v>9238205</v>
      </c>
      <c r="E209" s="88">
        <f>E207+E208</f>
        <v>2673691</v>
      </c>
      <c r="F209" s="88">
        <f aca="true" t="shared" si="85" ref="F209:P209">F207+F208</f>
        <v>2541520</v>
      </c>
      <c r="G209" s="88">
        <f t="shared" si="85"/>
        <v>2265334</v>
      </c>
      <c r="H209" s="88">
        <f t="shared" si="85"/>
        <v>276186</v>
      </c>
      <c r="I209" s="88">
        <f t="shared" si="85"/>
        <v>0</v>
      </c>
      <c r="J209" s="88">
        <f t="shared" si="85"/>
        <v>2000</v>
      </c>
      <c r="K209" s="88">
        <f t="shared" si="85"/>
        <v>130171</v>
      </c>
      <c r="L209" s="88">
        <f t="shared" si="85"/>
        <v>0</v>
      </c>
      <c r="M209" s="88">
        <f t="shared" si="85"/>
        <v>6564514</v>
      </c>
      <c r="N209" s="88">
        <f t="shared" si="85"/>
        <v>6564514</v>
      </c>
      <c r="O209" s="88">
        <f t="shared" si="85"/>
        <v>5040419</v>
      </c>
      <c r="P209" s="88">
        <f t="shared" si="85"/>
        <v>0</v>
      </c>
      <c r="Q209" s="52"/>
      <c r="R209" s="52"/>
      <c r="S209" s="39"/>
      <c r="T209" s="39"/>
      <c r="U209" s="39"/>
    </row>
    <row r="210" spans="1:21" s="51" customFormat="1" ht="12.75" hidden="1">
      <c r="A210" s="772" t="s">
        <v>73</v>
      </c>
      <c r="B210" s="751" t="s">
        <v>157</v>
      </c>
      <c r="C210" s="74" t="s">
        <v>13</v>
      </c>
      <c r="D210" s="85">
        <f>E210+M210</f>
        <v>8765182</v>
      </c>
      <c r="E210" s="88">
        <f>F210+I210+J210+K210+L210</f>
        <v>7989182</v>
      </c>
      <c r="F210" s="88">
        <f>G210+H210</f>
        <v>7980927</v>
      </c>
      <c r="G210" s="88">
        <v>6937229</v>
      </c>
      <c r="H210" s="88">
        <v>1043698</v>
      </c>
      <c r="I210" s="88">
        <v>0</v>
      </c>
      <c r="J210" s="88">
        <v>8255</v>
      </c>
      <c r="K210" s="88">
        <v>0</v>
      </c>
      <c r="L210" s="88">
        <v>0</v>
      </c>
      <c r="M210" s="88">
        <f t="shared" si="78"/>
        <v>776000</v>
      </c>
      <c r="N210" s="88">
        <v>776000</v>
      </c>
      <c r="O210" s="88">
        <v>0</v>
      </c>
      <c r="P210" s="88">
        <v>0</v>
      </c>
      <c r="Q210" s="68"/>
      <c r="R210" s="68"/>
      <c r="S210" s="50"/>
      <c r="T210" s="50"/>
      <c r="U210" s="50"/>
    </row>
    <row r="211" spans="1:21" s="51" customFormat="1" ht="12.75" hidden="1">
      <c r="A211" s="773"/>
      <c r="B211" s="752"/>
      <c r="C211" s="74" t="s">
        <v>14</v>
      </c>
      <c r="D211" s="85">
        <f>E211+M211</f>
        <v>0</v>
      </c>
      <c r="E211" s="88">
        <f>F211+I211+J211+K211+L211</f>
        <v>0</v>
      </c>
      <c r="F211" s="88">
        <f>G211+H211</f>
        <v>0</v>
      </c>
      <c r="G211" s="88"/>
      <c r="H211" s="88"/>
      <c r="I211" s="88"/>
      <c r="J211" s="88"/>
      <c r="K211" s="88"/>
      <c r="L211" s="88"/>
      <c r="M211" s="88">
        <f t="shared" si="78"/>
        <v>0</v>
      </c>
      <c r="N211" s="88"/>
      <c r="O211" s="88"/>
      <c r="P211" s="88"/>
      <c r="Q211" s="68"/>
      <c r="R211" s="68"/>
      <c r="S211" s="50"/>
      <c r="T211" s="50"/>
      <c r="U211" s="50"/>
    </row>
    <row r="212" spans="1:21" s="51" customFormat="1" ht="12.75" hidden="1">
      <c r="A212" s="774"/>
      <c r="B212" s="753"/>
      <c r="C212" s="74" t="s">
        <v>15</v>
      </c>
      <c r="D212" s="85">
        <f>D210+D211</f>
        <v>8765182</v>
      </c>
      <c r="E212" s="88">
        <f>E210+E211</f>
        <v>7989182</v>
      </c>
      <c r="F212" s="88">
        <f aca="true" t="shared" si="86" ref="F212:P212">F210+F211</f>
        <v>7980927</v>
      </c>
      <c r="G212" s="88">
        <f t="shared" si="86"/>
        <v>6937229</v>
      </c>
      <c r="H212" s="88">
        <f t="shared" si="86"/>
        <v>1043698</v>
      </c>
      <c r="I212" s="88">
        <f t="shared" si="86"/>
        <v>0</v>
      </c>
      <c r="J212" s="88">
        <f t="shared" si="86"/>
        <v>8255</v>
      </c>
      <c r="K212" s="88">
        <f t="shared" si="86"/>
        <v>0</v>
      </c>
      <c r="L212" s="88">
        <f t="shared" si="86"/>
        <v>0</v>
      </c>
      <c r="M212" s="88">
        <f t="shared" si="86"/>
        <v>776000</v>
      </c>
      <c r="N212" s="88">
        <f t="shared" si="86"/>
        <v>776000</v>
      </c>
      <c r="O212" s="88">
        <f t="shared" si="86"/>
        <v>0</v>
      </c>
      <c r="P212" s="88">
        <f t="shared" si="86"/>
        <v>0</v>
      </c>
      <c r="Q212" s="68"/>
      <c r="R212" s="68"/>
      <c r="S212" s="50"/>
      <c r="T212" s="50"/>
      <c r="U212" s="50"/>
    </row>
    <row r="213" spans="1:21" s="51" customFormat="1" ht="12.75" hidden="1">
      <c r="A213" s="772" t="s">
        <v>33</v>
      </c>
      <c r="B213" s="751" t="s">
        <v>158</v>
      </c>
      <c r="C213" s="74" t="s">
        <v>13</v>
      </c>
      <c r="D213" s="85">
        <f>E213+M213</f>
        <v>7529798</v>
      </c>
      <c r="E213" s="88">
        <f>F213+I213+J213+K213+L213</f>
        <v>7529798</v>
      </c>
      <c r="F213" s="88">
        <f>G213+H213</f>
        <v>7525163</v>
      </c>
      <c r="G213" s="88">
        <v>6516414</v>
      </c>
      <c r="H213" s="88">
        <v>1008749</v>
      </c>
      <c r="I213" s="88">
        <v>0</v>
      </c>
      <c r="J213" s="88">
        <v>4635</v>
      </c>
      <c r="K213" s="88">
        <v>0</v>
      </c>
      <c r="L213" s="88">
        <v>0</v>
      </c>
      <c r="M213" s="88">
        <f t="shared" si="78"/>
        <v>0</v>
      </c>
      <c r="N213" s="88">
        <v>0</v>
      </c>
      <c r="O213" s="88">
        <v>0</v>
      </c>
      <c r="P213" s="88">
        <v>0</v>
      </c>
      <c r="Q213" s="68"/>
      <c r="R213" s="68"/>
      <c r="S213" s="50"/>
      <c r="T213" s="50"/>
      <c r="U213" s="50"/>
    </row>
    <row r="214" spans="1:21" s="51" customFormat="1" ht="12.75" hidden="1">
      <c r="A214" s="773"/>
      <c r="B214" s="752"/>
      <c r="C214" s="74" t="s">
        <v>14</v>
      </c>
      <c r="D214" s="85">
        <f>E214+M214</f>
        <v>0</v>
      </c>
      <c r="E214" s="88">
        <f>F214+I214+J214+K214+L214</f>
        <v>0</v>
      </c>
      <c r="F214" s="88">
        <f>G214+H214</f>
        <v>0</v>
      </c>
      <c r="G214" s="88"/>
      <c r="H214" s="88"/>
      <c r="I214" s="88"/>
      <c r="J214" s="88"/>
      <c r="K214" s="88"/>
      <c r="L214" s="88"/>
      <c r="M214" s="88">
        <f t="shared" si="78"/>
        <v>0</v>
      </c>
      <c r="N214" s="88"/>
      <c r="O214" s="88"/>
      <c r="P214" s="88"/>
      <c r="Q214" s="68"/>
      <c r="R214" s="68"/>
      <c r="S214" s="50"/>
      <c r="T214" s="50"/>
      <c r="U214" s="50"/>
    </row>
    <row r="215" spans="1:21" s="51" customFormat="1" ht="12.75" hidden="1">
      <c r="A215" s="774"/>
      <c r="B215" s="753"/>
      <c r="C215" s="74" t="s">
        <v>15</v>
      </c>
      <c r="D215" s="85">
        <f>D213+D214</f>
        <v>7529798</v>
      </c>
      <c r="E215" s="88">
        <f>E213+E214</f>
        <v>7529798</v>
      </c>
      <c r="F215" s="88">
        <f aca="true" t="shared" si="87" ref="F215:P215">F213+F214</f>
        <v>7525163</v>
      </c>
      <c r="G215" s="88">
        <f t="shared" si="87"/>
        <v>6516414</v>
      </c>
      <c r="H215" s="88">
        <f t="shared" si="87"/>
        <v>1008749</v>
      </c>
      <c r="I215" s="88">
        <f t="shared" si="87"/>
        <v>0</v>
      </c>
      <c r="J215" s="88">
        <f t="shared" si="87"/>
        <v>4635</v>
      </c>
      <c r="K215" s="88">
        <f t="shared" si="87"/>
        <v>0</v>
      </c>
      <c r="L215" s="88">
        <f t="shared" si="87"/>
        <v>0</v>
      </c>
      <c r="M215" s="88">
        <f t="shared" si="87"/>
        <v>0</v>
      </c>
      <c r="N215" s="88">
        <f t="shared" si="87"/>
        <v>0</v>
      </c>
      <c r="O215" s="88">
        <f t="shared" si="87"/>
        <v>0</v>
      </c>
      <c r="P215" s="88">
        <f t="shared" si="87"/>
        <v>0</v>
      </c>
      <c r="Q215" s="68"/>
      <c r="R215" s="68"/>
      <c r="S215" s="50"/>
      <c r="T215" s="50"/>
      <c r="U215" s="50"/>
    </row>
    <row r="216" spans="1:21" s="33" customFormat="1" ht="24.75" customHeight="1" hidden="1">
      <c r="A216" s="772" t="s">
        <v>198</v>
      </c>
      <c r="B216" s="751" t="s">
        <v>199</v>
      </c>
      <c r="C216" s="74" t="s">
        <v>13</v>
      </c>
      <c r="D216" s="85">
        <f>E216+M216</f>
        <v>1594643</v>
      </c>
      <c r="E216" s="88">
        <f>F216+I216+J216+K216+L216</f>
        <v>1594643</v>
      </c>
      <c r="F216" s="88">
        <f>G216+H216</f>
        <v>1594493</v>
      </c>
      <c r="G216" s="88">
        <v>1505522</v>
      </c>
      <c r="H216" s="88">
        <v>88971</v>
      </c>
      <c r="I216" s="88">
        <v>0</v>
      </c>
      <c r="J216" s="88">
        <v>150</v>
      </c>
      <c r="K216" s="88">
        <v>0</v>
      </c>
      <c r="L216" s="88">
        <v>0</v>
      </c>
      <c r="M216" s="88">
        <f t="shared" si="78"/>
        <v>0</v>
      </c>
      <c r="N216" s="88">
        <v>0</v>
      </c>
      <c r="O216" s="88">
        <v>0</v>
      </c>
      <c r="P216" s="88">
        <v>0</v>
      </c>
      <c r="Q216" s="52"/>
      <c r="R216" s="52"/>
      <c r="S216" s="39"/>
      <c r="T216" s="39"/>
      <c r="U216" s="39"/>
    </row>
    <row r="217" spans="1:21" s="33" customFormat="1" ht="24.75" customHeight="1" hidden="1">
      <c r="A217" s="773"/>
      <c r="B217" s="752"/>
      <c r="C217" s="74" t="s">
        <v>14</v>
      </c>
      <c r="D217" s="85">
        <f>E217+M217</f>
        <v>0</v>
      </c>
      <c r="E217" s="88">
        <f>F217+I217+J217+K217+L217</f>
        <v>0</v>
      </c>
      <c r="F217" s="88">
        <f>G217+H217</f>
        <v>0</v>
      </c>
      <c r="G217" s="88"/>
      <c r="H217" s="88"/>
      <c r="I217" s="88"/>
      <c r="J217" s="88"/>
      <c r="K217" s="88"/>
      <c r="L217" s="88"/>
      <c r="M217" s="88">
        <f t="shared" si="78"/>
        <v>0</v>
      </c>
      <c r="N217" s="88"/>
      <c r="O217" s="88"/>
      <c r="P217" s="88"/>
      <c r="Q217" s="52"/>
      <c r="R217" s="52"/>
      <c r="S217" s="39"/>
      <c r="T217" s="39"/>
      <c r="U217" s="39"/>
    </row>
    <row r="218" spans="1:21" s="33" customFormat="1" ht="24.75" customHeight="1" hidden="1">
      <c r="A218" s="774"/>
      <c r="B218" s="753"/>
      <c r="C218" s="74" t="s">
        <v>15</v>
      </c>
      <c r="D218" s="85">
        <f>D216+D217</f>
        <v>1594643</v>
      </c>
      <c r="E218" s="88">
        <f>E216+E217</f>
        <v>1594643</v>
      </c>
      <c r="F218" s="88">
        <f aca="true" t="shared" si="88" ref="F218:P218">F216+F217</f>
        <v>1594493</v>
      </c>
      <c r="G218" s="88">
        <f t="shared" si="88"/>
        <v>1505522</v>
      </c>
      <c r="H218" s="88">
        <f t="shared" si="88"/>
        <v>88971</v>
      </c>
      <c r="I218" s="88">
        <f t="shared" si="88"/>
        <v>0</v>
      </c>
      <c r="J218" s="88">
        <f t="shared" si="88"/>
        <v>150</v>
      </c>
      <c r="K218" s="88">
        <f t="shared" si="88"/>
        <v>0</v>
      </c>
      <c r="L218" s="88">
        <f t="shared" si="88"/>
        <v>0</v>
      </c>
      <c r="M218" s="88">
        <f t="shared" si="88"/>
        <v>0</v>
      </c>
      <c r="N218" s="88">
        <f t="shared" si="88"/>
        <v>0</v>
      </c>
      <c r="O218" s="88">
        <f t="shared" si="88"/>
        <v>0</v>
      </c>
      <c r="P218" s="88">
        <f t="shared" si="88"/>
        <v>0</v>
      </c>
      <c r="Q218" s="52"/>
      <c r="R218" s="52"/>
      <c r="S218" s="39"/>
      <c r="T218" s="39"/>
      <c r="U218" s="39"/>
    </row>
    <row r="219" spans="1:21" s="51" customFormat="1" ht="12.75" hidden="1">
      <c r="A219" s="772" t="s">
        <v>159</v>
      </c>
      <c r="B219" s="751" t="s">
        <v>160</v>
      </c>
      <c r="C219" s="74" t="s">
        <v>13</v>
      </c>
      <c r="D219" s="85">
        <f>E219+M219</f>
        <v>120077</v>
      </c>
      <c r="E219" s="88">
        <f>F219+I219+J219+K219+L219</f>
        <v>120077</v>
      </c>
      <c r="F219" s="88">
        <f>G219+H219</f>
        <v>120077</v>
      </c>
      <c r="G219" s="88">
        <v>120077</v>
      </c>
      <c r="H219" s="88">
        <v>0</v>
      </c>
      <c r="I219" s="88">
        <v>0</v>
      </c>
      <c r="J219" s="88">
        <v>0</v>
      </c>
      <c r="K219" s="88">
        <v>0</v>
      </c>
      <c r="L219" s="88">
        <v>0</v>
      </c>
      <c r="M219" s="88">
        <f t="shared" si="78"/>
        <v>0</v>
      </c>
      <c r="N219" s="88">
        <v>0</v>
      </c>
      <c r="O219" s="88">
        <v>0</v>
      </c>
      <c r="P219" s="88">
        <v>0</v>
      </c>
      <c r="Q219" s="68"/>
      <c r="R219" s="68"/>
      <c r="S219" s="50"/>
      <c r="T219" s="50"/>
      <c r="U219" s="50"/>
    </row>
    <row r="220" spans="1:21" s="51" customFormat="1" ht="12.75" hidden="1">
      <c r="A220" s="773"/>
      <c r="B220" s="752"/>
      <c r="C220" s="74" t="s">
        <v>14</v>
      </c>
      <c r="D220" s="85">
        <f>E220+M220</f>
        <v>0</v>
      </c>
      <c r="E220" s="88">
        <f>F220+I220+J220+K220+L220</f>
        <v>0</v>
      </c>
      <c r="F220" s="88">
        <f>G220+H220</f>
        <v>0</v>
      </c>
      <c r="G220" s="88"/>
      <c r="H220" s="88"/>
      <c r="I220" s="88"/>
      <c r="J220" s="88"/>
      <c r="K220" s="88"/>
      <c r="L220" s="88"/>
      <c r="M220" s="88">
        <f t="shared" si="78"/>
        <v>0</v>
      </c>
      <c r="N220" s="88"/>
      <c r="O220" s="88"/>
      <c r="P220" s="88"/>
      <c r="Q220" s="68"/>
      <c r="R220" s="68"/>
      <c r="S220" s="50"/>
      <c r="T220" s="50"/>
      <c r="U220" s="50"/>
    </row>
    <row r="221" spans="1:21" s="51" customFormat="1" ht="12.75" hidden="1">
      <c r="A221" s="774"/>
      <c r="B221" s="753"/>
      <c r="C221" s="74" t="s">
        <v>15</v>
      </c>
      <c r="D221" s="85">
        <f>D219+D220</f>
        <v>120077</v>
      </c>
      <c r="E221" s="88">
        <f>E219+E220</f>
        <v>120077</v>
      </c>
      <c r="F221" s="88">
        <f aca="true" t="shared" si="89" ref="F221:P221">F219+F220</f>
        <v>120077</v>
      </c>
      <c r="G221" s="88">
        <f t="shared" si="89"/>
        <v>120077</v>
      </c>
      <c r="H221" s="88">
        <f t="shared" si="89"/>
        <v>0</v>
      </c>
      <c r="I221" s="88">
        <f t="shared" si="89"/>
        <v>0</v>
      </c>
      <c r="J221" s="88">
        <f t="shared" si="89"/>
        <v>0</v>
      </c>
      <c r="K221" s="88">
        <f t="shared" si="89"/>
        <v>0</v>
      </c>
      <c r="L221" s="88">
        <f t="shared" si="89"/>
        <v>0</v>
      </c>
      <c r="M221" s="88">
        <f t="shared" si="89"/>
        <v>0</v>
      </c>
      <c r="N221" s="88">
        <f t="shared" si="89"/>
        <v>0</v>
      </c>
      <c r="O221" s="88">
        <f t="shared" si="89"/>
        <v>0</v>
      </c>
      <c r="P221" s="88">
        <f t="shared" si="89"/>
        <v>0</v>
      </c>
      <c r="Q221" s="68"/>
      <c r="R221" s="68"/>
      <c r="S221" s="50"/>
      <c r="T221" s="50"/>
      <c r="U221" s="50"/>
    </row>
    <row r="222" spans="1:21" s="51" customFormat="1" ht="12.75" hidden="1">
      <c r="A222" s="769">
        <v>80153</v>
      </c>
      <c r="B222" s="751" t="s">
        <v>359</v>
      </c>
      <c r="C222" s="74" t="s">
        <v>13</v>
      </c>
      <c r="D222" s="85">
        <f>E222+M222</f>
        <v>105</v>
      </c>
      <c r="E222" s="88">
        <f>F222+I222+J222+K222+L222</f>
        <v>105</v>
      </c>
      <c r="F222" s="88">
        <f>G222+H222</f>
        <v>105</v>
      </c>
      <c r="G222" s="88">
        <v>0</v>
      </c>
      <c r="H222" s="88">
        <v>105</v>
      </c>
      <c r="I222" s="88">
        <v>0</v>
      </c>
      <c r="J222" s="88">
        <v>0</v>
      </c>
      <c r="K222" s="88">
        <v>0</v>
      </c>
      <c r="L222" s="88">
        <v>0</v>
      </c>
      <c r="M222" s="88">
        <f>N222+P222</f>
        <v>0</v>
      </c>
      <c r="N222" s="88">
        <v>0</v>
      </c>
      <c r="O222" s="88">
        <v>0</v>
      </c>
      <c r="P222" s="88">
        <v>0</v>
      </c>
      <c r="Q222" s="68"/>
      <c r="R222" s="68"/>
      <c r="S222" s="50"/>
      <c r="T222" s="50"/>
      <c r="U222" s="50"/>
    </row>
    <row r="223" spans="1:21" s="51" customFormat="1" ht="12.75" hidden="1">
      <c r="A223" s="770"/>
      <c r="B223" s="752"/>
      <c r="C223" s="74" t="s">
        <v>14</v>
      </c>
      <c r="D223" s="85">
        <f>E223+M223</f>
        <v>0</v>
      </c>
      <c r="E223" s="88">
        <f>F223+I223+J223+K223+L223</f>
        <v>0</v>
      </c>
      <c r="F223" s="88">
        <f>G223+H223</f>
        <v>0</v>
      </c>
      <c r="G223" s="88"/>
      <c r="H223" s="88"/>
      <c r="I223" s="88"/>
      <c r="J223" s="88"/>
      <c r="K223" s="88"/>
      <c r="L223" s="88"/>
      <c r="M223" s="88">
        <f>N223+P223</f>
        <v>0</v>
      </c>
      <c r="N223" s="88"/>
      <c r="O223" s="88"/>
      <c r="P223" s="88"/>
      <c r="Q223" s="68"/>
      <c r="R223" s="68"/>
      <c r="S223" s="50"/>
      <c r="T223" s="50"/>
      <c r="U223" s="50"/>
    </row>
    <row r="224" spans="1:21" s="51" customFormat="1" ht="12.75" hidden="1">
      <c r="A224" s="771"/>
      <c r="B224" s="753"/>
      <c r="C224" s="74" t="s">
        <v>15</v>
      </c>
      <c r="D224" s="85">
        <f>D222+D223</f>
        <v>105</v>
      </c>
      <c r="E224" s="88">
        <f>E222+E223</f>
        <v>105</v>
      </c>
      <c r="F224" s="88">
        <f aca="true" t="shared" si="90" ref="F224:P224">F222+F223</f>
        <v>105</v>
      </c>
      <c r="G224" s="88">
        <f t="shared" si="90"/>
        <v>0</v>
      </c>
      <c r="H224" s="88">
        <f t="shared" si="90"/>
        <v>105</v>
      </c>
      <c r="I224" s="88">
        <f t="shared" si="90"/>
        <v>0</v>
      </c>
      <c r="J224" s="88">
        <f t="shared" si="90"/>
        <v>0</v>
      </c>
      <c r="K224" s="88">
        <f t="shared" si="90"/>
        <v>0</v>
      </c>
      <c r="L224" s="88">
        <f t="shared" si="90"/>
        <v>0</v>
      </c>
      <c r="M224" s="88">
        <f t="shared" si="90"/>
        <v>0</v>
      </c>
      <c r="N224" s="88">
        <f t="shared" si="90"/>
        <v>0</v>
      </c>
      <c r="O224" s="88">
        <f t="shared" si="90"/>
        <v>0</v>
      </c>
      <c r="P224" s="88">
        <f t="shared" si="90"/>
        <v>0</v>
      </c>
      <c r="Q224" s="68"/>
      <c r="R224" s="68"/>
      <c r="S224" s="50"/>
      <c r="T224" s="50"/>
      <c r="U224" s="50"/>
    </row>
    <row r="225" spans="1:21" s="51" customFormat="1" ht="12.75">
      <c r="A225" s="772" t="s">
        <v>161</v>
      </c>
      <c r="B225" s="751" t="s">
        <v>52</v>
      </c>
      <c r="C225" s="74" t="s">
        <v>13</v>
      </c>
      <c r="D225" s="85">
        <f>E225+M225</f>
        <v>9715813</v>
      </c>
      <c r="E225" s="88">
        <f>F225+I225+J225+K225+L225</f>
        <v>8638201</v>
      </c>
      <c r="F225" s="88">
        <f>G225+H225</f>
        <v>1119388</v>
      </c>
      <c r="G225" s="88">
        <v>128228</v>
      </c>
      <c r="H225" s="88">
        <v>991160</v>
      </c>
      <c r="I225" s="88">
        <v>0</v>
      </c>
      <c r="J225" s="88">
        <v>100000</v>
      </c>
      <c r="K225" s="88">
        <v>7418813</v>
      </c>
      <c r="L225" s="88">
        <v>0</v>
      </c>
      <c r="M225" s="88">
        <f t="shared" si="78"/>
        <v>1077612</v>
      </c>
      <c r="N225" s="88">
        <v>1077612</v>
      </c>
      <c r="O225" s="88">
        <v>1077612</v>
      </c>
      <c r="P225" s="88">
        <v>0</v>
      </c>
      <c r="Q225" s="68"/>
      <c r="R225" s="68"/>
      <c r="S225" s="50"/>
      <c r="T225" s="50"/>
      <c r="U225" s="50"/>
    </row>
    <row r="226" spans="1:21" s="51" customFormat="1" ht="12.75">
      <c r="A226" s="773"/>
      <c r="B226" s="752"/>
      <c r="C226" s="74" t="s">
        <v>14</v>
      </c>
      <c r="D226" s="85">
        <f>E226+M226</f>
        <v>-1814785</v>
      </c>
      <c r="E226" s="88">
        <f>F226+I226+J226+K226+L226</f>
        <v>-1814785</v>
      </c>
      <c r="F226" s="88">
        <f>G226+H226</f>
        <v>0</v>
      </c>
      <c r="G226" s="88"/>
      <c r="H226" s="88"/>
      <c r="I226" s="88"/>
      <c r="J226" s="88"/>
      <c r="K226" s="88">
        <f>267402-2082187</f>
        <v>-1814785</v>
      </c>
      <c r="L226" s="88"/>
      <c r="M226" s="88">
        <f t="shared" si="78"/>
        <v>0</v>
      </c>
      <c r="N226" s="88"/>
      <c r="O226" s="88"/>
      <c r="P226" s="88"/>
      <c r="Q226" s="68"/>
      <c r="R226" s="68"/>
      <c r="S226" s="50"/>
      <c r="T226" s="50"/>
      <c r="U226" s="50"/>
    </row>
    <row r="227" spans="1:21" s="51" customFormat="1" ht="12.75">
      <c r="A227" s="774"/>
      <c r="B227" s="753"/>
      <c r="C227" s="74" t="s">
        <v>15</v>
      </c>
      <c r="D227" s="85">
        <f>D225+D226</f>
        <v>7901028</v>
      </c>
      <c r="E227" s="88">
        <f>E225+E226</f>
        <v>6823416</v>
      </c>
      <c r="F227" s="88">
        <f aca="true" t="shared" si="91" ref="F227:P227">F225+F226</f>
        <v>1119388</v>
      </c>
      <c r="G227" s="88">
        <f t="shared" si="91"/>
        <v>128228</v>
      </c>
      <c r="H227" s="88">
        <f t="shared" si="91"/>
        <v>991160</v>
      </c>
      <c r="I227" s="88">
        <f t="shared" si="91"/>
        <v>0</v>
      </c>
      <c r="J227" s="88">
        <f t="shared" si="91"/>
        <v>100000</v>
      </c>
      <c r="K227" s="88">
        <f t="shared" si="91"/>
        <v>5604028</v>
      </c>
      <c r="L227" s="88">
        <f t="shared" si="91"/>
        <v>0</v>
      </c>
      <c r="M227" s="88">
        <f t="shared" si="91"/>
        <v>1077612</v>
      </c>
      <c r="N227" s="88">
        <f t="shared" si="91"/>
        <v>1077612</v>
      </c>
      <c r="O227" s="88">
        <f t="shared" si="91"/>
        <v>1077612</v>
      </c>
      <c r="P227" s="88">
        <f t="shared" si="91"/>
        <v>0</v>
      </c>
      <c r="Q227" s="68"/>
      <c r="R227" s="68"/>
      <c r="S227" s="50"/>
      <c r="T227" s="50"/>
      <c r="U227" s="50"/>
    </row>
    <row r="228" spans="1:21" s="35" customFormat="1" ht="16.5" customHeight="1">
      <c r="A228" s="763" t="s">
        <v>34</v>
      </c>
      <c r="B228" s="757" t="s">
        <v>35</v>
      </c>
      <c r="C228" s="77" t="s">
        <v>13</v>
      </c>
      <c r="D228" s="90">
        <f>D231+D240+D243+D246+D249+D252+D255+D258+D237+D234</f>
        <v>43715256</v>
      </c>
      <c r="E228" s="83">
        <f>E231+E240+E243+E246+E249+E252+E255+E258+E237+E234</f>
        <v>9999432</v>
      </c>
      <c r="F228" s="83">
        <f aca="true" t="shared" si="92" ref="F228:P228">F231+F240+F243+F246+F249+F252+F255+F258+F237+F234</f>
        <v>3698114</v>
      </c>
      <c r="G228" s="83">
        <f t="shared" si="92"/>
        <v>18000</v>
      </c>
      <c r="H228" s="83">
        <f t="shared" si="92"/>
        <v>3680114</v>
      </c>
      <c r="I228" s="83">
        <f t="shared" si="92"/>
        <v>2975324</v>
      </c>
      <c r="J228" s="83">
        <f t="shared" si="92"/>
        <v>0</v>
      </c>
      <c r="K228" s="83">
        <f t="shared" si="92"/>
        <v>3325994</v>
      </c>
      <c r="L228" s="83">
        <f t="shared" si="92"/>
        <v>0</v>
      </c>
      <c r="M228" s="83">
        <f t="shared" si="92"/>
        <v>33715824</v>
      </c>
      <c r="N228" s="83">
        <f t="shared" si="92"/>
        <v>17753324</v>
      </c>
      <c r="O228" s="83">
        <f t="shared" si="92"/>
        <v>9583758</v>
      </c>
      <c r="P228" s="83">
        <f t="shared" si="92"/>
        <v>15962500</v>
      </c>
      <c r="Q228" s="65"/>
      <c r="R228" s="65"/>
      <c r="S228" s="41"/>
      <c r="T228" s="41"/>
      <c r="U228" s="41"/>
    </row>
    <row r="229" spans="1:21" s="35" customFormat="1" ht="16.5" customHeight="1">
      <c r="A229" s="764"/>
      <c r="B229" s="758"/>
      <c r="C229" s="77" t="s">
        <v>14</v>
      </c>
      <c r="D229" s="90">
        <f>D232+D241+D244+D247+D250+D253+D256+D259+D238+D235</f>
        <v>7814089</v>
      </c>
      <c r="E229" s="83">
        <f>E232+E241+E244+E247+E250+E253+E256+E259+E238+E235</f>
        <v>3750517</v>
      </c>
      <c r="F229" s="83">
        <f aca="true" t="shared" si="93" ref="F229:P229">F232+F241+F244+F247+F250+F253+F256+F259+F238+F235</f>
        <v>582575</v>
      </c>
      <c r="G229" s="83">
        <f t="shared" si="93"/>
        <v>0</v>
      </c>
      <c r="H229" s="83">
        <f t="shared" si="93"/>
        <v>582575</v>
      </c>
      <c r="I229" s="83">
        <f t="shared" si="93"/>
        <v>0</v>
      </c>
      <c r="J229" s="83">
        <f t="shared" si="93"/>
        <v>0</v>
      </c>
      <c r="K229" s="83">
        <f t="shared" si="93"/>
        <v>3167942</v>
      </c>
      <c r="L229" s="83">
        <f t="shared" si="93"/>
        <v>0</v>
      </c>
      <c r="M229" s="83">
        <f t="shared" si="93"/>
        <v>4063572</v>
      </c>
      <c r="N229" s="83">
        <f t="shared" si="93"/>
        <v>2668572</v>
      </c>
      <c r="O229" s="83">
        <f t="shared" si="93"/>
        <v>2470000</v>
      </c>
      <c r="P229" s="83">
        <f t="shared" si="93"/>
        <v>1395000</v>
      </c>
      <c r="Q229" s="65"/>
      <c r="R229" s="65"/>
      <c r="S229" s="41"/>
      <c r="T229" s="41"/>
      <c r="U229" s="41"/>
    </row>
    <row r="230" spans="1:21" s="35" customFormat="1" ht="16.5" customHeight="1">
      <c r="A230" s="765"/>
      <c r="B230" s="759"/>
      <c r="C230" s="77" t="s">
        <v>15</v>
      </c>
      <c r="D230" s="90">
        <f>D228+D229</f>
        <v>51529345</v>
      </c>
      <c r="E230" s="83">
        <f>E228+E229</f>
        <v>13749949</v>
      </c>
      <c r="F230" s="83">
        <f aca="true" t="shared" si="94" ref="F230:P230">F228+F229</f>
        <v>4280689</v>
      </c>
      <c r="G230" s="83">
        <f t="shared" si="94"/>
        <v>18000</v>
      </c>
      <c r="H230" s="83">
        <f t="shared" si="94"/>
        <v>4262689</v>
      </c>
      <c r="I230" s="83">
        <f t="shared" si="94"/>
        <v>2975324</v>
      </c>
      <c r="J230" s="83">
        <f t="shared" si="94"/>
        <v>0</v>
      </c>
      <c r="K230" s="83">
        <f t="shared" si="94"/>
        <v>6493936</v>
      </c>
      <c r="L230" s="83">
        <f t="shared" si="94"/>
        <v>0</v>
      </c>
      <c r="M230" s="83">
        <f t="shared" si="94"/>
        <v>37779396</v>
      </c>
      <c r="N230" s="83">
        <f t="shared" si="94"/>
        <v>20421896</v>
      </c>
      <c r="O230" s="83">
        <f t="shared" si="94"/>
        <v>12053758</v>
      </c>
      <c r="P230" s="83">
        <f t="shared" si="94"/>
        <v>17357500</v>
      </c>
      <c r="Q230" s="65"/>
      <c r="R230" s="65"/>
      <c r="S230" s="41"/>
      <c r="T230" s="41"/>
      <c r="U230" s="41"/>
    </row>
    <row r="231" spans="1:21" s="51" customFormat="1" ht="12.75">
      <c r="A231" s="760">
        <v>85111</v>
      </c>
      <c r="B231" s="751" t="s">
        <v>162</v>
      </c>
      <c r="C231" s="74" t="s">
        <v>13</v>
      </c>
      <c r="D231" s="85">
        <f>E231+M231</f>
        <v>18141139</v>
      </c>
      <c r="E231" s="88">
        <f>F231+I231+J231+K231+L231</f>
        <v>1220249</v>
      </c>
      <c r="F231" s="88">
        <f>G231+H231</f>
        <v>0</v>
      </c>
      <c r="G231" s="88">
        <v>0</v>
      </c>
      <c r="H231" s="88">
        <v>0</v>
      </c>
      <c r="I231" s="88">
        <v>1190324</v>
      </c>
      <c r="J231" s="88">
        <v>0</v>
      </c>
      <c r="K231" s="88">
        <v>29925</v>
      </c>
      <c r="L231" s="88">
        <v>0</v>
      </c>
      <c r="M231" s="88">
        <f aca="true" t="shared" si="95" ref="M231:M259">N231+P231</f>
        <v>16920890</v>
      </c>
      <c r="N231" s="88">
        <v>16920890</v>
      </c>
      <c r="O231" s="88">
        <v>9511758</v>
      </c>
      <c r="P231" s="88">
        <v>0</v>
      </c>
      <c r="Q231" s="68"/>
      <c r="R231" s="68"/>
      <c r="S231" s="50"/>
      <c r="T231" s="50"/>
      <c r="U231" s="50"/>
    </row>
    <row r="232" spans="1:21" s="51" customFormat="1" ht="12.75">
      <c r="A232" s="761"/>
      <c r="B232" s="752"/>
      <c r="C232" s="74" t="s">
        <v>14</v>
      </c>
      <c r="D232" s="85">
        <f>E232+M232</f>
        <v>2470000</v>
      </c>
      <c r="E232" s="88">
        <f>F232+I232+J232+K232+L232</f>
        <v>0</v>
      </c>
      <c r="F232" s="88">
        <f>G232+H232</f>
        <v>0</v>
      </c>
      <c r="G232" s="88"/>
      <c r="H232" s="88"/>
      <c r="I232" s="88"/>
      <c r="J232" s="88"/>
      <c r="K232" s="88"/>
      <c r="L232" s="88"/>
      <c r="M232" s="88">
        <f t="shared" si="95"/>
        <v>2470000</v>
      </c>
      <c r="N232" s="88">
        <v>2470000</v>
      </c>
      <c r="O232" s="88">
        <v>2470000</v>
      </c>
      <c r="P232" s="88"/>
      <c r="Q232" s="68"/>
      <c r="R232" s="68"/>
      <c r="S232" s="50"/>
      <c r="T232" s="50"/>
      <c r="U232" s="50"/>
    </row>
    <row r="233" spans="1:21" s="51" customFormat="1" ht="12.75">
      <c r="A233" s="762"/>
      <c r="B233" s="753"/>
      <c r="C233" s="74" t="s">
        <v>15</v>
      </c>
      <c r="D233" s="85">
        <f>D231+D232</f>
        <v>20611139</v>
      </c>
      <c r="E233" s="88">
        <f>E231+E232</f>
        <v>1220249</v>
      </c>
      <c r="F233" s="88">
        <f aca="true" t="shared" si="96" ref="F233:P233">F231+F232</f>
        <v>0</v>
      </c>
      <c r="G233" s="88">
        <f t="shared" si="96"/>
        <v>0</v>
      </c>
      <c r="H233" s="88">
        <f t="shared" si="96"/>
        <v>0</v>
      </c>
      <c r="I233" s="88">
        <f t="shared" si="96"/>
        <v>1190324</v>
      </c>
      <c r="J233" s="88">
        <f t="shared" si="96"/>
        <v>0</v>
      </c>
      <c r="K233" s="88">
        <f t="shared" si="96"/>
        <v>29925</v>
      </c>
      <c r="L233" s="88">
        <f t="shared" si="96"/>
        <v>0</v>
      </c>
      <c r="M233" s="88">
        <f t="shared" si="96"/>
        <v>19390890</v>
      </c>
      <c r="N233" s="88">
        <f t="shared" si="96"/>
        <v>19390890</v>
      </c>
      <c r="O233" s="88">
        <f t="shared" si="96"/>
        <v>11981758</v>
      </c>
      <c r="P233" s="88">
        <f t="shared" si="96"/>
        <v>0</v>
      </c>
      <c r="Q233" s="68"/>
      <c r="R233" s="68"/>
      <c r="S233" s="50"/>
      <c r="T233" s="50"/>
      <c r="U233" s="50"/>
    </row>
    <row r="234" spans="1:21" s="51" customFormat="1" ht="12.75">
      <c r="A234" s="760">
        <v>85119</v>
      </c>
      <c r="B234" s="751" t="s">
        <v>371</v>
      </c>
      <c r="C234" s="74" t="s">
        <v>13</v>
      </c>
      <c r="D234" s="85">
        <f>E234+M234</f>
        <v>0</v>
      </c>
      <c r="E234" s="88">
        <f>F234+I234+J234+K234+L234</f>
        <v>0</v>
      </c>
      <c r="F234" s="88">
        <f>G234+H234</f>
        <v>0</v>
      </c>
      <c r="G234" s="88">
        <v>0</v>
      </c>
      <c r="H234" s="88">
        <v>0</v>
      </c>
      <c r="I234" s="88">
        <v>0</v>
      </c>
      <c r="J234" s="88">
        <v>0</v>
      </c>
      <c r="K234" s="88">
        <v>0</v>
      </c>
      <c r="L234" s="88">
        <v>0</v>
      </c>
      <c r="M234" s="88">
        <f>N234+P234</f>
        <v>0</v>
      </c>
      <c r="N234" s="88">
        <v>0</v>
      </c>
      <c r="O234" s="88">
        <v>0</v>
      </c>
      <c r="P234" s="88">
        <v>0</v>
      </c>
      <c r="Q234" s="68"/>
      <c r="R234" s="68"/>
      <c r="S234" s="50"/>
      <c r="T234" s="50"/>
      <c r="U234" s="50"/>
    </row>
    <row r="235" spans="1:21" s="51" customFormat="1" ht="12.75">
      <c r="A235" s="761"/>
      <c r="B235" s="752"/>
      <c r="C235" s="74" t="s">
        <v>14</v>
      </c>
      <c r="D235" s="85">
        <f>E235+M235</f>
        <v>1395000</v>
      </c>
      <c r="E235" s="88">
        <f>F235+I235+J235+K235+L235</f>
        <v>0</v>
      </c>
      <c r="F235" s="88">
        <f>G235+H235</f>
        <v>0</v>
      </c>
      <c r="G235" s="88"/>
      <c r="H235" s="88"/>
      <c r="I235" s="88"/>
      <c r="J235" s="88"/>
      <c r="K235" s="88"/>
      <c r="L235" s="88"/>
      <c r="M235" s="88">
        <f>N235+P235</f>
        <v>1395000</v>
      </c>
      <c r="N235" s="88"/>
      <c r="O235" s="88"/>
      <c r="P235" s="88">
        <v>1395000</v>
      </c>
      <c r="Q235" s="68"/>
      <c r="R235" s="68"/>
      <c r="S235" s="50"/>
      <c r="T235" s="50"/>
      <c r="U235" s="50"/>
    </row>
    <row r="236" spans="1:21" s="51" customFormat="1" ht="12.75">
      <c r="A236" s="762"/>
      <c r="B236" s="753"/>
      <c r="C236" s="74" t="s">
        <v>15</v>
      </c>
      <c r="D236" s="85">
        <f>D234+D235</f>
        <v>1395000</v>
      </c>
      <c r="E236" s="88">
        <f>E234+E235</f>
        <v>0</v>
      </c>
      <c r="F236" s="88">
        <f aca="true" t="shared" si="97" ref="F236:P236">F234+F235</f>
        <v>0</v>
      </c>
      <c r="G236" s="88">
        <f t="shared" si="97"/>
        <v>0</v>
      </c>
      <c r="H236" s="88">
        <f t="shared" si="97"/>
        <v>0</v>
      </c>
      <c r="I236" s="88">
        <f t="shared" si="97"/>
        <v>0</v>
      </c>
      <c r="J236" s="88">
        <f t="shared" si="97"/>
        <v>0</v>
      </c>
      <c r="K236" s="88">
        <f t="shared" si="97"/>
        <v>0</v>
      </c>
      <c r="L236" s="88">
        <f t="shared" si="97"/>
        <v>0</v>
      </c>
      <c r="M236" s="88">
        <f t="shared" si="97"/>
        <v>1395000</v>
      </c>
      <c r="N236" s="88">
        <f t="shared" si="97"/>
        <v>0</v>
      </c>
      <c r="O236" s="88">
        <f t="shared" si="97"/>
        <v>0</v>
      </c>
      <c r="P236" s="88">
        <f t="shared" si="97"/>
        <v>1395000</v>
      </c>
      <c r="Q236" s="68"/>
      <c r="R236" s="68"/>
      <c r="S236" s="50"/>
      <c r="T236" s="50"/>
      <c r="U236" s="50"/>
    </row>
    <row r="237" spans="1:21" s="51" customFormat="1" ht="12.75" hidden="1">
      <c r="A237" s="760">
        <v>85120</v>
      </c>
      <c r="B237" s="751" t="s">
        <v>213</v>
      </c>
      <c r="C237" s="74" t="s">
        <v>13</v>
      </c>
      <c r="D237" s="85">
        <f>E237+M237</f>
        <v>720000</v>
      </c>
      <c r="E237" s="88">
        <f>F237+I237+J237+K237+L237</f>
        <v>0</v>
      </c>
      <c r="F237" s="88">
        <f>G237+H237</f>
        <v>0</v>
      </c>
      <c r="G237" s="88">
        <v>0</v>
      </c>
      <c r="H237" s="88">
        <v>0</v>
      </c>
      <c r="I237" s="88">
        <v>0</v>
      </c>
      <c r="J237" s="88">
        <v>0</v>
      </c>
      <c r="K237" s="88">
        <v>0</v>
      </c>
      <c r="L237" s="88">
        <v>0</v>
      </c>
      <c r="M237" s="88">
        <f>N237+P237</f>
        <v>720000</v>
      </c>
      <c r="N237" s="88">
        <v>720000</v>
      </c>
      <c r="O237" s="88">
        <v>0</v>
      </c>
      <c r="P237" s="88">
        <v>0</v>
      </c>
      <c r="Q237" s="68"/>
      <c r="R237" s="68"/>
      <c r="S237" s="50"/>
      <c r="T237" s="50"/>
      <c r="U237" s="50"/>
    </row>
    <row r="238" spans="1:21" s="51" customFormat="1" ht="12.75" hidden="1">
      <c r="A238" s="761"/>
      <c r="B238" s="752"/>
      <c r="C238" s="74" t="s">
        <v>14</v>
      </c>
      <c r="D238" s="85">
        <f>E238+M238</f>
        <v>0</v>
      </c>
      <c r="E238" s="88">
        <f>F238+I238+J238+K238+L238</f>
        <v>0</v>
      </c>
      <c r="F238" s="88">
        <f>G238+H238</f>
        <v>0</v>
      </c>
      <c r="G238" s="88"/>
      <c r="H238" s="88"/>
      <c r="I238" s="88"/>
      <c r="J238" s="88"/>
      <c r="K238" s="88"/>
      <c r="L238" s="88"/>
      <c r="M238" s="88">
        <f>N238+P238</f>
        <v>0</v>
      </c>
      <c r="N238" s="88"/>
      <c r="O238" s="88"/>
      <c r="P238" s="88"/>
      <c r="Q238" s="68"/>
      <c r="R238" s="68"/>
      <c r="S238" s="50"/>
      <c r="T238" s="50"/>
      <c r="U238" s="50"/>
    </row>
    <row r="239" spans="1:21" s="51" customFormat="1" ht="12.75" hidden="1">
      <c r="A239" s="762"/>
      <c r="B239" s="753"/>
      <c r="C239" s="74" t="s">
        <v>15</v>
      </c>
      <c r="D239" s="85">
        <f>D237+D238</f>
        <v>720000</v>
      </c>
      <c r="E239" s="88">
        <f>E237+E238</f>
        <v>0</v>
      </c>
      <c r="F239" s="88">
        <f aca="true" t="shared" si="98" ref="F239:P239">F237+F238</f>
        <v>0</v>
      </c>
      <c r="G239" s="88">
        <f t="shared" si="98"/>
        <v>0</v>
      </c>
      <c r="H239" s="88">
        <f t="shared" si="98"/>
        <v>0</v>
      </c>
      <c r="I239" s="88">
        <f t="shared" si="98"/>
        <v>0</v>
      </c>
      <c r="J239" s="88">
        <f t="shared" si="98"/>
        <v>0</v>
      </c>
      <c r="K239" s="88">
        <f t="shared" si="98"/>
        <v>0</v>
      </c>
      <c r="L239" s="88">
        <f t="shared" si="98"/>
        <v>0</v>
      </c>
      <c r="M239" s="88">
        <f t="shared" si="98"/>
        <v>720000</v>
      </c>
      <c r="N239" s="88">
        <f t="shared" si="98"/>
        <v>720000</v>
      </c>
      <c r="O239" s="88">
        <f t="shared" si="98"/>
        <v>0</v>
      </c>
      <c r="P239" s="88">
        <f t="shared" si="98"/>
        <v>0</v>
      </c>
      <c r="Q239" s="68"/>
      <c r="R239" s="68"/>
      <c r="S239" s="50"/>
      <c r="T239" s="50"/>
      <c r="U239" s="50"/>
    </row>
    <row r="240" spans="1:21" s="51" customFormat="1" ht="12.75" hidden="1">
      <c r="A240" s="760">
        <v>85141</v>
      </c>
      <c r="B240" s="751" t="s">
        <v>163</v>
      </c>
      <c r="C240" s="74" t="s">
        <v>13</v>
      </c>
      <c r="D240" s="85">
        <f>E240+M240</f>
        <v>40434</v>
      </c>
      <c r="E240" s="88">
        <f>F240+I240+J240+K240+L240</f>
        <v>0</v>
      </c>
      <c r="F240" s="88">
        <f>G240+H240</f>
        <v>0</v>
      </c>
      <c r="G240" s="88">
        <v>0</v>
      </c>
      <c r="H240" s="88">
        <v>0</v>
      </c>
      <c r="I240" s="88">
        <v>0</v>
      </c>
      <c r="J240" s="88">
        <v>0</v>
      </c>
      <c r="K240" s="88">
        <v>0</v>
      </c>
      <c r="L240" s="88">
        <v>0</v>
      </c>
      <c r="M240" s="88">
        <f t="shared" si="95"/>
        <v>40434</v>
      </c>
      <c r="N240" s="88">
        <v>40434</v>
      </c>
      <c r="O240" s="88">
        <v>0</v>
      </c>
      <c r="P240" s="88">
        <v>0</v>
      </c>
      <c r="Q240" s="68"/>
      <c r="R240" s="68"/>
      <c r="S240" s="50"/>
      <c r="T240" s="50"/>
      <c r="U240" s="50"/>
    </row>
    <row r="241" spans="1:21" s="51" customFormat="1" ht="12.75" hidden="1">
      <c r="A241" s="761"/>
      <c r="B241" s="752"/>
      <c r="C241" s="74" t="s">
        <v>14</v>
      </c>
      <c r="D241" s="85">
        <f>E241+M241</f>
        <v>0</v>
      </c>
      <c r="E241" s="88">
        <f>F241+I241+J241+K241+L241</f>
        <v>0</v>
      </c>
      <c r="F241" s="88">
        <f>G241+H241</f>
        <v>0</v>
      </c>
      <c r="G241" s="88"/>
      <c r="H241" s="88"/>
      <c r="I241" s="88"/>
      <c r="J241" s="88"/>
      <c r="K241" s="88"/>
      <c r="L241" s="88"/>
      <c r="M241" s="88">
        <f t="shared" si="95"/>
        <v>0</v>
      </c>
      <c r="N241" s="88"/>
      <c r="O241" s="88"/>
      <c r="P241" s="88"/>
      <c r="Q241" s="68"/>
      <c r="R241" s="68"/>
      <c r="S241" s="50"/>
      <c r="T241" s="50"/>
      <c r="U241" s="50"/>
    </row>
    <row r="242" spans="1:21" s="51" customFormat="1" ht="12.75" hidden="1">
      <c r="A242" s="762"/>
      <c r="B242" s="753"/>
      <c r="C242" s="74" t="s">
        <v>15</v>
      </c>
      <c r="D242" s="85">
        <f>D240+D241</f>
        <v>40434</v>
      </c>
      <c r="E242" s="88">
        <f>E240+E241</f>
        <v>0</v>
      </c>
      <c r="F242" s="88">
        <f aca="true" t="shared" si="99" ref="F242:P242">F240+F241</f>
        <v>0</v>
      </c>
      <c r="G242" s="88">
        <f t="shared" si="99"/>
        <v>0</v>
      </c>
      <c r="H242" s="88">
        <f t="shared" si="99"/>
        <v>0</v>
      </c>
      <c r="I242" s="88">
        <f t="shared" si="99"/>
        <v>0</v>
      </c>
      <c r="J242" s="88">
        <f t="shared" si="99"/>
        <v>0</v>
      </c>
      <c r="K242" s="88">
        <f t="shared" si="99"/>
        <v>0</v>
      </c>
      <c r="L242" s="88">
        <f t="shared" si="99"/>
        <v>0</v>
      </c>
      <c r="M242" s="88">
        <f t="shared" si="99"/>
        <v>40434</v>
      </c>
      <c r="N242" s="88">
        <f t="shared" si="99"/>
        <v>40434</v>
      </c>
      <c r="O242" s="88">
        <f t="shared" si="99"/>
        <v>0</v>
      </c>
      <c r="P242" s="88">
        <f t="shared" si="99"/>
        <v>0</v>
      </c>
      <c r="Q242" s="68"/>
      <c r="R242" s="68"/>
      <c r="S242" s="50"/>
      <c r="T242" s="50"/>
      <c r="U242" s="50"/>
    </row>
    <row r="243" spans="1:21" s="51" customFormat="1" ht="12.75">
      <c r="A243" s="760">
        <v>85148</v>
      </c>
      <c r="B243" s="751" t="s">
        <v>164</v>
      </c>
      <c r="C243" s="74" t="s">
        <v>13</v>
      </c>
      <c r="D243" s="85">
        <f>E243+M243</f>
        <v>3435114</v>
      </c>
      <c r="E243" s="88">
        <f>F243+I243+J243+K243+L243</f>
        <v>3435114</v>
      </c>
      <c r="F243" s="88">
        <f>G243+H243</f>
        <v>3435114</v>
      </c>
      <c r="G243" s="88">
        <v>0</v>
      </c>
      <c r="H243" s="88">
        <v>3435114</v>
      </c>
      <c r="I243" s="88">
        <v>0</v>
      </c>
      <c r="J243" s="88">
        <v>0</v>
      </c>
      <c r="K243" s="88">
        <v>0</v>
      </c>
      <c r="L243" s="88">
        <v>0</v>
      </c>
      <c r="M243" s="88">
        <f t="shared" si="95"/>
        <v>0</v>
      </c>
      <c r="N243" s="88">
        <v>0</v>
      </c>
      <c r="O243" s="88">
        <v>0</v>
      </c>
      <c r="P243" s="88">
        <v>0</v>
      </c>
      <c r="Q243" s="68"/>
      <c r="R243" s="68"/>
      <c r="S243" s="50"/>
      <c r="T243" s="50"/>
      <c r="U243" s="50"/>
    </row>
    <row r="244" spans="1:21" s="51" customFormat="1" ht="12.75">
      <c r="A244" s="761"/>
      <c r="B244" s="752"/>
      <c r="C244" s="74" t="s">
        <v>14</v>
      </c>
      <c r="D244" s="85">
        <f>E244+M244</f>
        <v>781147</v>
      </c>
      <c r="E244" s="88">
        <f>F244+I244+J244+K244+L244</f>
        <v>582575</v>
      </c>
      <c r="F244" s="88">
        <f>G244+H244</f>
        <v>582575</v>
      </c>
      <c r="G244" s="88"/>
      <c r="H244" s="88">
        <v>582575</v>
      </c>
      <c r="I244" s="88"/>
      <c r="J244" s="88"/>
      <c r="K244" s="88"/>
      <c r="L244" s="88"/>
      <c r="M244" s="88">
        <f t="shared" si="95"/>
        <v>198572</v>
      </c>
      <c r="N244" s="88">
        <v>198572</v>
      </c>
      <c r="O244" s="88"/>
      <c r="P244" s="88"/>
      <c r="Q244" s="68"/>
      <c r="R244" s="68"/>
      <c r="S244" s="50"/>
      <c r="T244" s="50"/>
      <c r="U244" s="50"/>
    </row>
    <row r="245" spans="1:21" s="51" customFormat="1" ht="12.75">
      <c r="A245" s="762"/>
      <c r="B245" s="753"/>
      <c r="C245" s="74" t="s">
        <v>15</v>
      </c>
      <c r="D245" s="85">
        <f>D243+D244</f>
        <v>4216261</v>
      </c>
      <c r="E245" s="88">
        <f>E243+E244</f>
        <v>4017689</v>
      </c>
      <c r="F245" s="88">
        <f aca="true" t="shared" si="100" ref="F245:P245">F243+F244</f>
        <v>4017689</v>
      </c>
      <c r="G245" s="88">
        <f t="shared" si="100"/>
        <v>0</v>
      </c>
      <c r="H245" s="88">
        <f t="shared" si="100"/>
        <v>4017689</v>
      </c>
      <c r="I245" s="88">
        <f t="shared" si="100"/>
        <v>0</v>
      </c>
      <c r="J245" s="88">
        <f t="shared" si="100"/>
        <v>0</v>
      </c>
      <c r="K245" s="88">
        <f t="shared" si="100"/>
        <v>0</v>
      </c>
      <c r="L245" s="88">
        <f t="shared" si="100"/>
        <v>0</v>
      </c>
      <c r="M245" s="88">
        <f t="shared" si="100"/>
        <v>198572</v>
      </c>
      <c r="N245" s="88">
        <f t="shared" si="100"/>
        <v>198572</v>
      </c>
      <c r="O245" s="88">
        <f t="shared" si="100"/>
        <v>0</v>
      </c>
      <c r="P245" s="88">
        <f t="shared" si="100"/>
        <v>0</v>
      </c>
      <c r="Q245" s="68"/>
      <c r="R245" s="68"/>
      <c r="S245" s="50"/>
      <c r="T245" s="50"/>
      <c r="U245" s="50"/>
    </row>
    <row r="246" spans="1:21" s="51" customFormat="1" ht="12.75">
      <c r="A246" s="760">
        <v>85149</v>
      </c>
      <c r="B246" s="751" t="s">
        <v>165</v>
      </c>
      <c r="C246" s="74" t="s">
        <v>13</v>
      </c>
      <c r="D246" s="85">
        <f>E246+M246</f>
        <v>2685000</v>
      </c>
      <c r="E246" s="88">
        <f>F246+I246+J246+K246+L246</f>
        <v>2660000</v>
      </c>
      <c r="F246" s="88">
        <f>G246+H246</f>
        <v>75000</v>
      </c>
      <c r="G246" s="88">
        <v>1000</v>
      </c>
      <c r="H246" s="88">
        <f>2000+2000+70000</f>
        <v>74000</v>
      </c>
      <c r="I246" s="88">
        <v>1075000</v>
      </c>
      <c r="J246" s="88">
        <v>0</v>
      </c>
      <c r="K246" s="88">
        <v>1510000</v>
      </c>
      <c r="L246" s="88">
        <v>0</v>
      </c>
      <c r="M246" s="88">
        <f t="shared" si="95"/>
        <v>25000</v>
      </c>
      <c r="N246" s="88">
        <v>25000</v>
      </c>
      <c r="O246" s="88">
        <v>25000</v>
      </c>
      <c r="P246" s="88">
        <v>0</v>
      </c>
      <c r="Q246" s="68"/>
      <c r="R246" s="68"/>
      <c r="S246" s="50"/>
      <c r="T246" s="50"/>
      <c r="U246" s="50"/>
    </row>
    <row r="247" spans="1:21" s="51" customFormat="1" ht="12.75">
      <c r="A247" s="761"/>
      <c r="B247" s="752"/>
      <c r="C247" s="74" t="s">
        <v>14</v>
      </c>
      <c r="D247" s="85">
        <f>E247+M247</f>
        <v>-700000</v>
      </c>
      <c r="E247" s="88">
        <f>F247+I247+J247+K247+L247</f>
        <v>-700000</v>
      </c>
      <c r="F247" s="88">
        <f>G247+H247</f>
        <v>0</v>
      </c>
      <c r="G247" s="88"/>
      <c r="H247" s="88"/>
      <c r="I247" s="88"/>
      <c r="J247" s="88"/>
      <c r="K247" s="88">
        <v>-700000</v>
      </c>
      <c r="L247" s="88"/>
      <c r="M247" s="88">
        <f t="shared" si="95"/>
        <v>0</v>
      </c>
      <c r="N247" s="88"/>
      <c r="O247" s="88"/>
      <c r="P247" s="88"/>
      <c r="Q247" s="68"/>
      <c r="R247" s="68"/>
      <c r="S247" s="50"/>
      <c r="T247" s="50"/>
      <c r="U247" s="50"/>
    </row>
    <row r="248" spans="1:21" s="51" customFormat="1" ht="12.75">
      <c r="A248" s="762"/>
      <c r="B248" s="753"/>
      <c r="C248" s="74" t="s">
        <v>15</v>
      </c>
      <c r="D248" s="85">
        <f>D246+D247</f>
        <v>1985000</v>
      </c>
      <c r="E248" s="88">
        <f>E246+E247</f>
        <v>1960000</v>
      </c>
      <c r="F248" s="88">
        <f aca="true" t="shared" si="101" ref="F248:P248">F246+F247</f>
        <v>75000</v>
      </c>
      <c r="G248" s="88">
        <f t="shared" si="101"/>
        <v>1000</v>
      </c>
      <c r="H248" s="88">
        <f t="shared" si="101"/>
        <v>74000</v>
      </c>
      <c r="I248" s="88">
        <f t="shared" si="101"/>
        <v>1075000</v>
      </c>
      <c r="J248" s="88">
        <f t="shared" si="101"/>
        <v>0</v>
      </c>
      <c r="K248" s="88">
        <f t="shared" si="101"/>
        <v>810000</v>
      </c>
      <c r="L248" s="88">
        <f t="shared" si="101"/>
        <v>0</v>
      </c>
      <c r="M248" s="88">
        <f t="shared" si="101"/>
        <v>25000</v>
      </c>
      <c r="N248" s="88">
        <f t="shared" si="101"/>
        <v>25000</v>
      </c>
      <c r="O248" s="88">
        <f t="shared" si="101"/>
        <v>25000</v>
      </c>
      <c r="P248" s="88">
        <f t="shared" si="101"/>
        <v>0</v>
      </c>
      <c r="Q248" s="68"/>
      <c r="R248" s="68"/>
      <c r="S248" s="50"/>
      <c r="T248" s="50"/>
      <c r="U248" s="50"/>
    </row>
    <row r="249" spans="1:21" s="51" customFormat="1" ht="12.75" hidden="1">
      <c r="A249" s="760">
        <v>85153</v>
      </c>
      <c r="B249" s="751" t="s">
        <v>166</v>
      </c>
      <c r="C249" s="74" t="s">
        <v>13</v>
      </c>
      <c r="D249" s="85">
        <f>E249+M249</f>
        <v>480000</v>
      </c>
      <c r="E249" s="88">
        <f>F249+I249+J249+K249+L249</f>
        <v>480000</v>
      </c>
      <c r="F249" s="88">
        <f>G249+H249</f>
        <v>130000</v>
      </c>
      <c r="G249" s="88">
        <v>14000</v>
      </c>
      <c r="H249" s="88">
        <f>11000+7000+98000</f>
        <v>116000</v>
      </c>
      <c r="I249" s="88">
        <v>350000</v>
      </c>
      <c r="J249" s="88">
        <v>0</v>
      </c>
      <c r="K249" s="88">
        <v>0</v>
      </c>
      <c r="L249" s="88">
        <v>0</v>
      </c>
      <c r="M249" s="88">
        <f t="shared" si="95"/>
        <v>0</v>
      </c>
      <c r="N249" s="88">
        <v>0</v>
      </c>
      <c r="O249" s="88">
        <v>0</v>
      </c>
      <c r="P249" s="88">
        <v>0</v>
      </c>
      <c r="Q249" s="68"/>
      <c r="R249" s="68"/>
      <c r="S249" s="50"/>
      <c r="T249" s="50"/>
      <c r="U249" s="50"/>
    </row>
    <row r="250" spans="1:21" s="51" customFormat="1" ht="12.75" hidden="1">
      <c r="A250" s="761"/>
      <c r="B250" s="752"/>
      <c r="C250" s="74" t="s">
        <v>14</v>
      </c>
      <c r="D250" s="85">
        <f>E250+M250</f>
        <v>0</v>
      </c>
      <c r="E250" s="88">
        <f>F250+I250+J250+K250+L250</f>
        <v>0</v>
      </c>
      <c r="F250" s="88">
        <f>G250+H250</f>
        <v>0</v>
      </c>
      <c r="G250" s="88"/>
      <c r="H250" s="88"/>
      <c r="I250" s="88"/>
      <c r="J250" s="88"/>
      <c r="K250" s="88"/>
      <c r="L250" s="88"/>
      <c r="M250" s="88">
        <f t="shared" si="95"/>
        <v>0</v>
      </c>
      <c r="N250" s="88"/>
      <c r="O250" s="88"/>
      <c r="P250" s="88"/>
      <c r="Q250" s="68"/>
      <c r="R250" s="68"/>
      <c r="S250" s="50"/>
      <c r="T250" s="50"/>
      <c r="U250" s="50"/>
    </row>
    <row r="251" spans="1:21" s="51" customFormat="1" ht="12.75" hidden="1">
      <c r="A251" s="762"/>
      <c r="B251" s="753"/>
      <c r="C251" s="74" t="s">
        <v>15</v>
      </c>
      <c r="D251" s="85">
        <f>D249+D250</f>
        <v>480000</v>
      </c>
      <c r="E251" s="88">
        <f>E249+E250</f>
        <v>480000</v>
      </c>
      <c r="F251" s="88">
        <f aca="true" t="shared" si="102" ref="F251:P251">F249+F250</f>
        <v>130000</v>
      </c>
      <c r="G251" s="88">
        <f t="shared" si="102"/>
        <v>14000</v>
      </c>
      <c r="H251" s="88">
        <f t="shared" si="102"/>
        <v>116000</v>
      </c>
      <c r="I251" s="88">
        <f t="shared" si="102"/>
        <v>350000</v>
      </c>
      <c r="J251" s="88">
        <f t="shared" si="102"/>
        <v>0</v>
      </c>
      <c r="K251" s="88">
        <f t="shared" si="102"/>
        <v>0</v>
      </c>
      <c r="L251" s="88">
        <f t="shared" si="102"/>
        <v>0</v>
      </c>
      <c r="M251" s="88">
        <f t="shared" si="102"/>
        <v>0</v>
      </c>
      <c r="N251" s="88">
        <f t="shared" si="102"/>
        <v>0</v>
      </c>
      <c r="O251" s="88">
        <f t="shared" si="102"/>
        <v>0</v>
      </c>
      <c r="P251" s="88">
        <f t="shared" si="102"/>
        <v>0</v>
      </c>
      <c r="Q251" s="68"/>
      <c r="R251" s="68"/>
      <c r="S251" s="50"/>
      <c r="T251" s="50"/>
      <c r="U251" s="50"/>
    </row>
    <row r="252" spans="1:21" s="51" customFormat="1" ht="12.75" hidden="1">
      <c r="A252" s="760">
        <v>85154</v>
      </c>
      <c r="B252" s="751" t="s">
        <v>167</v>
      </c>
      <c r="C252" s="74" t="s">
        <v>13</v>
      </c>
      <c r="D252" s="85">
        <f>E252+M252</f>
        <v>390000</v>
      </c>
      <c r="E252" s="88">
        <f>F252+I252+J252+K252+L252</f>
        <v>390000</v>
      </c>
      <c r="F252" s="88">
        <f>G252+H252</f>
        <v>30000</v>
      </c>
      <c r="G252" s="88">
        <v>3000</v>
      </c>
      <c r="H252" s="88">
        <v>27000</v>
      </c>
      <c r="I252" s="88">
        <v>360000</v>
      </c>
      <c r="J252" s="88">
        <v>0</v>
      </c>
      <c r="K252" s="88">
        <v>0</v>
      </c>
      <c r="L252" s="88">
        <v>0</v>
      </c>
      <c r="M252" s="88">
        <f t="shared" si="95"/>
        <v>0</v>
      </c>
      <c r="N252" s="88">
        <v>0</v>
      </c>
      <c r="O252" s="88">
        <v>0</v>
      </c>
      <c r="P252" s="88">
        <v>0</v>
      </c>
      <c r="Q252" s="68"/>
      <c r="R252" s="68"/>
      <c r="S252" s="50"/>
      <c r="T252" s="50"/>
      <c r="U252" s="50"/>
    </row>
    <row r="253" spans="1:21" s="51" customFormat="1" ht="12.75" hidden="1">
      <c r="A253" s="761"/>
      <c r="B253" s="752"/>
      <c r="C253" s="74" t="s">
        <v>14</v>
      </c>
      <c r="D253" s="85">
        <f>E253+M253</f>
        <v>0</v>
      </c>
      <c r="E253" s="88">
        <f>F253+I253+J253+K253+L253</f>
        <v>0</v>
      </c>
      <c r="F253" s="88">
        <f>G253+H253</f>
        <v>0</v>
      </c>
      <c r="G253" s="88"/>
      <c r="H253" s="88"/>
      <c r="I253" s="88"/>
      <c r="J253" s="88"/>
      <c r="K253" s="88"/>
      <c r="L253" s="88"/>
      <c r="M253" s="88">
        <f t="shared" si="95"/>
        <v>0</v>
      </c>
      <c r="N253" s="88"/>
      <c r="O253" s="88"/>
      <c r="P253" s="88"/>
      <c r="Q253" s="68"/>
      <c r="R253" s="68"/>
      <c r="S253" s="50"/>
      <c r="T253" s="50"/>
      <c r="U253" s="50"/>
    </row>
    <row r="254" spans="1:21" s="51" customFormat="1" ht="12.75" hidden="1">
      <c r="A254" s="762"/>
      <c r="B254" s="753"/>
      <c r="C254" s="74" t="s">
        <v>15</v>
      </c>
      <c r="D254" s="85">
        <f>D252+D253</f>
        <v>390000</v>
      </c>
      <c r="E254" s="88">
        <f>E252+E253</f>
        <v>390000</v>
      </c>
      <c r="F254" s="88">
        <f aca="true" t="shared" si="103" ref="F254:P254">F252+F253</f>
        <v>30000</v>
      </c>
      <c r="G254" s="88">
        <f t="shared" si="103"/>
        <v>3000</v>
      </c>
      <c r="H254" s="88">
        <f t="shared" si="103"/>
        <v>27000</v>
      </c>
      <c r="I254" s="88">
        <f t="shared" si="103"/>
        <v>360000</v>
      </c>
      <c r="J254" s="88">
        <f t="shared" si="103"/>
        <v>0</v>
      </c>
      <c r="K254" s="88">
        <f t="shared" si="103"/>
        <v>0</v>
      </c>
      <c r="L254" s="88">
        <f t="shared" si="103"/>
        <v>0</v>
      </c>
      <c r="M254" s="88">
        <f t="shared" si="103"/>
        <v>0</v>
      </c>
      <c r="N254" s="88">
        <f t="shared" si="103"/>
        <v>0</v>
      </c>
      <c r="O254" s="88">
        <f t="shared" si="103"/>
        <v>0</v>
      </c>
      <c r="P254" s="88">
        <f t="shared" si="103"/>
        <v>0</v>
      </c>
      <c r="Q254" s="68"/>
      <c r="R254" s="68"/>
      <c r="S254" s="50"/>
      <c r="T254" s="50"/>
      <c r="U254" s="50"/>
    </row>
    <row r="255" spans="1:21" s="33" customFormat="1" ht="12.75" hidden="1">
      <c r="A255" s="760">
        <v>85156</v>
      </c>
      <c r="B255" s="751" t="s">
        <v>61</v>
      </c>
      <c r="C255" s="74" t="s">
        <v>13</v>
      </c>
      <c r="D255" s="85">
        <f>E255+M255</f>
        <v>16000</v>
      </c>
      <c r="E255" s="88">
        <f>F255+I255+J255+K255+L255</f>
        <v>16000</v>
      </c>
      <c r="F255" s="88">
        <f>G255+H255</f>
        <v>16000</v>
      </c>
      <c r="G255" s="88">
        <v>0</v>
      </c>
      <c r="H255" s="88">
        <v>16000</v>
      </c>
      <c r="I255" s="88">
        <v>0</v>
      </c>
      <c r="J255" s="88">
        <v>0</v>
      </c>
      <c r="K255" s="88">
        <v>0</v>
      </c>
      <c r="L255" s="88">
        <v>0</v>
      </c>
      <c r="M255" s="88">
        <f t="shared" si="95"/>
        <v>0</v>
      </c>
      <c r="N255" s="88">
        <v>0</v>
      </c>
      <c r="O255" s="88">
        <v>0</v>
      </c>
      <c r="P255" s="88">
        <v>0</v>
      </c>
      <c r="Q255" s="52"/>
      <c r="R255" s="52"/>
      <c r="S255" s="39"/>
      <c r="T255" s="39"/>
      <c r="U255" s="39"/>
    </row>
    <row r="256" spans="1:21" s="33" customFormat="1" ht="12.75" hidden="1">
      <c r="A256" s="761"/>
      <c r="B256" s="752"/>
      <c r="C256" s="74" t="s">
        <v>14</v>
      </c>
      <c r="D256" s="85">
        <f>E256+M256</f>
        <v>0</v>
      </c>
      <c r="E256" s="88">
        <f>F256+I256+J256+K256+L256</f>
        <v>0</v>
      </c>
      <c r="F256" s="88">
        <f>G256+H256</f>
        <v>0</v>
      </c>
      <c r="G256" s="88"/>
      <c r="H256" s="88"/>
      <c r="I256" s="88"/>
      <c r="J256" s="88"/>
      <c r="K256" s="88"/>
      <c r="L256" s="88"/>
      <c r="M256" s="88">
        <f t="shared" si="95"/>
        <v>0</v>
      </c>
      <c r="N256" s="88"/>
      <c r="O256" s="88"/>
      <c r="P256" s="88"/>
      <c r="Q256" s="52"/>
      <c r="R256" s="52"/>
      <c r="S256" s="39"/>
      <c r="T256" s="39"/>
      <c r="U256" s="39"/>
    </row>
    <row r="257" spans="1:21" s="33" customFormat="1" ht="12.75" hidden="1">
      <c r="A257" s="762"/>
      <c r="B257" s="753"/>
      <c r="C257" s="74" t="s">
        <v>15</v>
      </c>
      <c r="D257" s="85">
        <f>D255+D256</f>
        <v>16000</v>
      </c>
      <c r="E257" s="88">
        <f>E255+E256</f>
        <v>16000</v>
      </c>
      <c r="F257" s="88">
        <f aca="true" t="shared" si="104" ref="F257:P257">F255+F256</f>
        <v>16000</v>
      </c>
      <c r="G257" s="88">
        <f t="shared" si="104"/>
        <v>0</v>
      </c>
      <c r="H257" s="88">
        <f t="shared" si="104"/>
        <v>16000</v>
      </c>
      <c r="I257" s="88">
        <f t="shared" si="104"/>
        <v>0</v>
      </c>
      <c r="J257" s="88">
        <f t="shared" si="104"/>
        <v>0</v>
      </c>
      <c r="K257" s="88">
        <f t="shared" si="104"/>
        <v>0</v>
      </c>
      <c r="L257" s="88">
        <f t="shared" si="104"/>
        <v>0</v>
      </c>
      <c r="M257" s="88">
        <f t="shared" si="104"/>
        <v>0</v>
      </c>
      <c r="N257" s="88">
        <f t="shared" si="104"/>
        <v>0</v>
      </c>
      <c r="O257" s="88">
        <f t="shared" si="104"/>
        <v>0</v>
      </c>
      <c r="P257" s="88">
        <f t="shared" si="104"/>
        <v>0</v>
      </c>
      <c r="Q257" s="52"/>
      <c r="R257" s="52"/>
      <c r="S257" s="39"/>
      <c r="T257" s="39"/>
      <c r="U257" s="39"/>
    </row>
    <row r="258" spans="1:21" s="51" customFormat="1" ht="12.75">
      <c r="A258" s="760">
        <v>85195</v>
      </c>
      <c r="B258" s="751" t="s">
        <v>52</v>
      </c>
      <c r="C258" s="74" t="s">
        <v>13</v>
      </c>
      <c r="D258" s="85">
        <f>E258+M258</f>
        <v>17807569</v>
      </c>
      <c r="E258" s="88">
        <f>F258+I258+J258+K258+L258</f>
        <v>1798069</v>
      </c>
      <c r="F258" s="88">
        <f>G258+H258</f>
        <v>12000</v>
      </c>
      <c r="G258" s="88">
        <v>0</v>
      </c>
      <c r="H258" s="88">
        <v>12000</v>
      </c>
      <c r="I258" s="88">
        <v>0</v>
      </c>
      <c r="J258" s="88">
        <v>0</v>
      </c>
      <c r="K258" s="88">
        <v>1786069</v>
      </c>
      <c r="L258" s="88">
        <v>0</v>
      </c>
      <c r="M258" s="88">
        <f t="shared" si="95"/>
        <v>16009500</v>
      </c>
      <c r="N258" s="88">
        <v>47000</v>
      </c>
      <c r="O258" s="88">
        <v>47000</v>
      </c>
      <c r="P258" s="88">
        <v>15962500</v>
      </c>
      <c r="Q258" s="68"/>
      <c r="R258" s="68"/>
      <c r="S258" s="50"/>
      <c r="T258" s="50"/>
      <c r="U258" s="50"/>
    </row>
    <row r="259" spans="1:21" s="51" customFormat="1" ht="12.75">
      <c r="A259" s="761"/>
      <c r="B259" s="752"/>
      <c r="C259" s="74" t="s">
        <v>14</v>
      </c>
      <c r="D259" s="85">
        <f>E259+M259</f>
        <v>3867942</v>
      </c>
      <c r="E259" s="88">
        <f>F259+I259+J259+K259+L259</f>
        <v>3867942</v>
      </c>
      <c r="F259" s="88">
        <f>G259+H259</f>
        <v>0</v>
      </c>
      <c r="G259" s="88"/>
      <c r="H259" s="88"/>
      <c r="I259" s="88"/>
      <c r="J259" s="88"/>
      <c r="K259" s="88">
        <v>3867942</v>
      </c>
      <c r="L259" s="88"/>
      <c r="M259" s="88">
        <f t="shared" si="95"/>
        <v>0</v>
      </c>
      <c r="N259" s="88"/>
      <c r="O259" s="88"/>
      <c r="P259" s="88"/>
      <c r="Q259" s="68"/>
      <c r="R259" s="68"/>
      <c r="S259" s="50"/>
      <c r="T259" s="50"/>
      <c r="U259" s="50"/>
    </row>
    <row r="260" spans="1:21" s="51" customFormat="1" ht="12.75">
      <c r="A260" s="762"/>
      <c r="B260" s="753"/>
      <c r="C260" s="74" t="s">
        <v>15</v>
      </c>
      <c r="D260" s="85">
        <f>D258+D259</f>
        <v>21675511</v>
      </c>
      <c r="E260" s="88">
        <f>E258+E259</f>
        <v>5666011</v>
      </c>
      <c r="F260" s="88">
        <f aca="true" t="shared" si="105" ref="F260:P260">F258+F259</f>
        <v>12000</v>
      </c>
      <c r="G260" s="88">
        <f t="shared" si="105"/>
        <v>0</v>
      </c>
      <c r="H260" s="88">
        <f t="shared" si="105"/>
        <v>12000</v>
      </c>
      <c r="I260" s="88">
        <f t="shared" si="105"/>
        <v>0</v>
      </c>
      <c r="J260" s="88">
        <f t="shared" si="105"/>
        <v>0</v>
      </c>
      <c r="K260" s="88">
        <f t="shared" si="105"/>
        <v>5654011</v>
      </c>
      <c r="L260" s="88">
        <f t="shared" si="105"/>
        <v>0</v>
      </c>
      <c r="M260" s="88">
        <f t="shared" si="105"/>
        <v>16009500</v>
      </c>
      <c r="N260" s="88">
        <f t="shared" si="105"/>
        <v>47000</v>
      </c>
      <c r="O260" s="88">
        <f t="shared" si="105"/>
        <v>47000</v>
      </c>
      <c r="P260" s="88">
        <f t="shared" si="105"/>
        <v>15962500</v>
      </c>
      <c r="Q260" s="68"/>
      <c r="R260" s="68"/>
      <c r="S260" s="50"/>
      <c r="T260" s="50"/>
      <c r="U260" s="50"/>
    </row>
    <row r="261" spans="1:21" s="35" customFormat="1" ht="15.75" customHeight="1">
      <c r="A261" s="763">
        <v>852</v>
      </c>
      <c r="B261" s="757" t="s">
        <v>36</v>
      </c>
      <c r="C261" s="77" t="s">
        <v>13</v>
      </c>
      <c r="D261" s="89">
        <f aca="true" t="shared" si="106" ref="D261:P262">D264+D267+D270+D276+D273</f>
        <v>27013329</v>
      </c>
      <c r="E261" s="83">
        <f t="shared" si="106"/>
        <v>24741771</v>
      </c>
      <c r="F261" s="83">
        <f t="shared" si="106"/>
        <v>3111796</v>
      </c>
      <c r="G261" s="83">
        <f t="shared" si="106"/>
        <v>2348790</v>
      </c>
      <c r="H261" s="83">
        <f t="shared" si="106"/>
        <v>763006</v>
      </c>
      <c r="I261" s="83">
        <f t="shared" si="106"/>
        <v>30000</v>
      </c>
      <c r="J261" s="83">
        <f t="shared" si="106"/>
        <v>48900</v>
      </c>
      <c r="K261" s="83">
        <f t="shared" si="106"/>
        <v>21551075</v>
      </c>
      <c r="L261" s="83">
        <f t="shared" si="106"/>
        <v>0</v>
      </c>
      <c r="M261" s="83">
        <f t="shared" si="106"/>
        <v>2271558</v>
      </c>
      <c r="N261" s="83">
        <f t="shared" si="106"/>
        <v>2271558</v>
      </c>
      <c r="O261" s="83">
        <f t="shared" si="106"/>
        <v>2221422</v>
      </c>
      <c r="P261" s="83">
        <f t="shared" si="106"/>
        <v>0</v>
      </c>
      <c r="Q261" s="65"/>
      <c r="R261" s="65"/>
      <c r="S261" s="41"/>
      <c r="T261" s="41"/>
      <c r="U261" s="41"/>
    </row>
    <row r="262" spans="1:21" s="35" customFormat="1" ht="15.75" customHeight="1">
      <c r="A262" s="764"/>
      <c r="B262" s="758"/>
      <c r="C262" s="77" t="s">
        <v>14</v>
      </c>
      <c r="D262" s="89">
        <f t="shared" si="106"/>
        <v>5684937</v>
      </c>
      <c r="E262" s="83">
        <f t="shared" si="106"/>
        <v>5684937</v>
      </c>
      <c r="F262" s="83">
        <f t="shared" si="106"/>
        <v>0</v>
      </c>
      <c r="G262" s="83">
        <f t="shared" si="106"/>
        <v>0</v>
      </c>
      <c r="H262" s="83">
        <f t="shared" si="106"/>
        <v>0</v>
      </c>
      <c r="I262" s="83">
        <f t="shared" si="106"/>
        <v>0</v>
      </c>
      <c r="J262" s="83">
        <f t="shared" si="106"/>
        <v>0</v>
      </c>
      <c r="K262" s="83">
        <f t="shared" si="106"/>
        <v>5684937</v>
      </c>
      <c r="L262" s="83">
        <f t="shared" si="106"/>
        <v>0</v>
      </c>
      <c r="M262" s="83">
        <f t="shared" si="106"/>
        <v>0</v>
      </c>
      <c r="N262" s="83">
        <f t="shared" si="106"/>
        <v>0</v>
      </c>
      <c r="O262" s="83">
        <f t="shared" si="106"/>
        <v>0</v>
      </c>
      <c r="P262" s="83">
        <f t="shared" si="106"/>
        <v>0</v>
      </c>
      <c r="Q262" s="65"/>
      <c r="R262" s="65"/>
      <c r="S262" s="41"/>
      <c r="T262" s="41"/>
      <c r="U262" s="41"/>
    </row>
    <row r="263" spans="1:21" s="35" customFormat="1" ht="15.75" customHeight="1">
      <c r="A263" s="765"/>
      <c r="B263" s="759"/>
      <c r="C263" s="77" t="s">
        <v>15</v>
      </c>
      <c r="D263" s="89">
        <f>D261+D262</f>
        <v>32698266</v>
      </c>
      <c r="E263" s="83">
        <f>E261+E262</f>
        <v>30426708</v>
      </c>
      <c r="F263" s="83">
        <f aca="true" t="shared" si="107" ref="F263:P263">F261+F262</f>
        <v>3111796</v>
      </c>
      <c r="G263" s="83">
        <f t="shared" si="107"/>
        <v>2348790</v>
      </c>
      <c r="H263" s="83">
        <f t="shared" si="107"/>
        <v>763006</v>
      </c>
      <c r="I263" s="83">
        <f t="shared" si="107"/>
        <v>30000</v>
      </c>
      <c r="J263" s="83">
        <f t="shared" si="107"/>
        <v>48900</v>
      </c>
      <c r="K263" s="83">
        <f t="shared" si="107"/>
        <v>27236012</v>
      </c>
      <c r="L263" s="83">
        <f t="shared" si="107"/>
        <v>0</v>
      </c>
      <c r="M263" s="83">
        <f t="shared" si="107"/>
        <v>2271558</v>
      </c>
      <c r="N263" s="83">
        <f t="shared" si="107"/>
        <v>2271558</v>
      </c>
      <c r="O263" s="83">
        <f t="shared" si="107"/>
        <v>2221422</v>
      </c>
      <c r="P263" s="83">
        <f t="shared" si="107"/>
        <v>0</v>
      </c>
      <c r="Q263" s="65"/>
      <c r="R263" s="65"/>
      <c r="S263" s="41"/>
      <c r="T263" s="41"/>
      <c r="U263" s="41"/>
    </row>
    <row r="264" spans="1:21" s="51" customFormat="1" ht="12.75" hidden="1">
      <c r="A264" s="760">
        <v>85203</v>
      </c>
      <c r="B264" s="751" t="s">
        <v>168</v>
      </c>
      <c r="C264" s="74" t="s">
        <v>13</v>
      </c>
      <c r="D264" s="85">
        <f>E264+M264</f>
        <v>1500000</v>
      </c>
      <c r="E264" s="88">
        <f>F264+I264+J264+K264+L264</f>
        <v>1500000</v>
      </c>
      <c r="F264" s="88">
        <f>G264+H264</f>
        <v>0</v>
      </c>
      <c r="G264" s="88">
        <v>0</v>
      </c>
      <c r="H264" s="88">
        <v>0</v>
      </c>
      <c r="I264" s="88">
        <v>0</v>
      </c>
      <c r="J264" s="88">
        <v>0</v>
      </c>
      <c r="K264" s="88">
        <v>1500000</v>
      </c>
      <c r="L264" s="88">
        <v>0</v>
      </c>
      <c r="M264" s="88">
        <f>N264+P264</f>
        <v>0</v>
      </c>
      <c r="N264" s="88">
        <v>0</v>
      </c>
      <c r="O264" s="88">
        <v>0</v>
      </c>
      <c r="P264" s="88">
        <v>0</v>
      </c>
      <c r="Q264" s="68"/>
      <c r="R264" s="68"/>
      <c r="S264" s="50"/>
      <c r="T264" s="50"/>
      <c r="U264" s="50"/>
    </row>
    <row r="265" spans="1:21" s="51" customFormat="1" ht="12.75" hidden="1">
      <c r="A265" s="761"/>
      <c r="B265" s="752"/>
      <c r="C265" s="74" t="s">
        <v>14</v>
      </c>
      <c r="D265" s="85">
        <f>E265+M265</f>
        <v>0</v>
      </c>
      <c r="E265" s="88">
        <f>F265+I265+J265+K265+L265</f>
        <v>0</v>
      </c>
      <c r="F265" s="88">
        <f>G265+H265</f>
        <v>0</v>
      </c>
      <c r="G265" s="88"/>
      <c r="H265" s="88"/>
      <c r="I265" s="88"/>
      <c r="J265" s="88"/>
      <c r="K265" s="88"/>
      <c r="L265" s="88"/>
      <c r="M265" s="88">
        <f>N265+P265</f>
        <v>0</v>
      </c>
      <c r="N265" s="88"/>
      <c r="O265" s="88"/>
      <c r="P265" s="88"/>
      <c r="Q265" s="68"/>
      <c r="R265" s="68"/>
      <c r="S265" s="50"/>
      <c r="T265" s="50"/>
      <c r="U265" s="50"/>
    </row>
    <row r="266" spans="1:21" s="51" customFormat="1" ht="12.75" hidden="1">
      <c r="A266" s="762"/>
      <c r="B266" s="753"/>
      <c r="C266" s="74" t="s">
        <v>15</v>
      </c>
      <c r="D266" s="85">
        <f>D264+D265</f>
        <v>1500000</v>
      </c>
      <c r="E266" s="88">
        <f>E264+E265</f>
        <v>1500000</v>
      </c>
      <c r="F266" s="88">
        <f aca="true" t="shared" si="108" ref="F266:P266">F264+F265</f>
        <v>0</v>
      </c>
      <c r="G266" s="88">
        <f t="shared" si="108"/>
        <v>0</v>
      </c>
      <c r="H266" s="88">
        <f t="shared" si="108"/>
        <v>0</v>
      </c>
      <c r="I266" s="88">
        <f t="shared" si="108"/>
        <v>0</v>
      </c>
      <c r="J266" s="88">
        <f t="shared" si="108"/>
        <v>0</v>
      </c>
      <c r="K266" s="88">
        <f t="shared" si="108"/>
        <v>1500000</v>
      </c>
      <c r="L266" s="88">
        <f t="shared" si="108"/>
        <v>0</v>
      </c>
      <c r="M266" s="88">
        <f t="shared" si="108"/>
        <v>0</v>
      </c>
      <c r="N266" s="88">
        <f t="shared" si="108"/>
        <v>0</v>
      </c>
      <c r="O266" s="88">
        <f t="shared" si="108"/>
        <v>0</v>
      </c>
      <c r="P266" s="88">
        <f t="shared" si="108"/>
        <v>0</v>
      </c>
      <c r="Q266" s="68"/>
      <c r="R266" s="68"/>
      <c r="S266" s="50"/>
      <c r="T266" s="50"/>
      <c r="U266" s="50"/>
    </row>
    <row r="267" spans="1:21" s="33" customFormat="1" ht="12.75" hidden="1">
      <c r="A267" s="760">
        <v>85205</v>
      </c>
      <c r="B267" s="751" t="s">
        <v>169</v>
      </c>
      <c r="C267" s="74" t="s">
        <v>13</v>
      </c>
      <c r="D267" s="85">
        <f>E267+M267</f>
        <v>500000</v>
      </c>
      <c r="E267" s="88">
        <f>F267+I267+J267+K267+L267</f>
        <v>500000</v>
      </c>
      <c r="F267" s="88">
        <f>G267+H267</f>
        <v>470000</v>
      </c>
      <c r="G267" s="88">
        <v>208600</v>
      </c>
      <c r="H267" s="88">
        <v>261400</v>
      </c>
      <c r="I267" s="88">
        <v>30000</v>
      </c>
      <c r="J267" s="88">
        <v>0</v>
      </c>
      <c r="K267" s="88">
        <v>0</v>
      </c>
      <c r="L267" s="88">
        <v>0</v>
      </c>
      <c r="M267" s="88">
        <f>N267+P267</f>
        <v>0</v>
      </c>
      <c r="N267" s="88">
        <v>0</v>
      </c>
      <c r="O267" s="88">
        <v>0</v>
      </c>
      <c r="P267" s="88">
        <v>0</v>
      </c>
      <c r="Q267" s="52"/>
      <c r="R267" s="52"/>
      <c r="S267" s="39"/>
      <c r="T267" s="39"/>
      <c r="U267" s="39"/>
    </row>
    <row r="268" spans="1:21" s="33" customFormat="1" ht="12.75" hidden="1">
      <c r="A268" s="761"/>
      <c r="B268" s="752"/>
      <c r="C268" s="74" t="s">
        <v>14</v>
      </c>
      <c r="D268" s="85">
        <f>E268+M268</f>
        <v>0</v>
      </c>
      <c r="E268" s="88">
        <f>F268+I268+J268+K268+L268</f>
        <v>0</v>
      </c>
      <c r="F268" s="88">
        <f>G268+H268</f>
        <v>0</v>
      </c>
      <c r="G268" s="88"/>
      <c r="H268" s="88"/>
      <c r="I268" s="88"/>
      <c r="J268" s="88"/>
      <c r="K268" s="88"/>
      <c r="L268" s="88"/>
      <c r="M268" s="88">
        <f>N268+P268</f>
        <v>0</v>
      </c>
      <c r="N268" s="88"/>
      <c r="O268" s="88"/>
      <c r="P268" s="88"/>
      <c r="Q268" s="52"/>
      <c r="R268" s="52"/>
      <c r="S268" s="39"/>
      <c r="T268" s="39"/>
      <c r="U268" s="39"/>
    </row>
    <row r="269" spans="1:21" s="33" customFormat="1" ht="12.75" hidden="1">
      <c r="A269" s="762"/>
      <c r="B269" s="753"/>
      <c r="C269" s="74" t="s">
        <v>15</v>
      </c>
      <c r="D269" s="85">
        <f>D267+D268</f>
        <v>500000</v>
      </c>
      <c r="E269" s="88">
        <f>E267+E268</f>
        <v>500000</v>
      </c>
      <c r="F269" s="88">
        <f aca="true" t="shared" si="109" ref="F269:P269">F267+F268</f>
        <v>470000</v>
      </c>
      <c r="G269" s="88">
        <f t="shared" si="109"/>
        <v>208600</v>
      </c>
      <c r="H269" s="88">
        <f t="shared" si="109"/>
        <v>261400</v>
      </c>
      <c r="I269" s="88">
        <f t="shared" si="109"/>
        <v>30000</v>
      </c>
      <c r="J269" s="88">
        <f t="shared" si="109"/>
        <v>0</v>
      </c>
      <c r="K269" s="88">
        <f t="shared" si="109"/>
        <v>0</v>
      </c>
      <c r="L269" s="88">
        <f t="shared" si="109"/>
        <v>0</v>
      </c>
      <c r="M269" s="88">
        <f t="shared" si="109"/>
        <v>0</v>
      </c>
      <c r="N269" s="88">
        <f t="shared" si="109"/>
        <v>0</v>
      </c>
      <c r="O269" s="88">
        <f t="shared" si="109"/>
        <v>0</v>
      </c>
      <c r="P269" s="88">
        <f t="shared" si="109"/>
        <v>0</v>
      </c>
      <c r="Q269" s="52"/>
      <c r="R269" s="52"/>
      <c r="S269" s="39"/>
      <c r="T269" s="39"/>
      <c r="U269" s="39"/>
    </row>
    <row r="270" spans="1:21" s="51" customFormat="1" ht="12.75" hidden="1">
      <c r="A270" s="760">
        <v>85217</v>
      </c>
      <c r="B270" s="751" t="s">
        <v>170</v>
      </c>
      <c r="C270" s="74" t="s">
        <v>13</v>
      </c>
      <c r="D270" s="85">
        <f>E270+M270</f>
        <v>3280827</v>
      </c>
      <c r="E270" s="88">
        <f>F270+I270+J270+K270+L270</f>
        <v>2630696</v>
      </c>
      <c r="F270" s="88">
        <f>G270+H270</f>
        <v>2626796</v>
      </c>
      <c r="G270" s="88">
        <v>2130190</v>
      </c>
      <c r="H270" s="88">
        <v>496606</v>
      </c>
      <c r="I270" s="88">
        <v>0</v>
      </c>
      <c r="J270" s="88">
        <v>3900</v>
      </c>
      <c r="K270" s="88">
        <v>0</v>
      </c>
      <c r="L270" s="88">
        <v>0</v>
      </c>
      <c r="M270" s="88">
        <f>N270+P270</f>
        <v>650131</v>
      </c>
      <c r="N270" s="88">
        <v>650131</v>
      </c>
      <c r="O270" s="88">
        <f>509996+89999</f>
        <v>599995</v>
      </c>
      <c r="P270" s="88">
        <v>0</v>
      </c>
      <c r="Q270" s="68"/>
      <c r="R270" s="68"/>
      <c r="S270" s="50"/>
      <c r="T270" s="50"/>
      <c r="U270" s="50"/>
    </row>
    <row r="271" spans="1:21" s="51" customFormat="1" ht="12.75" hidden="1">
      <c r="A271" s="761"/>
      <c r="B271" s="752"/>
      <c r="C271" s="74" t="s">
        <v>14</v>
      </c>
      <c r="D271" s="85">
        <f>E271+M271</f>
        <v>0</v>
      </c>
      <c r="E271" s="88">
        <f>F271+I271+J271+K271+L271</f>
        <v>0</v>
      </c>
      <c r="F271" s="88">
        <f>G271+H271</f>
        <v>0</v>
      </c>
      <c r="G271" s="88"/>
      <c r="H271" s="88"/>
      <c r="I271" s="88"/>
      <c r="J271" s="88"/>
      <c r="K271" s="88"/>
      <c r="L271" s="88"/>
      <c r="M271" s="88">
        <f>N271+P271</f>
        <v>0</v>
      </c>
      <c r="N271" s="88"/>
      <c r="O271" s="88"/>
      <c r="P271" s="88"/>
      <c r="Q271" s="68"/>
      <c r="R271" s="68"/>
      <c r="S271" s="50"/>
      <c r="T271" s="50"/>
      <c r="U271" s="50"/>
    </row>
    <row r="272" spans="1:21" s="51" customFormat="1" ht="12.75" hidden="1">
      <c r="A272" s="762"/>
      <c r="B272" s="753"/>
      <c r="C272" s="74" t="s">
        <v>15</v>
      </c>
      <c r="D272" s="85">
        <f>D270+D271</f>
        <v>3280827</v>
      </c>
      <c r="E272" s="88">
        <f>E270+E271</f>
        <v>2630696</v>
      </c>
      <c r="F272" s="88">
        <f aca="true" t="shared" si="110" ref="F272:P272">F270+F271</f>
        <v>2626796</v>
      </c>
      <c r="G272" s="88">
        <f t="shared" si="110"/>
        <v>2130190</v>
      </c>
      <c r="H272" s="88">
        <f t="shared" si="110"/>
        <v>496606</v>
      </c>
      <c r="I272" s="88">
        <f t="shared" si="110"/>
        <v>0</v>
      </c>
      <c r="J272" s="88">
        <f t="shared" si="110"/>
        <v>3900</v>
      </c>
      <c r="K272" s="88">
        <f t="shared" si="110"/>
        <v>0</v>
      </c>
      <c r="L272" s="88">
        <f t="shared" si="110"/>
        <v>0</v>
      </c>
      <c r="M272" s="88">
        <f t="shared" si="110"/>
        <v>650131</v>
      </c>
      <c r="N272" s="88">
        <f t="shared" si="110"/>
        <v>650131</v>
      </c>
      <c r="O272" s="88">
        <f t="shared" si="110"/>
        <v>599995</v>
      </c>
      <c r="P272" s="88">
        <f t="shared" si="110"/>
        <v>0</v>
      </c>
      <c r="Q272" s="68"/>
      <c r="R272" s="68"/>
      <c r="S272" s="50"/>
      <c r="T272" s="50"/>
      <c r="U272" s="50"/>
    </row>
    <row r="273" spans="1:21" s="33" customFormat="1" ht="12.75" hidden="1">
      <c r="A273" s="760">
        <v>85228</v>
      </c>
      <c r="B273" s="751" t="s">
        <v>171</v>
      </c>
      <c r="C273" s="74" t="s">
        <v>13</v>
      </c>
      <c r="D273" s="85">
        <f>E273+M273</f>
        <v>115000</v>
      </c>
      <c r="E273" s="88">
        <f>F273+I273+J273+K273+L273</f>
        <v>115000</v>
      </c>
      <c r="F273" s="88">
        <f>G273+H273</f>
        <v>0</v>
      </c>
      <c r="G273" s="88">
        <v>0</v>
      </c>
      <c r="H273" s="88">
        <v>0</v>
      </c>
      <c r="I273" s="88">
        <v>0</v>
      </c>
      <c r="J273" s="88">
        <v>0</v>
      </c>
      <c r="K273" s="88">
        <v>115000</v>
      </c>
      <c r="L273" s="88">
        <v>0</v>
      </c>
      <c r="M273" s="88">
        <f>N273+P273</f>
        <v>0</v>
      </c>
      <c r="N273" s="88">
        <v>0</v>
      </c>
      <c r="O273" s="88">
        <v>0</v>
      </c>
      <c r="P273" s="88">
        <v>0</v>
      </c>
      <c r="Q273" s="52"/>
      <c r="R273" s="52"/>
      <c r="S273" s="39"/>
      <c r="T273" s="39"/>
      <c r="U273" s="39"/>
    </row>
    <row r="274" spans="1:21" s="33" customFormat="1" ht="12.75" hidden="1">
      <c r="A274" s="761"/>
      <c r="B274" s="752"/>
      <c r="C274" s="74" t="s">
        <v>14</v>
      </c>
      <c r="D274" s="85">
        <f>E274+M274</f>
        <v>0</v>
      </c>
      <c r="E274" s="88">
        <f>F274+I274+J274+K274+L274</f>
        <v>0</v>
      </c>
      <c r="F274" s="88">
        <f>G274+H274</f>
        <v>0</v>
      </c>
      <c r="G274" s="88"/>
      <c r="H274" s="88"/>
      <c r="I274" s="88"/>
      <c r="J274" s="88"/>
      <c r="K274" s="88"/>
      <c r="L274" s="88"/>
      <c r="M274" s="88">
        <f>N274+P274</f>
        <v>0</v>
      </c>
      <c r="N274" s="88"/>
      <c r="O274" s="88"/>
      <c r="P274" s="88"/>
      <c r="Q274" s="52"/>
      <c r="R274" s="52"/>
      <c r="S274" s="39"/>
      <c r="T274" s="39"/>
      <c r="U274" s="39"/>
    </row>
    <row r="275" spans="1:21" s="33" customFormat="1" ht="12.75" hidden="1">
      <c r="A275" s="762"/>
      <c r="B275" s="753"/>
      <c r="C275" s="74" t="s">
        <v>15</v>
      </c>
      <c r="D275" s="85">
        <f>D273+D274</f>
        <v>115000</v>
      </c>
      <c r="E275" s="88">
        <f>E273+E274</f>
        <v>115000</v>
      </c>
      <c r="F275" s="88">
        <f aca="true" t="shared" si="111" ref="F275:P275">F273+F274</f>
        <v>0</v>
      </c>
      <c r="G275" s="88">
        <f t="shared" si="111"/>
        <v>0</v>
      </c>
      <c r="H275" s="88">
        <f t="shared" si="111"/>
        <v>0</v>
      </c>
      <c r="I275" s="88">
        <f t="shared" si="111"/>
        <v>0</v>
      </c>
      <c r="J275" s="88">
        <f t="shared" si="111"/>
        <v>0</v>
      </c>
      <c r="K275" s="88">
        <f t="shared" si="111"/>
        <v>115000</v>
      </c>
      <c r="L275" s="88">
        <f t="shared" si="111"/>
        <v>0</v>
      </c>
      <c r="M275" s="88">
        <f t="shared" si="111"/>
        <v>0</v>
      </c>
      <c r="N275" s="88">
        <f t="shared" si="111"/>
        <v>0</v>
      </c>
      <c r="O275" s="88">
        <f t="shared" si="111"/>
        <v>0</v>
      </c>
      <c r="P275" s="88">
        <f t="shared" si="111"/>
        <v>0</v>
      </c>
      <c r="Q275" s="52"/>
      <c r="R275" s="52"/>
      <c r="S275" s="39"/>
      <c r="T275" s="39"/>
      <c r="U275" s="39"/>
    </row>
    <row r="276" spans="1:21" s="51" customFormat="1" ht="12.75">
      <c r="A276" s="760">
        <v>85295</v>
      </c>
      <c r="B276" s="751" t="s">
        <v>52</v>
      </c>
      <c r="C276" s="74" t="s">
        <v>13</v>
      </c>
      <c r="D276" s="85">
        <f>E276+M276</f>
        <v>21617502</v>
      </c>
      <c r="E276" s="88">
        <f>F276+I276+J276+K276+L276</f>
        <v>19996075</v>
      </c>
      <c r="F276" s="88">
        <f>G276+H276</f>
        <v>15000</v>
      </c>
      <c r="G276" s="88">
        <v>10000</v>
      </c>
      <c r="H276" s="88">
        <f>5000</f>
        <v>5000</v>
      </c>
      <c r="I276" s="88">
        <v>0</v>
      </c>
      <c r="J276" s="88">
        <v>45000</v>
      </c>
      <c r="K276" s="88">
        <v>19936075</v>
      </c>
      <c r="L276" s="88">
        <v>0</v>
      </c>
      <c r="M276" s="88">
        <f>N276+P276</f>
        <v>1621427</v>
      </c>
      <c r="N276" s="88">
        <v>1621427</v>
      </c>
      <c r="O276" s="88">
        <v>1621427</v>
      </c>
      <c r="P276" s="88">
        <v>0</v>
      </c>
      <c r="Q276" s="68"/>
      <c r="R276" s="68"/>
      <c r="S276" s="50"/>
      <c r="T276" s="50"/>
      <c r="U276" s="50"/>
    </row>
    <row r="277" spans="1:21" s="51" customFormat="1" ht="12.75">
      <c r="A277" s="761"/>
      <c r="B277" s="752"/>
      <c r="C277" s="74" t="s">
        <v>14</v>
      </c>
      <c r="D277" s="85">
        <f>E277+M277</f>
        <v>5684937</v>
      </c>
      <c r="E277" s="88">
        <f>F277+I277+J277+K277+L277</f>
        <v>5684937</v>
      </c>
      <c r="F277" s="88">
        <f>G277+H277</f>
        <v>0</v>
      </c>
      <c r="G277" s="88"/>
      <c r="H277" s="88"/>
      <c r="I277" s="88"/>
      <c r="J277" s="88"/>
      <c r="K277" s="88">
        <v>5684937</v>
      </c>
      <c r="L277" s="88"/>
      <c r="M277" s="88">
        <f>N277+P277</f>
        <v>0</v>
      </c>
      <c r="N277" s="88"/>
      <c r="O277" s="88"/>
      <c r="P277" s="88"/>
      <c r="Q277" s="68"/>
      <c r="R277" s="68"/>
      <c r="S277" s="50"/>
      <c r="T277" s="50"/>
      <c r="U277" s="50"/>
    </row>
    <row r="278" spans="1:21" s="51" customFormat="1" ht="12.75">
      <c r="A278" s="762"/>
      <c r="B278" s="753"/>
      <c r="C278" s="74" t="s">
        <v>15</v>
      </c>
      <c r="D278" s="85">
        <f>D276+D277</f>
        <v>27302439</v>
      </c>
      <c r="E278" s="88">
        <f>E276+E277</f>
        <v>25681012</v>
      </c>
      <c r="F278" s="88">
        <f aca="true" t="shared" si="112" ref="F278:P278">F276+F277</f>
        <v>15000</v>
      </c>
      <c r="G278" s="88">
        <f t="shared" si="112"/>
        <v>10000</v>
      </c>
      <c r="H278" s="88">
        <f t="shared" si="112"/>
        <v>5000</v>
      </c>
      <c r="I278" s="88">
        <f t="shared" si="112"/>
        <v>0</v>
      </c>
      <c r="J278" s="88">
        <f t="shared" si="112"/>
        <v>45000</v>
      </c>
      <c r="K278" s="88">
        <f t="shared" si="112"/>
        <v>25621012</v>
      </c>
      <c r="L278" s="88">
        <f t="shared" si="112"/>
        <v>0</v>
      </c>
      <c r="M278" s="88">
        <f t="shared" si="112"/>
        <v>1621427</v>
      </c>
      <c r="N278" s="88">
        <f t="shared" si="112"/>
        <v>1621427</v>
      </c>
      <c r="O278" s="88">
        <f t="shared" si="112"/>
        <v>1621427</v>
      </c>
      <c r="P278" s="88">
        <f t="shared" si="112"/>
        <v>0</v>
      </c>
      <c r="Q278" s="68"/>
      <c r="R278" s="68"/>
      <c r="S278" s="50"/>
      <c r="T278" s="50"/>
      <c r="U278" s="50"/>
    </row>
    <row r="279" spans="1:21" s="35" customFormat="1" ht="14.25">
      <c r="A279" s="763">
        <v>853</v>
      </c>
      <c r="B279" s="757" t="s">
        <v>37</v>
      </c>
      <c r="C279" s="77" t="s">
        <v>13</v>
      </c>
      <c r="D279" s="89">
        <f aca="true" t="shared" si="113" ref="D279:P280">D282+D285+D291+D294+D288</f>
        <v>22695716</v>
      </c>
      <c r="E279" s="83">
        <f t="shared" si="113"/>
        <v>22587716</v>
      </c>
      <c r="F279" s="83">
        <f t="shared" si="113"/>
        <v>10466960</v>
      </c>
      <c r="G279" s="83">
        <f t="shared" si="113"/>
        <v>8395483</v>
      </c>
      <c r="H279" s="83">
        <f t="shared" si="113"/>
        <v>2071477</v>
      </c>
      <c r="I279" s="83">
        <f t="shared" si="113"/>
        <v>544000</v>
      </c>
      <c r="J279" s="83">
        <f t="shared" si="113"/>
        <v>34000</v>
      </c>
      <c r="K279" s="83">
        <f t="shared" si="113"/>
        <v>11542756</v>
      </c>
      <c r="L279" s="83">
        <f t="shared" si="113"/>
        <v>0</v>
      </c>
      <c r="M279" s="83">
        <f t="shared" si="113"/>
        <v>108000</v>
      </c>
      <c r="N279" s="83">
        <f t="shared" si="113"/>
        <v>108000</v>
      </c>
      <c r="O279" s="83">
        <f t="shared" si="113"/>
        <v>48000</v>
      </c>
      <c r="P279" s="83">
        <f t="shared" si="113"/>
        <v>0</v>
      </c>
      <c r="Q279" s="65"/>
      <c r="R279" s="65"/>
      <c r="S279" s="41"/>
      <c r="T279" s="41"/>
      <c r="U279" s="41"/>
    </row>
    <row r="280" spans="1:21" s="35" customFormat="1" ht="14.25">
      <c r="A280" s="764"/>
      <c r="B280" s="758"/>
      <c r="C280" s="77" t="s">
        <v>14</v>
      </c>
      <c r="D280" s="89">
        <f t="shared" si="113"/>
        <v>39906380</v>
      </c>
      <c r="E280" s="83">
        <f t="shared" si="113"/>
        <v>39906380</v>
      </c>
      <c r="F280" s="83">
        <f t="shared" si="113"/>
        <v>748732</v>
      </c>
      <c r="G280" s="83">
        <f t="shared" si="113"/>
        <v>668732</v>
      </c>
      <c r="H280" s="83">
        <f t="shared" si="113"/>
        <v>80000</v>
      </c>
      <c r="I280" s="83">
        <f t="shared" si="113"/>
        <v>0</v>
      </c>
      <c r="J280" s="83">
        <f t="shared" si="113"/>
        <v>0</v>
      </c>
      <c r="K280" s="83">
        <f t="shared" si="113"/>
        <v>39157648</v>
      </c>
      <c r="L280" s="83">
        <f t="shared" si="113"/>
        <v>0</v>
      </c>
      <c r="M280" s="83">
        <f t="shared" si="113"/>
        <v>0</v>
      </c>
      <c r="N280" s="83">
        <f t="shared" si="113"/>
        <v>0</v>
      </c>
      <c r="O280" s="83">
        <f t="shared" si="113"/>
        <v>0</v>
      </c>
      <c r="P280" s="83">
        <f t="shared" si="113"/>
        <v>0</v>
      </c>
      <c r="Q280" s="65"/>
      <c r="R280" s="65"/>
      <c r="S280" s="41"/>
      <c r="T280" s="41"/>
      <c r="U280" s="41"/>
    </row>
    <row r="281" spans="1:21" s="35" customFormat="1" ht="14.25">
      <c r="A281" s="765"/>
      <c r="B281" s="759"/>
      <c r="C281" s="77" t="s">
        <v>15</v>
      </c>
      <c r="D281" s="89">
        <f>D279+D280</f>
        <v>62602096</v>
      </c>
      <c r="E281" s="83">
        <f>E279+E280</f>
        <v>62494096</v>
      </c>
      <c r="F281" s="83">
        <f aca="true" t="shared" si="114" ref="F281:P281">F279+F280</f>
        <v>11215692</v>
      </c>
      <c r="G281" s="83">
        <f t="shared" si="114"/>
        <v>9064215</v>
      </c>
      <c r="H281" s="83">
        <f t="shared" si="114"/>
        <v>2151477</v>
      </c>
      <c r="I281" s="83">
        <f t="shared" si="114"/>
        <v>544000</v>
      </c>
      <c r="J281" s="83">
        <f t="shared" si="114"/>
        <v>34000</v>
      </c>
      <c r="K281" s="83">
        <f t="shared" si="114"/>
        <v>50700404</v>
      </c>
      <c r="L281" s="83">
        <f t="shared" si="114"/>
        <v>0</v>
      </c>
      <c r="M281" s="83">
        <f t="shared" si="114"/>
        <v>108000</v>
      </c>
      <c r="N281" s="83">
        <f t="shared" si="114"/>
        <v>108000</v>
      </c>
      <c r="O281" s="83">
        <f t="shared" si="114"/>
        <v>48000</v>
      </c>
      <c r="P281" s="83">
        <f t="shared" si="114"/>
        <v>0</v>
      </c>
      <c r="Q281" s="65"/>
      <c r="R281" s="65"/>
      <c r="S281" s="41"/>
      <c r="T281" s="41"/>
      <c r="U281" s="41"/>
    </row>
    <row r="282" spans="1:21" s="33" customFormat="1" ht="12.75" hidden="1">
      <c r="A282" s="760">
        <v>85311</v>
      </c>
      <c r="B282" s="751" t="s">
        <v>172</v>
      </c>
      <c r="C282" s="74" t="s">
        <v>13</v>
      </c>
      <c r="D282" s="85">
        <f>E282+M282</f>
        <v>444000</v>
      </c>
      <c r="E282" s="88">
        <f>F282+I282+J282+K282+L282</f>
        <v>444000</v>
      </c>
      <c r="F282" s="88">
        <f>G282+H282</f>
        <v>0</v>
      </c>
      <c r="G282" s="88">
        <v>0</v>
      </c>
      <c r="H282" s="88">
        <v>0</v>
      </c>
      <c r="I282" s="88">
        <v>444000</v>
      </c>
      <c r="J282" s="88">
        <v>0</v>
      </c>
      <c r="K282" s="88">
        <v>0</v>
      </c>
      <c r="L282" s="88">
        <v>0</v>
      </c>
      <c r="M282" s="88">
        <f>N282+P282</f>
        <v>0</v>
      </c>
      <c r="N282" s="88">
        <v>0</v>
      </c>
      <c r="O282" s="88">
        <v>0</v>
      </c>
      <c r="P282" s="88">
        <v>0</v>
      </c>
      <c r="Q282" s="52"/>
      <c r="R282" s="52"/>
      <c r="S282" s="39"/>
      <c r="T282" s="39"/>
      <c r="U282" s="39"/>
    </row>
    <row r="283" spans="1:21" s="33" customFormat="1" ht="12.75" hidden="1">
      <c r="A283" s="761"/>
      <c r="B283" s="752"/>
      <c r="C283" s="74" t="s">
        <v>14</v>
      </c>
      <c r="D283" s="85">
        <f>E283+M283</f>
        <v>0</v>
      </c>
      <c r="E283" s="88">
        <f>F283+I283+J283+K283+L283</f>
        <v>0</v>
      </c>
      <c r="F283" s="88">
        <f>G283+H283</f>
        <v>0</v>
      </c>
      <c r="G283" s="88"/>
      <c r="H283" s="88"/>
      <c r="I283" s="88"/>
      <c r="J283" s="88"/>
      <c r="K283" s="88"/>
      <c r="L283" s="88"/>
      <c r="M283" s="88">
        <f>N283+P283</f>
        <v>0</v>
      </c>
      <c r="N283" s="88"/>
      <c r="O283" s="88"/>
      <c r="P283" s="88"/>
      <c r="Q283" s="52"/>
      <c r="R283" s="52"/>
      <c r="S283" s="39"/>
      <c r="T283" s="39"/>
      <c r="U283" s="39"/>
    </row>
    <row r="284" spans="1:21" s="33" customFormat="1" ht="12.75" hidden="1">
      <c r="A284" s="762"/>
      <c r="B284" s="753"/>
      <c r="C284" s="74" t="s">
        <v>15</v>
      </c>
      <c r="D284" s="85">
        <f>D282+D283</f>
        <v>444000</v>
      </c>
      <c r="E284" s="88">
        <f>E282+E283</f>
        <v>444000</v>
      </c>
      <c r="F284" s="88">
        <f aca="true" t="shared" si="115" ref="F284:P284">F282+F283</f>
        <v>0</v>
      </c>
      <c r="G284" s="88">
        <f t="shared" si="115"/>
        <v>0</v>
      </c>
      <c r="H284" s="88">
        <f t="shared" si="115"/>
        <v>0</v>
      </c>
      <c r="I284" s="88">
        <f t="shared" si="115"/>
        <v>444000</v>
      </c>
      <c r="J284" s="88">
        <f t="shared" si="115"/>
        <v>0</v>
      </c>
      <c r="K284" s="88">
        <f t="shared" si="115"/>
        <v>0</v>
      </c>
      <c r="L284" s="88">
        <f t="shared" si="115"/>
        <v>0</v>
      </c>
      <c r="M284" s="88">
        <f t="shared" si="115"/>
        <v>0</v>
      </c>
      <c r="N284" s="88">
        <f t="shared" si="115"/>
        <v>0</v>
      </c>
      <c r="O284" s="88">
        <f t="shared" si="115"/>
        <v>0</v>
      </c>
      <c r="P284" s="88">
        <f t="shared" si="115"/>
        <v>0</v>
      </c>
      <c r="Q284" s="52"/>
      <c r="R284" s="52"/>
      <c r="S284" s="39"/>
      <c r="T284" s="39"/>
      <c r="U284" s="39"/>
    </row>
    <row r="285" spans="1:21" s="33" customFormat="1" ht="12.75">
      <c r="A285" s="760">
        <v>85324</v>
      </c>
      <c r="B285" s="751" t="s">
        <v>173</v>
      </c>
      <c r="C285" s="74" t="s">
        <v>13</v>
      </c>
      <c r="D285" s="85">
        <f>E285+M285</f>
        <v>256150</v>
      </c>
      <c r="E285" s="88">
        <f>F285+I285+J285+K285+L285</f>
        <v>256150</v>
      </c>
      <c r="F285" s="88">
        <f>G285+H285</f>
        <v>256150</v>
      </c>
      <c r="G285" s="88">
        <v>237150</v>
      </c>
      <c r="H285" s="88">
        <v>19000</v>
      </c>
      <c r="I285" s="88">
        <v>0</v>
      </c>
      <c r="J285" s="88">
        <v>0</v>
      </c>
      <c r="K285" s="88">
        <v>0</v>
      </c>
      <c r="L285" s="88">
        <v>0</v>
      </c>
      <c r="M285" s="88">
        <f>N285+P285</f>
        <v>0</v>
      </c>
      <c r="N285" s="88">
        <v>0</v>
      </c>
      <c r="O285" s="88">
        <v>0</v>
      </c>
      <c r="P285" s="88">
        <v>0</v>
      </c>
      <c r="Q285" s="52"/>
      <c r="R285" s="52"/>
      <c r="S285" s="39"/>
      <c r="T285" s="39"/>
      <c r="U285" s="39"/>
    </row>
    <row r="286" spans="1:21" s="33" customFormat="1" ht="12.75">
      <c r="A286" s="761"/>
      <c r="B286" s="752"/>
      <c r="C286" s="74" t="s">
        <v>14</v>
      </c>
      <c r="D286" s="85">
        <f>E286+M286</f>
        <v>116732</v>
      </c>
      <c r="E286" s="88">
        <f>F286+I286+J286+K286+L286</f>
        <v>116732</v>
      </c>
      <c r="F286" s="88">
        <f>G286+H286</f>
        <v>116732</v>
      </c>
      <c r="G286" s="88">
        <f>64136+11025+1571</f>
        <v>76732</v>
      </c>
      <c r="H286" s="88">
        <v>40000</v>
      </c>
      <c r="I286" s="88"/>
      <c r="J286" s="88"/>
      <c r="K286" s="88"/>
      <c r="L286" s="88"/>
      <c r="M286" s="88">
        <f>N286+P286</f>
        <v>0</v>
      </c>
      <c r="N286" s="88"/>
      <c r="O286" s="88"/>
      <c r="P286" s="88"/>
      <c r="Q286" s="52"/>
      <c r="R286" s="52"/>
      <c r="S286" s="39"/>
      <c r="T286" s="39"/>
      <c r="U286" s="39"/>
    </row>
    <row r="287" spans="1:21" s="33" customFormat="1" ht="12.75">
      <c r="A287" s="762"/>
      <c r="B287" s="753"/>
      <c r="C287" s="74" t="s">
        <v>15</v>
      </c>
      <c r="D287" s="85">
        <f>D285+D286</f>
        <v>372882</v>
      </c>
      <c r="E287" s="88">
        <f>E285+E286</f>
        <v>372882</v>
      </c>
      <c r="F287" s="88">
        <f aca="true" t="shared" si="116" ref="F287:P287">F285+F286</f>
        <v>372882</v>
      </c>
      <c r="G287" s="88">
        <f t="shared" si="116"/>
        <v>313882</v>
      </c>
      <c r="H287" s="88">
        <f t="shared" si="116"/>
        <v>59000</v>
      </c>
      <c r="I287" s="88">
        <f t="shared" si="116"/>
        <v>0</v>
      </c>
      <c r="J287" s="88">
        <f t="shared" si="116"/>
        <v>0</v>
      </c>
      <c r="K287" s="88">
        <f t="shared" si="116"/>
        <v>0</v>
      </c>
      <c r="L287" s="88">
        <f t="shared" si="116"/>
        <v>0</v>
      </c>
      <c r="M287" s="88">
        <f t="shared" si="116"/>
        <v>0</v>
      </c>
      <c r="N287" s="88">
        <f t="shared" si="116"/>
        <v>0</v>
      </c>
      <c r="O287" s="88">
        <f t="shared" si="116"/>
        <v>0</v>
      </c>
      <c r="P287" s="88">
        <f t="shared" si="116"/>
        <v>0</v>
      </c>
      <c r="Q287" s="52"/>
      <c r="R287" s="52"/>
      <c r="S287" s="39"/>
      <c r="T287" s="39"/>
      <c r="U287" s="39"/>
    </row>
    <row r="288" spans="1:21" s="33" customFormat="1" ht="12.75">
      <c r="A288" s="760">
        <v>85325</v>
      </c>
      <c r="B288" s="751" t="s">
        <v>174</v>
      </c>
      <c r="C288" s="74" t="s">
        <v>13</v>
      </c>
      <c r="D288" s="85">
        <f>E288+M288</f>
        <v>1300000</v>
      </c>
      <c r="E288" s="88">
        <f>F288+I288+J288+K288+L288</f>
        <v>1300000</v>
      </c>
      <c r="F288" s="88">
        <f>G288+H288</f>
        <v>1298000</v>
      </c>
      <c r="G288" s="88">
        <v>1021000</v>
      </c>
      <c r="H288" s="88">
        <v>277000</v>
      </c>
      <c r="I288" s="88">
        <v>0</v>
      </c>
      <c r="J288" s="88">
        <v>2000</v>
      </c>
      <c r="K288" s="88">
        <v>0</v>
      </c>
      <c r="L288" s="88">
        <v>0</v>
      </c>
      <c r="M288" s="88">
        <f>N288+P288</f>
        <v>0</v>
      </c>
      <c r="N288" s="88">
        <v>0</v>
      </c>
      <c r="O288" s="88">
        <v>0</v>
      </c>
      <c r="P288" s="88">
        <v>0</v>
      </c>
      <c r="Q288" s="52"/>
      <c r="R288" s="52"/>
      <c r="S288" s="39"/>
      <c r="T288" s="39"/>
      <c r="U288" s="39"/>
    </row>
    <row r="289" spans="1:21" s="33" customFormat="1" ht="12.75">
      <c r="A289" s="761"/>
      <c r="B289" s="752"/>
      <c r="C289" s="74" t="s">
        <v>14</v>
      </c>
      <c r="D289" s="85">
        <f>E289+M289</f>
        <v>632000</v>
      </c>
      <c r="E289" s="88">
        <f>F289+I289+J289+K289+L289</f>
        <v>632000</v>
      </c>
      <c r="F289" s="88">
        <f>G289+H289</f>
        <v>632000</v>
      </c>
      <c r="G289" s="88">
        <f>496000+85000+11000</f>
        <v>592000</v>
      </c>
      <c r="H289" s="88">
        <v>40000</v>
      </c>
      <c r="I289" s="88"/>
      <c r="J289" s="88"/>
      <c r="K289" s="88"/>
      <c r="L289" s="88"/>
      <c r="M289" s="88">
        <f>N289+P289</f>
        <v>0</v>
      </c>
      <c r="N289" s="88"/>
      <c r="O289" s="88"/>
      <c r="P289" s="88"/>
      <c r="Q289" s="52"/>
      <c r="R289" s="52"/>
      <c r="S289" s="39"/>
      <c r="T289" s="39"/>
      <c r="U289" s="39"/>
    </row>
    <row r="290" spans="1:21" s="33" customFormat="1" ht="12.75">
      <c r="A290" s="762"/>
      <c r="B290" s="753"/>
      <c r="C290" s="74" t="s">
        <v>15</v>
      </c>
      <c r="D290" s="85">
        <f>D288+D289</f>
        <v>1932000</v>
      </c>
      <c r="E290" s="88">
        <f>E288+E289</f>
        <v>1932000</v>
      </c>
      <c r="F290" s="88">
        <f aca="true" t="shared" si="117" ref="F290:P290">F288+F289</f>
        <v>1930000</v>
      </c>
      <c r="G290" s="88">
        <f t="shared" si="117"/>
        <v>1613000</v>
      </c>
      <c r="H290" s="88">
        <f t="shared" si="117"/>
        <v>317000</v>
      </c>
      <c r="I290" s="88">
        <f t="shared" si="117"/>
        <v>0</v>
      </c>
      <c r="J290" s="88">
        <f t="shared" si="117"/>
        <v>2000</v>
      </c>
      <c r="K290" s="88">
        <f t="shared" si="117"/>
        <v>0</v>
      </c>
      <c r="L290" s="88">
        <f t="shared" si="117"/>
        <v>0</v>
      </c>
      <c r="M290" s="88">
        <f t="shared" si="117"/>
        <v>0</v>
      </c>
      <c r="N290" s="88">
        <f t="shared" si="117"/>
        <v>0</v>
      </c>
      <c r="O290" s="88">
        <f t="shared" si="117"/>
        <v>0</v>
      </c>
      <c r="P290" s="88">
        <f t="shared" si="117"/>
        <v>0</v>
      </c>
      <c r="Q290" s="52"/>
      <c r="R290" s="52"/>
      <c r="S290" s="39"/>
      <c r="T290" s="39"/>
      <c r="U290" s="39"/>
    </row>
    <row r="291" spans="1:21" s="51" customFormat="1" ht="12.75">
      <c r="A291" s="760">
        <v>85332</v>
      </c>
      <c r="B291" s="751" t="s">
        <v>62</v>
      </c>
      <c r="C291" s="74" t="s">
        <v>13</v>
      </c>
      <c r="D291" s="85">
        <f>E291+M291</f>
        <v>17333833</v>
      </c>
      <c r="E291" s="88">
        <f>F291+I291+J291+K291+L291</f>
        <v>17225833</v>
      </c>
      <c r="F291" s="88">
        <f>G291+H291</f>
        <v>8750810</v>
      </c>
      <c r="G291" s="88">
        <v>7137333</v>
      </c>
      <c r="H291" s="88">
        <f>34000+120000+2400+219000+103000+4000+335000+44000+1000+440000+14000+3000+10000+208077+28000+42000+6000</f>
        <v>1613477</v>
      </c>
      <c r="I291" s="88">
        <v>0</v>
      </c>
      <c r="J291" s="88">
        <v>11000</v>
      </c>
      <c r="K291" s="88">
        <v>8464023</v>
      </c>
      <c r="L291" s="88">
        <v>0</v>
      </c>
      <c r="M291" s="88">
        <f>N291+P291</f>
        <v>108000</v>
      </c>
      <c r="N291" s="88">
        <v>108000</v>
      </c>
      <c r="O291" s="88">
        <f>17895+2105+23598+4402</f>
        <v>48000</v>
      </c>
      <c r="P291" s="88">
        <v>0</v>
      </c>
      <c r="Q291" s="68"/>
      <c r="R291" s="68"/>
      <c r="S291" s="50"/>
      <c r="T291" s="50"/>
      <c r="U291" s="50"/>
    </row>
    <row r="292" spans="1:21" s="51" customFormat="1" ht="12.75">
      <c r="A292" s="761"/>
      <c r="B292" s="752"/>
      <c r="C292" s="74" t="s">
        <v>14</v>
      </c>
      <c r="D292" s="85">
        <f>E292+M292</f>
        <v>40001</v>
      </c>
      <c r="E292" s="88">
        <f>F292+I292+J292+K292+L292</f>
        <v>40001</v>
      </c>
      <c r="F292" s="88">
        <f>G292+H292</f>
        <v>0</v>
      </c>
      <c r="G292" s="88"/>
      <c r="H292" s="88"/>
      <c r="I292" s="88"/>
      <c r="J292" s="88"/>
      <c r="K292" s="88">
        <f>54412-14411</f>
        <v>40001</v>
      </c>
      <c r="L292" s="88"/>
      <c r="M292" s="88">
        <f>N292+P292</f>
        <v>0</v>
      </c>
      <c r="N292" s="88"/>
      <c r="O292" s="88"/>
      <c r="P292" s="88"/>
      <c r="Q292" s="68"/>
      <c r="R292" s="68"/>
      <c r="S292" s="50"/>
      <c r="T292" s="50"/>
      <c r="U292" s="50"/>
    </row>
    <row r="293" spans="1:21" s="51" customFormat="1" ht="12.75">
      <c r="A293" s="762"/>
      <c r="B293" s="753"/>
      <c r="C293" s="74" t="s">
        <v>15</v>
      </c>
      <c r="D293" s="85">
        <f>D291+D292</f>
        <v>17373834</v>
      </c>
      <c r="E293" s="88">
        <f>E291+E292</f>
        <v>17265834</v>
      </c>
      <c r="F293" s="88">
        <f aca="true" t="shared" si="118" ref="F293:P293">F291+F292</f>
        <v>8750810</v>
      </c>
      <c r="G293" s="88">
        <f t="shared" si="118"/>
        <v>7137333</v>
      </c>
      <c r="H293" s="88">
        <f t="shared" si="118"/>
        <v>1613477</v>
      </c>
      <c r="I293" s="88">
        <f t="shared" si="118"/>
        <v>0</v>
      </c>
      <c r="J293" s="88">
        <f t="shared" si="118"/>
        <v>11000</v>
      </c>
      <c r="K293" s="88">
        <f t="shared" si="118"/>
        <v>8504024</v>
      </c>
      <c r="L293" s="88">
        <f t="shared" si="118"/>
        <v>0</v>
      </c>
      <c r="M293" s="88">
        <f t="shared" si="118"/>
        <v>108000</v>
      </c>
      <c r="N293" s="88">
        <f t="shared" si="118"/>
        <v>108000</v>
      </c>
      <c r="O293" s="88">
        <f t="shared" si="118"/>
        <v>48000</v>
      </c>
      <c r="P293" s="88">
        <f t="shared" si="118"/>
        <v>0</v>
      </c>
      <c r="Q293" s="68"/>
      <c r="R293" s="68"/>
      <c r="S293" s="50"/>
      <c r="T293" s="50"/>
      <c r="U293" s="50"/>
    </row>
    <row r="294" spans="1:21" s="51" customFormat="1" ht="12.75">
      <c r="A294" s="760">
        <v>85395</v>
      </c>
      <c r="B294" s="751" t="s">
        <v>52</v>
      </c>
      <c r="C294" s="74" t="s">
        <v>13</v>
      </c>
      <c r="D294" s="85">
        <f>E294+M294</f>
        <v>3361733</v>
      </c>
      <c r="E294" s="88">
        <f>F294+I294+J294+K294+L294</f>
        <v>3361733</v>
      </c>
      <c r="F294" s="88">
        <f>G294+H294</f>
        <v>162000</v>
      </c>
      <c r="G294" s="88">
        <v>0</v>
      </c>
      <c r="H294" s="88">
        <f>3500+3500+155000</f>
        <v>162000</v>
      </c>
      <c r="I294" s="88">
        <v>100000</v>
      </c>
      <c r="J294" s="88">
        <v>21000</v>
      </c>
      <c r="K294" s="88">
        <v>3078733</v>
      </c>
      <c r="L294" s="88">
        <v>0</v>
      </c>
      <c r="M294" s="88">
        <f>N294+P294</f>
        <v>0</v>
      </c>
      <c r="N294" s="88">
        <v>0</v>
      </c>
      <c r="O294" s="88">
        <v>0</v>
      </c>
      <c r="P294" s="88">
        <v>0</v>
      </c>
      <c r="Q294" s="68"/>
      <c r="R294" s="68"/>
      <c r="S294" s="50"/>
      <c r="T294" s="50"/>
      <c r="U294" s="50"/>
    </row>
    <row r="295" spans="1:21" s="51" customFormat="1" ht="12.75">
      <c r="A295" s="761"/>
      <c r="B295" s="752"/>
      <c r="C295" s="74" t="s">
        <v>14</v>
      </c>
      <c r="D295" s="85">
        <f>E295+M295</f>
        <v>39117647</v>
      </c>
      <c r="E295" s="88">
        <f>F295+I295+J295+K295+L295</f>
        <v>39117647</v>
      </c>
      <c r="F295" s="88">
        <f>G295+H295</f>
        <v>0</v>
      </c>
      <c r="G295" s="88"/>
      <c r="H295" s="88"/>
      <c r="I295" s="88"/>
      <c r="J295" s="88"/>
      <c r="K295" s="88">
        <f>39117647</f>
        <v>39117647</v>
      </c>
      <c r="L295" s="88"/>
      <c r="M295" s="88">
        <f>N295+P295</f>
        <v>0</v>
      </c>
      <c r="N295" s="88"/>
      <c r="O295" s="88"/>
      <c r="P295" s="88"/>
      <c r="Q295" s="68"/>
      <c r="R295" s="68"/>
      <c r="S295" s="50"/>
      <c r="T295" s="50"/>
      <c r="U295" s="50"/>
    </row>
    <row r="296" spans="1:21" s="51" customFormat="1" ht="12.75">
      <c r="A296" s="762"/>
      <c r="B296" s="753"/>
      <c r="C296" s="74" t="s">
        <v>15</v>
      </c>
      <c r="D296" s="85">
        <f>D294+D295</f>
        <v>42479380</v>
      </c>
      <c r="E296" s="88">
        <f>E294+E295</f>
        <v>42479380</v>
      </c>
      <c r="F296" s="88">
        <f aca="true" t="shared" si="119" ref="F296:P296">F294+F295</f>
        <v>162000</v>
      </c>
      <c r="G296" s="88">
        <f t="shared" si="119"/>
        <v>0</v>
      </c>
      <c r="H296" s="88">
        <f t="shared" si="119"/>
        <v>162000</v>
      </c>
      <c r="I296" s="88">
        <f t="shared" si="119"/>
        <v>100000</v>
      </c>
      <c r="J296" s="88">
        <f t="shared" si="119"/>
        <v>21000</v>
      </c>
      <c r="K296" s="88">
        <f t="shared" si="119"/>
        <v>42196380</v>
      </c>
      <c r="L296" s="88">
        <f t="shared" si="119"/>
        <v>0</v>
      </c>
      <c r="M296" s="88">
        <f t="shared" si="119"/>
        <v>0</v>
      </c>
      <c r="N296" s="88">
        <f t="shared" si="119"/>
        <v>0</v>
      </c>
      <c r="O296" s="88">
        <f t="shared" si="119"/>
        <v>0</v>
      </c>
      <c r="P296" s="88">
        <f t="shared" si="119"/>
        <v>0</v>
      </c>
      <c r="Q296" s="68"/>
      <c r="R296" s="68"/>
      <c r="S296" s="50"/>
      <c r="T296" s="50"/>
      <c r="U296" s="50"/>
    </row>
    <row r="297" spans="1:21" s="35" customFormat="1" ht="14.25">
      <c r="A297" s="763">
        <v>854</v>
      </c>
      <c r="B297" s="757" t="s">
        <v>175</v>
      </c>
      <c r="C297" s="77" t="s">
        <v>13</v>
      </c>
      <c r="D297" s="89">
        <f aca="true" t="shared" si="120" ref="D297:P298">D300+D306+D309+D312+D318+D321+D303+D315</f>
        <v>62156689</v>
      </c>
      <c r="E297" s="83">
        <f t="shared" si="120"/>
        <v>33605479</v>
      </c>
      <c r="F297" s="83">
        <f t="shared" si="120"/>
        <v>26432852</v>
      </c>
      <c r="G297" s="83">
        <f t="shared" si="120"/>
        <v>22652858</v>
      </c>
      <c r="H297" s="83">
        <f t="shared" si="120"/>
        <v>3779994</v>
      </c>
      <c r="I297" s="83">
        <f t="shared" si="120"/>
        <v>219000</v>
      </c>
      <c r="J297" s="83">
        <f t="shared" si="120"/>
        <v>59393</v>
      </c>
      <c r="K297" s="83">
        <f t="shared" si="120"/>
        <v>6894234</v>
      </c>
      <c r="L297" s="83">
        <f t="shared" si="120"/>
        <v>0</v>
      </c>
      <c r="M297" s="83">
        <f t="shared" si="120"/>
        <v>28551210</v>
      </c>
      <c r="N297" s="83">
        <f t="shared" si="120"/>
        <v>28551210</v>
      </c>
      <c r="O297" s="83">
        <f t="shared" si="120"/>
        <v>14708980</v>
      </c>
      <c r="P297" s="83">
        <f t="shared" si="120"/>
        <v>0</v>
      </c>
      <c r="Q297" s="65"/>
      <c r="R297" s="65"/>
      <c r="S297" s="41"/>
      <c r="T297" s="41"/>
      <c r="U297" s="41"/>
    </row>
    <row r="298" spans="1:21" s="35" customFormat="1" ht="14.25">
      <c r="A298" s="764"/>
      <c r="B298" s="758"/>
      <c r="C298" s="77" t="s">
        <v>14</v>
      </c>
      <c r="D298" s="89">
        <f t="shared" si="120"/>
        <v>24905</v>
      </c>
      <c r="E298" s="83">
        <f t="shared" si="120"/>
        <v>-689633</v>
      </c>
      <c r="F298" s="83">
        <f t="shared" si="120"/>
        <v>0</v>
      </c>
      <c r="G298" s="83">
        <f t="shared" si="120"/>
        <v>0</v>
      </c>
      <c r="H298" s="83">
        <f t="shared" si="120"/>
        <v>0</v>
      </c>
      <c r="I298" s="83">
        <f t="shared" si="120"/>
        <v>0</v>
      </c>
      <c r="J298" s="83">
        <f t="shared" si="120"/>
        <v>0</v>
      </c>
      <c r="K298" s="83">
        <f t="shared" si="120"/>
        <v>-689633</v>
      </c>
      <c r="L298" s="83">
        <f t="shared" si="120"/>
        <v>0</v>
      </c>
      <c r="M298" s="83">
        <f t="shared" si="120"/>
        <v>714538</v>
      </c>
      <c r="N298" s="83">
        <f t="shared" si="120"/>
        <v>714538</v>
      </c>
      <c r="O298" s="83">
        <f t="shared" si="120"/>
        <v>2904534</v>
      </c>
      <c r="P298" s="83">
        <f t="shared" si="120"/>
        <v>0</v>
      </c>
      <c r="Q298" s="65"/>
      <c r="R298" s="65"/>
      <c r="S298" s="41"/>
      <c r="T298" s="41"/>
      <c r="U298" s="41"/>
    </row>
    <row r="299" spans="1:21" s="35" customFormat="1" ht="14.25">
      <c r="A299" s="765"/>
      <c r="B299" s="759"/>
      <c r="C299" s="77" t="s">
        <v>15</v>
      </c>
      <c r="D299" s="89">
        <f>D297+D298</f>
        <v>62181594</v>
      </c>
      <c r="E299" s="83">
        <f>E297+E298</f>
        <v>32915846</v>
      </c>
      <c r="F299" s="83">
        <f aca="true" t="shared" si="121" ref="F299:P299">F297+F298</f>
        <v>26432852</v>
      </c>
      <c r="G299" s="83">
        <f t="shared" si="121"/>
        <v>22652858</v>
      </c>
      <c r="H299" s="83">
        <f t="shared" si="121"/>
        <v>3779994</v>
      </c>
      <c r="I299" s="83">
        <f t="shared" si="121"/>
        <v>219000</v>
      </c>
      <c r="J299" s="83">
        <f t="shared" si="121"/>
        <v>59393</v>
      </c>
      <c r="K299" s="83">
        <f t="shared" si="121"/>
        <v>6204601</v>
      </c>
      <c r="L299" s="83">
        <f t="shared" si="121"/>
        <v>0</v>
      </c>
      <c r="M299" s="83">
        <f t="shared" si="121"/>
        <v>29265748</v>
      </c>
      <c r="N299" s="83">
        <f t="shared" si="121"/>
        <v>29265748</v>
      </c>
      <c r="O299" s="83">
        <f t="shared" si="121"/>
        <v>17613514</v>
      </c>
      <c r="P299" s="83">
        <f t="shared" si="121"/>
        <v>0</v>
      </c>
      <c r="Q299" s="65"/>
      <c r="R299" s="65"/>
      <c r="S299" s="41"/>
      <c r="T299" s="41"/>
      <c r="U299" s="41"/>
    </row>
    <row r="300" spans="1:21" s="51" customFormat="1" ht="12" customHeight="1">
      <c r="A300" s="760">
        <v>85403</v>
      </c>
      <c r="B300" s="751" t="s">
        <v>176</v>
      </c>
      <c r="C300" s="74" t="s">
        <v>13</v>
      </c>
      <c r="D300" s="85">
        <f>E300+M300</f>
        <v>48612124</v>
      </c>
      <c r="E300" s="88">
        <f>F300+I300+J300+K300+L300</f>
        <v>20060914</v>
      </c>
      <c r="F300" s="88">
        <f>G300+H300</f>
        <v>19025630</v>
      </c>
      <c r="G300" s="88">
        <v>16194582</v>
      </c>
      <c r="H300" s="88">
        <v>2831048</v>
      </c>
      <c r="I300" s="88">
        <v>0</v>
      </c>
      <c r="J300" s="88">
        <v>8500</v>
      </c>
      <c r="K300" s="88">
        <f>473158+83498+21777+3845+85078+15014+11816+2084+32415+5720+23553+4157+224969+39700</f>
        <v>1026784</v>
      </c>
      <c r="L300" s="88">
        <v>0</v>
      </c>
      <c r="M300" s="88">
        <f aca="true" t="shared" si="122" ref="M300:M322">N300+P300</f>
        <v>28551210</v>
      </c>
      <c r="N300" s="88">
        <v>28551210</v>
      </c>
      <c r="O300" s="88">
        <f>12502634+2206346</f>
        <v>14708980</v>
      </c>
      <c r="P300" s="88">
        <v>0</v>
      </c>
      <c r="Q300" s="68"/>
      <c r="R300" s="68"/>
      <c r="S300" s="50"/>
      <c r="T300" s="50"/>
      <c r="U300" s="50"/>
    </row>
    <row r="301" spans="1:21" s="51" customFormat="1" ht="12" customHeight="1">
      <c r="A301" s="761"/>
      <c r="B301" s="752"/>
      <c r="C301" s="74" t="s">
        <v>14</v>
      </c>
      <c r="D301" s="85">
        <f>E301+M301</f>
        <v>602055</v>
      </c>
      <c r="E301" s="88">
        <f>F301+I301+J301+K301+L301</f>
        <v>-112483</v>
      </c>
      <c r="F301" s="88">
        <f>G301+H301</f>
        <v>0</v>
      </c>
      <c r="G301" s="88"/>
      <c r="H301" s="88"/>
      <c r="I301" s="88"/>
      <c r="J301" s="88"/>
      <c r="K301" s="88">
        <f>-89691+33502-15579+5663-2347+732-563+8370-2054+159-54169+3494</f>
        <v>-112483</v>
      </c>
      <c r="L301" s="88"/>
      <c r="M301" s="88">
        <f t="shared" si="122"/>
        <v>714538</v>
      </c>
      <c r="N301" s="88">
        <f>-2189996+838675+2065859</f>
        <v>714538</v>
      </c>
      <c r="O301" s="88">
        <f>838675+2065859</f>
        <v>2904534</v>
      </c>
      <c r="P301" s="88"/>
      <c r="Q301" s="68"/>
      <c r="R301" s="68"/>
      <c r="S301" s="50"/>
      <c r="T301" s="50"/>
      <c r="U301" s="50"/>
    </row>
    <row r="302" spans="1:21" s="51" customFormat="1" ht="12" customHeight="1">
      <c r="A302" s="762"/>
      <c r="B302" s="753"/>
      <c r="C302" s="74" t="s">
        <v>15</v>
      </c>
      <c r="D302" s="85">
        <f>D300+D301</f>
        <v>49214179</v>
      </c>
      <c r="E302" s="88">
        <f>E300+E301</f>
        <v>19948431</v>
      </c>
      <c r="F302" s="88">
        <f aca="true" t="shared" si="123" ref="F302:P302">F300+F301</f>
        <v>19025630</v>
      </c>
      <c r="G302" s="88">
        <f t="shared" si="123"/>
        <v>16194582</v>
      </c>
      <c r="H302" s="88">
        <f t="shared" si="123"/>
        <v>2831048</v>
      </c>
      <c r="I302" s="88">
        <f t="shared" si="123"/>
        <v>0</v>
      </c>
      <c r="J302" s="88">
        <f t="shared" si="123"/>
        <v>8500</v>
      </c>
      <c r="K302" s="88">
        <f t="shared" si="123"/>
        <v>914301</v>
      </c>
      <c r="L302" s="88">
        <f t="shared" si="123"/>
        <v>0</v>
      </c>
      <c r="M302" s="88">
        <f t="shared" si="123"/>
        <v>29265748</v>
      </c>
      <c r="N302" s="88">
        <f t="shared" si="123"/>
        <v>29265748</v>
      </c>
      <c r="O302" s="88">
        <f t="shared" si="123"/>
        <v>17613514</v>
      </c>
      <c r="P302" s="88">
        <f t="shared" si="123"/>
        <v>0</v>
      </c>
      <c r="Q302" s="68"/>
      <c r="R302" s="68"/>
      <c r="S302" s="50"/>
      <c r="T302" s="50"/>
      <c r="U302" s="50"/>
    </row>
    <row r="303" spans="1:21" s="51" customFormat="1" ht="12.75" hidden="1">
      <c r="A303" s="760">
        <v>85404</v>
      </c>
      <c r="B303" s="751" t="s">
        <v>177</v>
      </c>
      <c r="C303" s="74" t="s">
        <v>13</v>
      </c>
      <c r="D303" s="85">
        <f>E303+M303</f>
        <v>1404716</v>
      </c>
      <c r="E303" s="88">
        <f>F303+I303+J303+K303+L303</f>
        <v>1404716</v>
      </c>
      <c r="F303" s="88">
        <f>G303+H303</f>
        <v>1404716</v>
      </c>
      <c r="G303" s="88">
        <v>1299854</v>
      </c>
      <c r="H303" s="88">
        <v>104862</v>
      </c>
      <c r="I303" s="88">
        <v>0</v>
      </c>
      <c r="J303" s="88">
        <v>0</v>
      </c>
      <c r="K303" s="88">
        <v>0</v>
      </c>
      <c r="L303" s="88">
        <v>0</v>
      </c>
      <c r="M303" s="88">
        <f t="shared" si="122"/>
        <v>0</v>
      </c>
      <c r="N303" s="88">
        <v>0</v>
      </c>
      <c r="O303" s="88">
        <v>0</v>
      </c>
      <c r="P303" s="88">
        <v>0</v>
      </c>
      <c r="Q303" s="68"/>
      <c r="R303" s="68"/>
      <c r="S303" s="50"/>
      <c r="T303" s="50"/>
      <c r="U303" s="50"/>
    </row>
    <row r="304" spans="1:21" s="51" customFormat="1" ht="12.75" hidden="1">
      <c r="A304" s="761"/>
      <c r="B304" s="752"/>
      <c r="C304" s="74" t="s">
        <v>14</v>
      </c>
      <c r="D304" s="85">
        <f>E304+M304</f>
        <v>0</v>
      </c>
      <c r="E304" s="88">
        <f>F304+I304+J304+K304+L304</f>
        <v>0</v>
      </c>
      <c r="F304" s="88">
        <f>G304+H304</f>
        <v>0</v>
      </c>
      <c r="G304" s="88"/>
      <c r="H304" s="88"/>
      <c r="I304" s="88"/>
      <c r="J304" s="88"/>
      <c r="K304" s="88"/>
      <c r="L304" s="88"/>
      <c r="M304" s="88">
        <f t="shared" si="122"/>
        <v>0</v>
      </c>
      <c r="N304" s="88"/>
      <c r="O304" s="88"/>
      <c r="P304" s="88"/>
      <c r="Q304" s="68"/>
      <c r="R304" s="68"/>
      <c r="S304" s="50"/>
      <c r="T304" s="50"/>
      <c r="U304" s="50"/>
    </row>
    <row r="305" spans="1:21" s="51" customFormat="1" ht="12.75" hidden="1">
      <c r="A305" s="762"/>
      <c r="B305" s="753"/>
      <c r="C305" s="74" t="s">
        <v>15</v>
      </c>
      <c r="D305" s="85">
        <f>D303+D304</f>
        <v>1404716</v>
      </c>
      <c r="E305" s="88">
        <f>E303+E304</f>
        <v>1404716</v>
      </c>
      <c r="F305" s="88">
        <f aca="true" t="shared" si="124" ref="F305:P305">F303+F304</f>
        <v>1404716</v>
      </c>
      <c r="G305" s="88">
        <f t="shared" si="124"/>
        <v>1299854</v>
      </c>
      <c r="H305" s="88">
        <f t="shared" si="124"/>
        <v>104862</v>
      </c>
      <c r="I305" s="88">
        <f t="shared" si="124"/>
        <v>0</v>
      </c>
      <c r="J305" s="88">
        <f t="shared" si="124"/>
        <v>0</v>
      </c>
      <c r="K305" s="88">
        <f t="shared" si="124"/>
        <v>0</v>
      </c>
      <c r="L305" s="88">
        <f t="shared" si="124"/>
        <v>0</v>
      </c>
      <c r="M305" s="88">
        <f t="shared" si="124"/>
        <v>0</v>
      </c>
      <c r="N305" s="88">
        <f t="shared" si="124"/>
        <v>0</v>
      </c>
      <c r="O305" s="88">
        <f t="shared" si="124"/>
        <v>0</v>
      </c>
      <c r="P305" s="88">
        <f t="shared" si="124"/>
        <v>0</v>
      </c>
      <c r="Q305" s="68"/>
      <c r="R305" s="68"/>
      <c r="S305" s="50"/>
      <c r="T305" s="50"/>
      <c r="U305" s="50"/>
    </row>
    <row r="306" spans="1:21" s="51" customFormat="1" ht="12.75" hidden="1">
      <c r="A306" s="760">
        <v>85407</v>
      </c>
      <c r="B306" s="751" t="s">
        <v>178</v>
      </c>
      <c r="C306" s="74" t="s">
        <v>13</v>
      </c>
      <c r="D306" s="85">
        <f>E306+M306</f>
        <v>4056505</v>
      </c>
      <c r="E306" s="88">
        <f>F306+I306+J306+K306+L306</f>
        <v>4056505</v>
      </c>
      <c r="F306" s="88">
        <f>G306+H306</f>
        <v>4048112</v>
      </c>
      <c r="G306" s="88">
        <v>3893757</v>
      </c>
      <c r="H306" s="88">
        <v>154355</v>
      </c>
      <c r="I306" s="88">
        <v>0</v>
      </c>
      <c r="J306" s="88">
        <v>8393</v>
      </c>
      <c r="K306" s="88">
        <v>0</v>
      </c>
      <c r="L306" s="88">
        <v>0</v>
      </c>
      <c r="M306" s="88">
        <f t="shared" si="122"/>
        <v>0</v>
      </c>
      <c r="N306" s="88">
        <v>0</v>
      </c>
      <c r="O306" s="88">
        <v>0</v>
      </c>
      <c r="P306" s="88">
        <v>0</v>
      </c>
      <c r="Q306" s="68"/>
      <c r="R306" s="68"/>
      <c r="S306" s="50"/>
      <c r="T306" s="50"/>
      <c r="U306" s="50"/>
    </row>
    <row r="307" spans="1:21" s="51" customFormat="1" ht="12.75" hidden="1">
      <c r="A307" s="761"/>
      <c r="B307" s="752"/>
      <c r="C307" s="74" t="s">
        <v>14</v>
      </c>
      <c r="D307" s="85">
        <f>E307+M307</f>
        <v>0</v>
      </c>
      <c r="E307" s="88">
        <f>F307+I307+J307+K307+L307</f>
        <v>0</v>
      </c>
      <c r="F307" s="88">
        <f>G307+H307</f>
        <v>0</v>
      </c>
      <c r="G307" s="88"/>
      <c r="H307" s="88"/>
      <c r="I307" s="88"/>
      <c r="J307" s="88"/>
      <c r="K307" s="88"/>
      <c r="L307" s="88"/>
      <c r="M307" s="88">
        <f t="shared" si="122"/>
        <v>0</v>
      </c>
      <c r="N307" s="88"/>
      <c r="O307" s="88"/>
      <c r="P307" s="88"/>
      <c r="Q307" s="68"/>
      <c r="R307" s="68"/>
      <c r="S307" s="50"/>
      <c r="T307" s="50"/>
      <c r="U307" s="50"/>
    </row>
    <row r="308" spans="1:21" s="51" customFormat="1" ht="12.75" hidden="1">
      <c r="A308" s="762"/>
      <c r="B308" s="753"/>
      <c r="C308" s="74" t="s">
        <v>15</v>
      </c>
      <c r="D308" s="85">
        <f>D306+D307</f>
        <v>4056505</v>
      </c>
      <c r="E308" s="88">
        <f>E306+E307</f>
        <v>4056505</v>
      </c>
      <c r="F308" s="88">
        <f aca="true" t="shared" si="125" ref="F308:P308">F306+F307</f>
        <v>4048112</v>
      </c>
      <c r="G308" s="88">
        <f t="shared" si="125"/>
        <v>3893757</v>
      </c>
      <c r="H308" s="88">
        <f t="shared" si="125"/>
        <v>154355</v>
      </c>
      <c r="I308" s="88">
        <f t="shared" si="125"/>
        <v>0</v>
      </c>
      <c r="J308" s="88">
        <f t="shared" si="125"/>
        <v>8393</v>
      </c>
      <c r="K308" s="88">
        <f t="shared" si="125"/>
        <v>0</v>
      </c>
      <c r="L308" s="88">
        <f t="shared" si="125"/>
        <v>0</v>
      </c>
      <c r="M308" s="88">
        <f t="shared" si="125"/>
        <v>0</v>
      </c>
      <c r="N308" s="88">
        <f t="shared" si="125"/>
        <v>0</v>
      </c>
      <c r="O308" s="88">
        <f t="shared" si="125"/>
        <v>0</v>
      </c>
      <c r="P308" s="88">
        <f t="shared" si="125"/>
        <v>0</v>
      </c>
      <c r="Q308" s="68"/>
      <c r="R308" s="68"/>
      <c r="S308" s="50"/>
      <c r="T308" s="50"/>
      <c r="U308" s="50"/>
    </row>
    <row r="309" spans="1:21" s="51" customFormat="1" ht="12.75" hidden="1">
      <c r="A309" s="760">
        <v>85410</v>
      </c>
      <c r="B309" s="751" t="s">
        <v>179</v>
      </c>
      <c r="C309" s="74" t="s">
        <v>13</v>
      </c>
      <c r="D309" s="85">
        <f>E309+M309</f>
        <v>1551067</v>
      </c>
      <c r="E309" s="88">
        <f>F309+I309+J309+K309+L309</f>
        <v>1551067</v>
      </c>
      <c r="F309" s="88">
        <f>G309+H309</f>
        <v>1548567</v>
      </c>
      <c r="G309" s="88">
        <v>1264665</v>
      </c>
      <c r="H309" s="88">
        <v>283902</v>
      </c>
      <c r="I309" s="88">
        <v>0</v>
      </c>
      <c r="J309" s="88">
        <v>2500</v>
      </c>
      <c r="K309" s="88">
        <v>0</v>
      </c>
      <c r="L309" s="88">
        <v>0</v>
      </c>
      <c r="M309" s="88">
        <f t="shared" si="122"/>
        <v>0</v>
      </c>
      <c r="N309" s="88">
        <v>0</v>
      </c>
      <c r="O309" s="88">
        <v>0</v>
      </c>
      <c r="P309" s="88">
        <v>0</v>
      </c>
      <c r="Q309" s="68"/>
      <c r="R309" s="68"/>
      <c r="S309" s="50"/>
      <c r="T309" s="50"/>
      <c r="U309" s="50"/>
    </row>
    <row r="310" spans="1:21" s="51" customFormat="1" ht="12.75" hidden="1">
      <c r="A310" s="761"/>
      <c r="B310" s="752"/>
      <c r="C310" s="74" t="s">
        <v>14</v>
      </c>
      <c r="D310" s="85">
        <f>E310+M310</f>
        <v>0</v>
      </c>
      <c r="E310" s="88">
        <f>F310+I310+J310+K310+L310</f>
        <v>0</v>
      </c>
      <c r="F310" s="88">
        <f>G310+H310</f>
        <v>0</v>
      </c>
      <c r="G310" s="88"/>
      <c r="H310" s="88"/>
      <c r="I310" s="88"/>
      <c r="J310" s="88"/>
      <c r="K310" s="88"/>
      <c r="L310" s="88"/>
      <c r="M310" s="88">
        <f t="shared" si="122"/>
        <v>0</v>
      </c>
      <c r="N310" s="88"/>
      <c r="O310" s="88"/>
      <c r="P310" s="88"/>
      <c r="Q310" s="68"/>
      <c r="R310" s="68"/>
      <c r="S310" s="50"/>
      <c r="T310" s="50"/>
      <c r="U310" s="50"/>
    </row>
    <row r="311" spans="1:21" s="51" customFormat="1" ht="12.75" hidden="1">
      <c r="A311" s="762"/>
      <c r="B311" s="753"/>
      <c r="C311" s="74" t="s">
        <v>15</v>
      </c>
      <c r="D311" s="85">
        <f>D309+D310</f>
        <v>1551067</v>
      </c>
      <c r="E311" s="88">
        <f>E309+E310</f>
        <v>1551067</v>
      </c>
      <c r="F311" s="88">
        <f aca="true" t="shared" si="126" ref="F311:P311">F309+F310</f>
        <v>1548567</v>
      </c>
      <c r="G311" s="88">
        <f t="shared" si="126"/>
        <v>1264665</v>
      </c>
      <c r="H311" s="88">
        <f t="shared" si="126"/>
        <v>283902</v>
      </c>
      <c r="I311" s="88">
        <f t="shared" si="126"/>
        <v>0</v>
      </c>
      <c r="J311" s="88">
        <f t="shared" si="126"/>
        <v>2500</v>
      </c>
      <c r="K311" s="88">
        <f t="shared" si="126"/>
        <v>0</v>
      </c>
      <c r="L311" s="88">
        <f t="shared" si="126"/>
        <v>0</v>
      </c>
      <c r="M311" s="88">
        <f t="shared" si="126"/>
        <v>0</v>
      </c>
      <c r="N311" s="88">
        <f t="shared" si="126"/>
        <v>0</v>
      </c>
      <c r="O311" s="88">
        <f t="shared" si="126"/>
        <v>0</v>
      </c>
      <c r="P311" s="88">
        <f t="shared" si="126"/>
        <v>0</v>
      </c>
      <c r="Q311" s="68"/>
      <c r="R311" s="68"/>
      <c r="S311" s="50"/>
      <c r="T311" s="50"/>
      <c r="U311" s="50"/>
    </row>
    <row r="312" spans="1:21" s="33" customFormat="1" ht="12.75" hidden="1">
      <c r="A312" s="760">
        <v>85415</v>
      </c>
      <c r="B312" s="751" t="s">
        <v>200</v>
      </c>
      <c r="C312" s="74" t="s">
        <v>13</v>
      </c>
      <c r="D312" s="85">
        <f>E312+M312</f>
        <v>219000</v>
      </c>
      <c r="E312" s="88">
        <f>F312+I312+J312+K312+L312</f>
        <v>219000</v>
      </c>
      <c r="F312" s="88">
        <f>G312+H312</f>
        <v>0</v>
      </c>
      <c r="G312" s="88">
        <v>0</v>
      </c>
      <c r="H312" s="88">
        <v>0</v>
      </c>
      <c r="I312" s="88">
        <v>219000</v>
      </c>
      <c r="J312" s="88">
        <v>0</v>
      </c>
      <c r="K312" s="88">
        <v>0</v>
      </c>
      <c r="L312" s="88">
        <v>0</v>
      </c>
      <c r="M312" s="88">
        <f t="shared" si="122"/>
        <v>0</v>
      </c>
      <c r="N312" s="88">
        <v>0</v>
      </c>
      <c r="O312" s="88">
        <v>0</v>
      </c>
      <c r="P312" s="88">
        <v>0</v>
      </c>
      <c r="Q312" s="52"/>
      <c r="R312" s="52"/>
      <c r="S312" s="39"/>
      <c r="T312" s="39"/>
      <c r="U312" s="39"/>
    </row>
    <row r="313" spans="1:21" s="33" customFormat="1" ht="12.75" hidden="1">
      <c r="A313" s="761"/>
      <c r="B313" s="752"/>
      <c r="C313" s="74" t="s">
        <v>14</v>
      </c>
      <c r="D313" s="85">
        <f>E313+M313</f>
        <v>0</v>
      </c>
      <c r="E313" s="88">
        <f>F313+I313+J313+K313+L313</f>
        <v>0</v>
      </c>
      <c r="F313" s="88">
        <f>G313+H313</f>
        <v>0</v>
      </c>
      <c r="G313" s="88"/>
      <c r="H313" s="88"/>
      <c r="I313" s="88"/>
      <c r="J313" s="88"/>
      <c r="K313" s="88"/>
      <c r="L313" s="88"/>
      <c r="M313" s="88">
        <f t="shared" si="122"/>
        <v>0</v>
      </c>
      <c r="N313" s="88"/>
      <c r="O313" s="88"/>
      <c r="P313" s="88"/>
      <c r="Q313" s="52"/>
      <c r="R313" s="52"/>
      <c r="S313" s="39"/>
      <c r="T313" s="39"/>
      <c r="U313" s="39"/>
    </row>
    <row r="314" spans="1:21" s="33" customFormat="1" ht="12.75" hidden="1">
      <c r="A314" s="762"/>
      <c r="B314" s="753"/>
      <c r="C314" s="74" t="s">
        <v>15</v>
      </c>
      <c r="D314" s="85">
        <f>D312+D313</f>
        <v>219000</v>
      </c>
      <c r="E314" s="88">
        <f>E312+E313</f>
        <v>219000</v>
      </c>
      <c r="F314" s="88">
        <f aca="true" t="shared" si="127" ref="F314:P314">F312+F313</f>
        <v>0</v>
      </c>
      <c r="G314" s="88">
        <f t="shared" si="127"/>
        <v>0</v>
      </c>
      <c r="H314" s="88">
        <f t="shared" si="127"/>
        <v>0</v>
      </c>
      <c r="I314" s="88">
        <f t="shared" si="127"/>
        <v>219000</v>
      </c>
      <c r="J314" s="88">
        <f t="shared" si="127"/>
        <v>0</v>
      </c>
      <c r="K314" s="88">
        <f t="shared" si="127"/>
        <v>0</v>
      </c>
      <c r="L314" s="88">
        <f t="shared" si="127"/>
        <v>0</v>
      </c>
      <c r="M314" s="88">
        <f t="shared" si="127"/>
        <v>0</v>
      </c>
      <c r="N314" s="88">
        <f t="shared" si="127"/>
        <v>0</v>
      </c>
      <c r="O314" s="88">
        <f t="shared" si="127"/>
        <v>0</v>
      </c>
      <c r="P314" s="88">
        <f t="shared" si="127"/>
        <v>0</v>
      </c>
      <c r="Q314" s="52"/>
      <c r="R314" s="52"/>
      <c r="S314" s="39"/>
      <c r="T314" s="39"/>
      <c r="U314" s="39"/>
    </row>
    <row r="315" spans="1:21" s="33" customFormat="1" ht="12" customHeight="1">
      <c r="A315" s="760">
        <v>85416</v>
      </c>
      <c r="B315" s="766" t="s">
        <v>180</v>
      </c>
      <c r="C315" s="74" t="s">
        <v>13</v>
      </c>
      <c r="D315" s="85">
        <f>E315+M315</f>
        <v>5867450</v>
      </c>
      <c r="E315" s="88">
        <f>F315+I315+J315+K315+L315</f>
        <v>5867450</v>
      </c>
      <c r="F315" s="88">
        <f>G315+H315</f>
        <v>0</v>
      </c>
      <c r="G315" s="88">
        <v>0</v>
      </c>
      <c r="H315" s="88">
        <v>0</v>
      </c>
      <c r="I315" s="88">
        <v>0</v>
      </c>
      <c r="J315" s="88">
        <v>0</v>
      </c>
      <c r="K315" s="88">
        <v>5867450</v>
      </c>
      <c r="L315" s="88">
        <v>0</v>
      </c>
      <c r="M315" s="88">
        <f t="shared" si="122"/>
        <v>0</v>
      </c>
      <c r="N315" s="88">
        <v>0</v>
      </c>
      <c r="O315" s="88">
        <v>0</v>
      </c>
      <c r="P315" s="88">
        <v>0</v>
      </c>
      <c r="Q315" s="52"/>
      <c r="R315" s="52"/>
      <c r="S315" s="39"/>
      <c r="T315" s="39"/>
      <c r="U315" s="39"/>
    </row>
    <row r="316" spans="1:21" s="33" customFormat="1" ht="12" customHeight="1">
      <c r="A316" s="761"/>
      <c r="B316" s="767"/>
      <c r="C316" s="74" t="s">
        <v>14</v>
      </c>
      <c r="D316" s="85">
        <f>E316+M316</f>
        <v>-577150</v>
      </c>
      <c r="E316" s="88">
        <f>F316+I316+J316+K316+L316</f>
        <v>-577150</v>
      </c>
      <c r="F316" s="88">
        <f>G316+H316</f>
        <v>0</v>
      </c>
      <c r="G316" s="88"/>
      <c r="H316" s="88"/>
      <c r="I316" s="88"/>
      <c r="J316" s="88"/>
      <c r="K316" s="88">
        <v>-577150</v>
      </c>
      <c r="L316" s="88"/>
      <c r="M316" s="88">
        <f t="shared" si="122"/>
        <v>0</v>
      </c>
      <c r="N316" s="88"/>
      <c r="O316" s="88"/>
      <c r="P316" s="88"/>
      <c r="Q316" s="52"/>
      <c r="R316" s="52"/>
      <c r="S316" s="39"/>
      <c r="T316" s="39"/>
      <c r="U316" s="39"/>
    </row>
    <row r="317" spans="1:21" s="33" customFormat="1" ht="12" customHeight="1">
      <c r="A317" s="762"/>
      <c r="B317" s="768"/>
      <c r="C317" s="74" t="s">
        <v>15</v>
      </c>
      <c r="D317" s="85">
        <f>D315+D316</f>
        <v>5290300</v>
      </c>
      <c r="E317" s="88">
        <f>E315+E316</f>
        <v>5290300</v>
      </c>
      <c r="F317" s="88">
        <f aca="true" t="shared" si="128" ref="F317:P317">F315+F316</f>
        <v>0</v>
      </c>
      <c r="G317" s="88">
        <f t="shared" si="128"/>
        <v>0</v>
      </c>
      <c r="H317" s="88">
        <f t="shared" si="128"/>
        <v>0</v>
      </c>
      <c r="I317" s="88">
        <f t="shared" si="128"/>
        <v>0</v>
      </c>
      <c r="J317" s="88">
        <f t="shared" si="128"/>
        <v>0</v>
      </c>
      <c r="K317" s="88">
        <f t="shared" si="128"/>
        <v>5290300</v>
      </c>
      <c r="L317" s="88">
        <f t="shared" si="128"/>
        <v>0</v>
      </c>
      <c r="M317" s="88">
        <f t="shared" si="128"/>
        <v>0</v>
      </c>
      <c r="N317" s="88">
        <f t="shared" si="128"/>
        <v>0</v>
      </c>
      <c r="O317" s="88">
        <f t="shared" si="128"/>
        <v>0</v>
      </c>
      <c r="P317" s="88">
        <f t="shared" si="128"/>
        <v>0</v>
      </c>
      <c r="Q317" s="52"/>
      <c r="R317" s="52"/>
      <c r="S317" s="39"/>
      <c r="T317" s="39"/>
      <c r="U317" s="39"/>
    </row>
    <row r="318" spans="1:21" s="51" customFormat="1" ht="12.75" hidden="1">
      <c r="A318" s="760">
        <v>85446</v>
      </c>
      <c r="B318" s="766" t="s">
        <v>157</v>
      </c>
      <c r="C318" s="74" t="s">
        <v>13</v>
      </c>
      <c r="D318" s="85">
        <f>E318+M318</f>
        <v>91170</v>
      </c>
      <c r="E318" s="88">
        <f>F318+I318+J318+K318+L318</f>
        <v>91170</v>
      </c>
      <c r="F318" s="88">
        <f>G318+H318</f>
        <v>91170</v>
      </c>
      <c r="G318" s="88">
        <v>0</v>
      </c>
      <c r="H318" s="88">
        <v>91170</v>
      </c>
      <c r="I318" s="88">
        <v>0</v>
      </c>
      <c r="J318" s="88">
        <v>0</v>
      </c>
      <c r="K318" s="88">
        <v>0</v>
      </c>
      <c r="L318" s="88">
        <v>0</v>
      </c>
      <c r="M318" s="88">
        <f t="shared" si="122"/>
        <v>0</v>
      </c>
      <c r="N318" s="88">
        <v>0</v>
      </c>
      <c r="O318" s="88">
        <v>0</v>
      </c>
      <c r="P318" s="88">
        <v>0</v>
      </c>
      <c r="Q318" s="68"/>
      <c r="R318" s="68"/>
      <c r="S318" s="50"/>
      <c r="T318" s="50"/>
      <c r="U318" s="50"/>
    </row>
    <row r="319" spans="1:21" s="51" customFormat="1" ht="12.75" hidden="1">
      <c r="A319" s="761"/>
      <c r="B319" s="767"/>
      <c r="C319" s="74" t="s">
        <v>14</v>
      </c>
      <c r="D319" s="85">
        <f>E319+M319</f>
        <v>0</v>
      </c>
      <c r="E319" s="88">
        <f>F319+I319+J319+K319+L319</f>
        <v>0</v>
      </c>
      <c r="F319" s="88">
        <f>G319+H319</f>
        <v>0</v>
      </c>
      <c r="G319" s="88"/>
      <c r="H319" s="88"/>
      <c r="I319" s="88"/>
      <c r="J319" s="88"/>
      <c r="K319" s="88"/>
      <c r="L319" s="88"/>
      <c r="M319" s="88">
        <f t="shared" si="122"/>
        <v>0</v>
      </c>
      <c r="N319" s="88"/>
      <c r="O319" s="88"/>
      <c r="P319" s="88"/>
      <c r="Q319" s="68"/>
      <c r="R319" s="68"/>
      <c r="S319" s="50"/>
      <c r="T319" s="50"/>
      <c r="U319" s="50"/>
    </row>
    <row r="320" spans="1:21" s="51" customFormat="1" ht="12.75" hidden="1">
      <c r="A320" s="762"/>
      <c r="B320" s="768"/>
      <c r="C320" s="74" t="s">
        <v>15</v>
      </c>
      <c r="D320" s="85">
        <f>D318+D319</f>
        <v>91170</v>
      </c>
      <c r="E320" s="88">
        <f aca="true" t="shared" si="129" ref="E320:P320">E318+E319</f>
        <v>91170</v>
      </c>
      <c r="F320" s="88">
        <f t="shared" si="129"/>
        <v>91170</v>
      </c>
      <c r="G320" s="88">
        <f t="shared" si="129"/>
        <v>0</v>
      </c>
      <c r="H320" s="88">
        <f t="shared" si="129"/>
        <v>91170</v>
      </c>
      <c r="I320" s="88">
        <f t="shared" si="129"/>
        <v>0</v>
      </c>
      <c r="J320" s="88">
        <f t="shared" si="129"/>
        <v>0</v>
      </c>
      <c r="K320" s="88">
        <f t="shared" si="129"/>
        <v>0</v>
      </c>
      <c r="L320" s="88">
        <f t="shared" si="129"/>
        <v>0</v>
      </c>
      <c r="M320" s="88">
        <f t="shared" si="129"/>
        <v>0</v>
      </c>
      <c r="N320" s="88">
        <f t="shared" si="129"/>
        <v>0</v>
      </c>
      <c r="O320" s="88">
        <f t="shared" si="129"/>
        <v>0</v>
      </c>
      <c r="P320" s="88">
        <f t="shared" si="129"/>
        <v>0</v>
      </c>
      <c r="Q320" s="68"/>
      <c r="R320" s="68"/>
      <c r="S320" s="50"/>
      <c r="T320" s="50"/>
      <c r="U320" s="50"/>
    </row>
    <row r="321" spans="1:21" s="51" customFormat="1" ht="12.75" hidden="1">
      <c r="A321" s="760">
        <v>85495</v>
      </c>
      <c r="B321" s="751" t="s">
        <v>52</v>
      </c>
      <c r="C321" s="74" t="s">
        <v>13</v>
      </c>
      <c r="D321" s="85">
        <f>E321+M321</f>
        <v>354657</v>
      </c>
      <c r="E321" s="88">
        <f>F321+I321+J321+K321+L321</f>
        <v>354657</v>
      </c>
      <c r="F321" s="88">
        <f>G321+H321</f>
        <v>314657</v>
      </c>
      <c r="G321" s="88">
        <v>0</v>
      </c>
      <c r="H321" s="88">
        <v>314657</v>
      </c>
      <c r="I321" s="88">
        <v>0</v>
      </c>
      <c r="J321" s="88">
        <v>40000</v>
      </c>
      <c r="K321" s="88">
        <v>0</v>
      </c>
      <c r="L321" s="88">
        <v>0</v>
      </c>
      <c r="M321" s="88">
        <f t="shared" si="122"/>
        <v>0</v>
      </c>
      <c r="N321" s="88">
        <v>0</v>
      </c>
      <c r="O321" s="88">
        <v>0</v>
      </c>
      <c r="P321" s="88">
        <v>0</v>
      </c>
      <c r="Q321" s="68"/>
      <c r="R321" s="68"/>
      <c r="S321" s="50"/>
      <c r="T321" s="50"/>
      <c r="U321" s="50"/>
    </row>
    <row r="322" spans="1:21" s="51" customFormat="1" ht="12.75" hidden="1">
      <c r="A322" s="761"/>
      <c r="B322" s="752"/>
      <c r="C322" s="74" t="s">
        <v>14</v>
      </c>
      <c r="D322" s="85">
        <f>E322+M322</f>
        <v>0</v>
      </c>
      <c r="E322" s="88">
        <f>F322+I322+J322+K322+L322</f>
        <v>0</v>
      </c>
      <c r="F322" s="88">
        <f>G322+H322</f>
        <v>0</v>
      </c>
      <c r="G322" s="88"/>
      <c r="H322" s="88"/>
      <c r="I322" s="88"/>
      <c r="J322" s="88"/>
      <c r="K322" s="88"/>
      <c r="L322" s="88"/>
      <c r="M322" s="88">
        <f t="shared" si="122"/>
        <v>0</v>
      </c>
      <c r="N322" s="88"/>
      <c r="O322" s="88"/>
      <c r="P322" s="88"/>
      <c r="Q322" s="68"/>
      <c r="R322" s="68"/>
      <c r="S322" s="50"/>
      <c r="T322" s="50"/>
      <c r="U322" s="50"/>
    </row>
    <row r="323" spans="1:21" s="51" customFormat="1" ht="12.75" hidden="1">
      <c r="A323" s="762"/>
      <c r="B323" s="753"/>
      <c r="C323" s="74" t="s">
        <v>15</v>
      </c>
      <c r="D323" s="85">
        <f>D321+D322</f>
        <v>354657</v>
      </c>
      <c r="E323" s="88">
        <f aca="true" t="shared" si="130" ref="E323:P323">E321+E322</f>
        <v>354657</v>
      </c>
      <c r="F323" s="88">
        <f t="shared" si="130"/>
        <v>314657</v>
      </c>
      <c r="G323" s="88">
        <f t="shared" si="130"/>
        <v>0</v>
      </c>
      <c r="H323" s="88">
        <f t="shared" si="130"/>
        <v>314657</v>
      </c>
      <c r="I323" s="88">
        <f t="shared" si="130"/>
        <v>0</v>
      </c>
      <c r="J323" s="88">
        <f t="shared" si="130"/>
        <v>40000</v>
      </c>
      <c r="K323" s="88">
        <f t="shared" si="130"/>
        <v>0</v>
      </c>
      <c r="L323" s="88">
        <f t="shared" si="130"/>
        <v>0</v>
      </c>
      <c r="M323" s="88">
        <f t="shared" si="130"/>
        <v>0</v>
      </c>
      <c r="N323" s="88">
        <f t="shared" si="130"/>
        <v>0</v>
      </c>
      <c r="O323" s="88">
        <f t="shared" si="130"/>
        <v>0</v>
      </c>
      <c r="P323" s="88">
        <f t="shared" si="130"/>
        <v>0</v>
      </c>
      <c r="Q323" s="68"/>
      <c r="R323" s="68"/>
      <c r="S323" s="50"/>
      <c r="T323" s="50"/>
      <c r="U323" s="50"/>
    </row>
    <row r="324" spans="1:21" s="35" customFormat="1" ht="14.25">
      <c r="A324" s="763">
        <v>855</v>
      </c>
      <c r="B324" s="757" t="s">
        <v>63</v>
      </c>
      <c r="C324" s="77" t="s">
        <v>13</v>
      </c>
      <c r="D324" s="89">
        <f aca="true" t="shared" si="131" ref="D324:P325">D327+D330</f>
        <v>6078936</v>
      </c>
      <c r="E324" s="83">
        <f t="shared" si="131"/>
        <v>6078936</v>
      </c>
      <c r="F324" s="83">
        <f t="shared" si="131"/>
        <v>1597000</v>
      </c>
      <c r="G324" s="83">
        <f t="shared" si="131"/>
        <v>1266775</v>
      </c>
      <c r="H324" s="83">
        <f t="shared" si="131"/>
        <v>330225</v>
      </c>
      <c r="I324" s="83">
        <f t="shared" si="131"/>
        <v>1480000</v>
      </c>
      <c r="J324" s="83">
        <f t="shared" si="131"/>
        <v>1000</v>
      </c>
      <c r="K324" s="83">
        <f t="shared" si="131"/>
        <v>3000936</v>
      </c>
      <c r="L324" s="83">
        <f t="shared" si="131"/>
        <v>0</v>
      </c>
      <c r="M324" s="83">
        <f t="shared" si="131"/>
        <v>0</v>
      </c>
      <c r="N324" s="83">
        <f t="shared" si="131"/>
        <v>0</v>
      </c>
      <c r="O324" s="83">
        <f t="shared" si="131"/>
        <v>0</v>
      </c>
      <c r="P324" s="83">
        <f t="shared" si="131"/>
        <v>0</v>
      </c>
      <c r="Q324" s="65"/>
      <c r="R324" s="65"/>
      <c r="S324" s="41"/>
      <c r="T324" s="41"/>
      <c r="U324" s="41"/>
    </row>
    <row r="325" spans="1:21" s="35" customFormat="1" ht="14.25">
      <c r="A325" s="764"/>
      <c r="B325" s="758"/>
      <c r="C325" s="77" t="s">
        <v>14</v>
      </c>
      <c r="D325" s="89">
        <f t="shared" si="131"/>
        <v>704218</v>
      </c>
      <c r="E325" s="83">
        <f t="shared" si="131"/>
        <v>704218</v>
      </c>
      <c r="F325" s="83">
        <f t="shared" si="131"/>
        <v>0</v>
      </c>
      <c r="G325" s="83">
        <f t="shared" si="131"/>
        <v>0</v>
      </c>
      <c r="H325" s="83">
        <f t="shared" si="131"/>
        <v>0</v>
      </c>
      <c r="I325" s="83">
        <f t="shared" si="131"/>
        <v>0</v>
      </c>
      <c r="J325" s="83">
        <f t="shared" si="131"/>
        <v>0</v>
      </c>
      <c r="K325" s="83">
        <f t="shared" si="131"/>
        <v>704218</v>
      </c>
      <c r="L325" s="83">
        <f t="shared" si="131"/>
        <v>0</v>
      </c>
      <c r="M325" s="83">
        <f t="shared" si="131"/>
        <v>0</v>
      </c>
      <c r="N325" s="83">
        <f t="shared" si="131"/>
        <v>0</v>
      </c>
      <c r="O325" s="83">
        <f t="shared" si="131"/>
        <v>0</v>
      </c>
      <c r="P325" s="83">
        <f t="shared" si="131"/>
        <v>0</v>
      </c>
      <c r="Q325" s="65"/>
      <c r="R325" s="65"/>
      <c r="S325" s="41"/>
      <c r="T325" s="41"/>
      <c r="U325" s="41"/>
    </row>
    <row r="326" spans="1:21" s="35" customFormat="1" ht="14.25">
      <c r="A326" s="765"/>
      <c r="B326" s="759"/>
      <c r="C326" s="77" t="s">
        <v>15</v>
      </c>
      <c r="D326" s="89">
        <f>D324+D325</f>
        <v>6783154</v>
      </c>
      <c r="E326" s="83">
        <f>E324+E325</f>
        <v>6783154</v>
      </c>
      <c r="F326" s="83">
        <f aca="true" t="shared" si="132" ref="F326:P326">F324+F325</f>
        <v>1597000</v>
      </c>
      <c r="G326" s="83">
        <f t="shared" si="132"/>
        <v>1266775</v>
      </c>
      <c r="H326" s="83">
        <f t="shared" si="132"/>
        <v>330225</v>
      </c>
      <c r="I326" s="83">
        <f t="shared" si="132"/>
        <v>1480000</v>
      </c>
      <c r="J326" s="83">
        <f t="shared" si="132"/>
        <v>1000</v>
      </c>
      <c r="K326" s="83">
        <f t="shared" si="132"/>
        <v>3705154</v>
      </c>
      <c r="L326" s="83">
        <f t="shared" si="132"/>
        <v>0</v>
      </c>
      <c r="M326" s="83">
        <f t="shared" si="132"/>
        <v>0</v>
      </c>
      <c r="N326" s="83">
        <f t="shared" si="132"/>
        <v>0</v>
      </c>
      <c r="O326" s="83">
        <f t="shared" si="132"/>
        <v>0</v>
      </c>
      <c r="P326" s="83">
        <f t="shared" si="132"/>
        <v>0</v>
      </c>
      <c r="Q326" s="65"/>
      <c r="R326" s="65"/>
      <c r="S326" s="41"/>
      <c r="T326" s="41"/>
      <c r="U326" s="41"/>
    </row>
    <row r="327" spans="1:21" s="51" customFormat="1" ht="12.75" hidden="1">
      <c r="A327" s="760">
        <v>85509</v>
      </c>
      <c r="B327" s="751" t="s">
        <v>81</v>
      </c>
      <c r="C327" s="74" t="s">
        <v>13</v>
      </c>
      <c r="D327" s="85">
        <f>E327+M327</f>
        <v>1852000</v>
      </c>
      <c r="E327" s="88">
        <f>F327+I327+J327+K327+L327</f>
        <v>1852000</v>
      </c>
      <c r="F327" s="88">
        <f>G327+H327</f>
        <v>1421000</v>
      </c>
      <c r="G327" s="88">
        <v>1264775</v>
      </c>
      <c r="H327" s="88">
        <v>156225</v>
      </c>
      <c r="I327" s="88">
        <v>430000</v>
      </c>
      <c r="J327" s="88">
        <v>1000</v>
      </c>
      <c r="K327" s="88">
        <v>0</v>
      </c>
      <c r="L327" s="88">
        <v>0</v>
      </c>
      <c r="M327" s="88">
        <f>N327+P327</f>
        <v>0</v>
      </c>
      <c r="N327" s="88">
        <v>0</v>
      </c>
      <c r="O327" s="88">
        <v>0</v>
      </c>
      <c r="P327" s="88">
        <v>0</v>
      </c>
      <c r="Q327" s="69"/>
      <c r="R327" s="69"/>
      <c r="S327" s="50"/>
      <c r="T327" s="50"/>
      <c r="U327" s="50"/>
    </row>
    <row r="328" spans="1:21" s="51" customFormat="1" ht="12.75" hidden="1">
      <c r="A328" s="761"/>
      <c r="B328" s="752"/>
      <c r="C328" s="74" t="s">
        <v>14</v>
      </c>
      <c r="D328" s="85">
        <f>E328+M328</f>
        <v>0</v>
      </c>
      <c r="E328" s="88">
        <f>F328+I328+J328+K328+L328</f>
        <v>0</v>
      </c>
      <c r="F328" s="88">
        <f>G328+H328</f>
        <v>0</v>
      </c>
      <c r="G328" s="88"/>
      <c r="H328" s="88"/>
      <c r="I328" s="88"/>
      <c r="J328" s="88"/>
      <c r="K328" s="88"/>
      <c r="L328" s="88"/>
      <c r="M328" s="88">
        <f>N328+P328</f>
        <v>0</v>
      </c>
      <c r="N328" s="88"/>
      <c r="O328" s="88"/>
      <c r="P328" s="88"/>
      <c r="Q328" s="69"/>
      <c r="R328" s="69"/>
      <c r="S328" s="50"/>
      <c r="T328" s="50"/>
      <c r="U328" s="50"/>
    </row>
    <row r="329" spans="1:21" s="51" customFormat="1" ht="12.75" hidden="1">
      <c r="A329" s="762"/>
      <c r="B329" s="753"/>
      <c r="C329" s="74" t="s">
        <v>15</v>
      </c>
      <c r="D329" s="85">
        <f>D327+D328</f>
        <v>1852000</v>
      </c>
      <c r="E329" s="88">
        <f>E327+E328</f>
        <v>1852000</v>
      </c>
      <c r="F329" s="88">
        <f aca="true" t="shared" si="133" ref="F329:P329">F327+F328</f>
        <v>1421000</v>
      </c>
      <c r="G329" s="88">
        <f t="shared" si="133"/>
        <v>1264775</v>
      </c>
      <c r="H329" s="88">
        <f t="shared" si="133"/>
        <v>156225</v>
      </c>
      <c r="I329" s="88">
        <f t="shared" si="133"/>
        <v>430000</v>
      </c>
      <c r="J329" s="88">
        <f t="shared" si="133"/>
        <v>1000</v>
      </c>
      <c r="K329" s="88">
        <f t="shared" si="133"/>
        <v>0</v>
      </c>
      <c r="L329" s="88">
        <f t="shared" si="133"/>
        <v>0</v>
      </c>
      <c r="M329" s="88">
        <f t="shared" si="133"/>
        <v>0</v>
      </c>
      <c r="N329" s="88">
        <f t="shared" si="133"/>
        <v>0</v>
      </c>
      <c r="O329" s="88">
        <f t="shared" si="133"/>
        <v>0</v>
      </c>
      <c r="P329" s="88">
        <f t="shared" si="133"/>
        <v>0</v>
      </c>
      <c r="Q329" s="69"/>
      <c r="R329" s="69"/>
      <c r="S329" s="50"/>
      <c r="T329" s="50"/>
      <c r="U329" s="50"/>
    </row>
    <row r="330" spans="1:21" s="51" customFormat="1" ht="12" customHeight="1">
      <c r="A330" s="760">
        <v>85595</v>
      </c>
      <c r="B330" s="751" t="s">
        <v>52</v>
      </c>
      <c r="C330" s="74" t="s">
        <v>13</v>
      </c>
      <c r="D330" s="85">
        <f>E330+M330</f>
        <v>4226936</v>
      </c>
      <c r="E330" s="88">
        <f>F330+I330+J330+K330+L330</f>
        <v>4226936</v>
      </c>
      <c r="F330" s="88">
        <f>G330+H330</f>
        <v>176000</v>
      </c>
      <c r="G330" s="88">
        <v>2000</v>
      </c>
      <c r="H330" s="88">
        <f>4000+3400+2600+164000</f>
        <v>174000</v>
      </c>
      <c r="I330" s="88">
        <v>1050000</v>
      </c>
      <c r="J330" s="88">
        <v>0</v>
      </c>
      <c r="K330" s="88">
        <v>3000936</v>
      </c>
      <c r="L330" s="88">
        <v>0</v>
      </c>
      <c r="M330" s="88">
        <f>N330+P330</f>
        <v>0</v>
      </c>
      <c r="N330" s="88">
        <v>0</v>
      </c>
      <c r="O330" s="88">
        <v>0</v>
      </c>
      <c r="P330" s="88">
        <v>0</v>
      </c>
      <c r="Q330" s="68"/>
      <c r="R330" s="68"/>
      <c r="S330" s="50"/>
      <c r="T330" s="50"/>
      <c r="U330" s="50"/>
    </row>
    <row r="331" spans="1:21" s="51" customFormat="1" ht="12" customHeight="1">
      <c r="A331" s="761"/>
      <c r="B331" s="752"/>
      <c r="C331" s="74" t="s">
        <v>14</v>
      </c>
      <c r="D331" s="85">
        <f>E331+M331</f>
        <v>704218</v>
      </c>
      <c r="E331" s="88">
        <f>F331+I331+J331+K331+L331</f>
        <v>704218</v>
      </c>
      <c r="F331" s="88">
        <f>G331+H331</f>
        <v>0</v>
      </c>
      <c r="G331" s="88"/>
      <c r="H331" s="88"/>
      <c r="I331" s="88"/>
      <c r="J331" s="88"/>
      <c r="K331" s="88">
        <v>704218</v>
      </c>
      <c r="L331" s="88"/>
      <c r="M331" s="88">
        <f>N331+P331</f>
        <v>0</v>
      </c>
      <c r="N331" s="88"/>
      <c r="O331" s="88"/>
      <c r="P331" s="88"/>
      <c r="Q331" s="68"/>
      <c r="R331" s="68"/>
      <c r="S331" s="50"/>
      <c r="T331" s="50"/>
      <c r="U331" s="50"/>
    </row>
    <row r="332" spans="1:21" s="51" customFormat="1" ht="12" customHeight="1">
      <c r="A332" s="762"/>
      <c r="B332" s="753"/>
      <c r="C332" s="74" t="s">
        <v>15</v>
      </c>
      <c r="D332" s="85">
        <f>D330+D331</f>
        <v>4931154</v>
      </c>
      <c r="E332" s="88">
        <f>E330+E331</f>
        <v>4931154</v>
      </c>
      <c r="F332" s="88">
        <f aca="true" t="shared" si="134" ref="F332:P332">F330+F331</f>
        <v>176000</v>
      </c>
      <c r="G332" s="88">
        <f t="shared" si="134"/>
        <v>2000</v>
      </c>
      <c r="H332" s="88">
        <f t="shared" si="134"/>
        <v>174000</v>
      </c>
      <c r="I332" s="88">
        <f t="shared" si="134"/>
        <v>1050000</v>
      </c>
      <c r="J332" s="88">
        <f t="shared" si="134"/>
        <v>0</v>
      </c>
      <c r="K332" s="88">
        <f t="shared" si="134"/>
        <v>3705154</v>
      </c>
      <c r="L332" s="88">
        <f t="shared" si="134"/>
        <v>0</v>
      </c>
      <c r="M332" s="88">
        <f t="shared" si="134"/>
        <v>0</v>
      </c>
      <c r="N332" s="88">
        <f t="shared" si="134"/>
        <v>0</v>
      </c>
      <c r="O332" s="88">
        <f t="shared" si="134"/>
        <v>0</v>
      </c>
      <c r="P332" s="88">
        <f t="shared" si="134"/>
        <v>0</v>
      </c>
      <c r="Q332" s="68"/>
      <c r="R332" s="68"/>
      <c r="S332" s="50"/>
      <c r="T332" s="50"/>
      <c r="U332" s="50"/>
    </row>
    <row r="333" spans="1:21" s="35" customFormat="1" ht="14.25">
      <c r="A333" s="763">
        <v>900</v>
      </c>
      <c r="B333" s="757" t="s">
        <v>38</v>
      </c>
      <c r="C333" s="77" t="s">
        <v>13</v>
      </c>
      <c r="D333" s="89">
        <f>D336+D339+D342+D345+D348+D354+D351</f>
        <v>25296393</v>
      </c>
      <c r="E333" s="83">
        <f aca="true" t="shared" si="135" ref="E333:P334">E336+E339+E342+E345+E348+E354+E351</f>
        <v>7559426</v>
      </c>
      <c r="F333" s="83">
        <f t="shared" si="135"/>
        <v>2520263</v>
      </c>
      <c r="G333" s="83">
        <f t="shared" si="135"/>
        <v>1546753</v>
      </c>
      <c r="H333" s="83">
        <f t="shared" si="135"/>
        <v>973510</v>
      </c>
      <c r="I333" s="83">
        <f t="shared" si="135"/>
        <v>0</v>
      </c>
      <c r="J333" s="83">
        <f t="shared" si="135"/>
        <v>0</v>
      </c>
      <c r="K333" s="83">
        <f t="shared" si="135"/>
        <v>5039163</v>
      </c>
      <c r="L333" s="83">
        <f t="shared" si="135"/>
        <v>0</v>
      </c>
      <c r="M333" s="83">
        <f t="shared" si="135"/>
        <v>17736967</v>
      </c>
      <c r="N333" s="83">
        <f t="shared" si="135"/>
        <v>14736967</v>
      </c>
      <c r="O333" s="83">
        <f t="shared" si="135"/>
        <v>14736967</v>
      </c>
      <c r="P333" s="83">
        <f t="shared" si="135"/>
        <v>3000000</v>
      </c>
      <c r="Q333" s="65"/>
      <c r="R333" s="65"/>
      <c r="S333" s="41"/>
      <c r="T333" s="41"/>
      <c r="U333" s="41"/>
    </row>
    <row r="334" spans="1:21" s="35" customFormat="1" ht="14.25">
      <c r="A334" s="764"/>
      <c r="B334" s="758"/>
      <c r="C334" s="77" t="s">
        <v>14</v>
      </c>
      <c r="D334" s="89">
        <f>D337+D340+D343+D346+D349+D355+D352</f>
        <v>-99162</v>
      </c>
      <c r="E334" s="83">
        <f t="shared" si="135"/>
        <v>-99162</v>
      </c>
      <c r="F334" s="83">
        <f t="shared" si="135"/>
        <v>0</v>
      </c>
      <c r="G334" s="83">
        <f t="shared" si="135"/>
        <v>0</v>
      </c>
      <c r="H334" s="83">
        <f t="shared" si="135"/>
        <v>0</v>
      </c>
      <c r="I334" s="83">
        <f t="shared" si="135"/>
        <v>0</v>
      </c>
      <c r="J334" s="83">
        <f t="shared" si="135"/>
        <v>0</v>
      </c>
      <c r="K334" s="83">
        <f t="shared" si="135"/>
        <v>-99162</v>
      </c>
      <c r="L334" s="83">
        <f t="shared" si="135"/>
        <v>0</v>
      </c>
      <c r="M334" s="83">
        <f t="shared" si="135"/>
        <v>0</v>
      </c>
      <c r="N334" s="83">
        <f t="shared" si="135"/>
        <v>0</v>
      </c>
      <c r="O334" s="83">
        <f t="shared" si="135"/>
        <v>0</v>
      </c>
      <c r="P334" s="83">
        <f t="shared" si="135"/>
        <v>0</v>
      </c>
      <c r="Q334" s="65"/>
      <c r="R334" s="65"/>
      <c r="S334" s="41"/>
      <c r="T334" s="41"/>
      <c r="U334" s="41"/>
    </row>
    <row r="335" spans="1:21" s="35" customFormat="1" ht="14.25">
      <c r="A335" s="765"/>
      <c r="B335" s="759"/>
      <c r="C335" s="77" t="s">
        <v>15</v>
      </c>
      <c r="D335" s="89">
        <f>D333+D334</f>
        <v>25197231</v>
      </c>
      <c r="E335" s="83">
        <f aca="true" t="shared" si="136" ref="E335:P335">E333+E334</f>
        <v>7460264</v>
      </c>
      <c r="F335" s="83">
        <f t="shared" si="136"/>
        <v>2520263</v>
      </c>
      <c r="G335" s="83">
        <f t="shared" si="136"/>
        <v>1546753</v>
      </c>
      <c r="H335" s="83">
        <f t="shared" si="136"/>
        <v>973510</v>
      </c>
      <c r="I335" s="83">
        <f t="shared" si="136"/>
        <v>0</v>
      </c>
      <c r="J335" s="83">
        <f t="shared" si="136"/>
        <v>0</v>
      </c>
      <c r="K335" s="83">
        <f t="shared" si="136"/>
        <v>4940001</v>
      </c>
      <c r="L335" s="83">
        <f t="shared" si="136"/>
        <v>0</v>
      </c>
      <c r="M335" s="83">
        <f t="shared" si="136"/>
        <v>17736967</v>
      </c>
      <c r="N335" s="83">
        <f t="shared" si="136"/>
        <v>14736967</v>
      </c>
      <c r="O335" s="83">
        <f t="shared" si="136"/>
        <v>14736967</v>
      </c>
      <c r="P335" s="83">
        <f t="shared" si="136"/>
        <v>3000000</v>
      </c>
      <c r="Q335" s="65"/>
      <c r="R335" s="65"/>
      <c r="S335" s="41"/>
      <c r="T335" s="41"/>
      <c r="U335" s="41"/>
    </row>
    <row r="336" spans="1:21" s="51" customFormat="1" ht="12.75" hidden="1">
      <c r="A336" s="760">
        <v>90005</v>
      </c>
      <c r="B336" s="751" t="s">
        <v>64</v>
      </c>
      <c r="C336" s="74" t="s">
        <v>13</v>
      </c>
      <c r="D336" s="85">
        <f>E336+M336</f>
        <v>295000</v>
      </c>
      <c r="E336" s="88">
        <f>F336+I336+J336+K336+L336</f>
        <v>295000</v>
      </c>
      <c r="F336" s="88">
        <f>G336+H336</f>
        <v>295000</v>
      </c>
      <c r="G336" s="88">
        <v>0</v>
      </c>
      <c r="H336" s="88">
        <v>295000</v>
      </c>
      <c r="I336" s="88">
        <v>0</v>
      </c>
      <c r="J336" s="88">
        <v>0</v>
      </c>
      <c r="K336" s="88">
        <v>0</v>
      </c>
      <c r="L336" s="88">
        <v>0</v>
      </c>
      <c r="M336" s="88">
        <f aca="true" t="shared" si="137" ref="M336:M355">N336+P336</f>
        <v>0</v>
      </c>
      <c r="N336" s="88">
        <v>0</v>
      </c>
      <c r="O336" s="88">
        <v>0</v>
      </c>
      <c r="P336" s="88">
        <v>0</v>
      </c>
      <c r="Q336" s="68"/>
      <c r="R336" s="68"/>
      <c r="S336" s="50"/>
      <c r="T336" s="50"/>
      <c r="U336" s="50"/>
    </row>
    <row r="337" spans="1:21" s="51" customFormat="1" ht="12.75" hidden="1">
      <c r="A337" s="761"/>
      <c r="B337" s="752"/>
      <c r="C337" s="74" t="s">
        <v>14</v>
      </c>
      <c r="D337" s="85">
        <f>E337+M337</f>
        <v>0</v>
      </c>
      <c r="E337" s="88">
        <f>F337+I337+J337+K337+L337</f>
        <v>0</v>
      </c>
      <c r="F337" s="88">
        <f>G337+H337</f>
        <v>0</v>
      </c>
      <c r="G337" s="88"/>
      <c r="H337" s="88"/>
      <c r="I337" s="88"/>
      <c r="J337" s="88"/>
      <c r="K337" s="88"/>
      <c r="L337" s="88"/>
      <c r="M337" s="88">
        <f t="shared" si="137"/>
        <v>0</v>
      </c>
      <c r="N337" s="88"/>
      <c r="O337" s="88"/>
      <c r="P337" s="88"/>
      <c r="Q337" s="68"/>
      <c r="R337" s="68"/>
      <c r="S337" s="50"/>
      <c r="T337" s="50"/>
      <c r="U337" s="50"/>
    </row>
    <row r="338" spans="1:21" s="51" customFormat="1" ht="12.75" hidden="1">
      <c r="A338" s="762"/>
      <c r="B338" s="753"/>
      <c r="C338" s="74" t="s">
        <v>15</v>
      </c>
      <c r="D338" s="85">
        <f>D336+D337</f>
        <v>295000</v>
      </c>
      <c r="E338" s="88">
        <f>E336+E337</f>
        <v>295000</v>
      </c>
      <c r="F338" s="88">
        <f aca="true" t="shared" si="138" ref="F338:P338">F336+F337</f>
        <v>295000</v>
      </c>
      <c r="G338" s="88">
        <f t="shared" si="138"/>
        <v>0</v>
      </c>
      <c r="H338" s="88">
        <f t="shared" si="138"/>
        <v>295000</v>
      </c>
      <c r="I338" s="88">
        <f t="shared" si="138"/>
        <v>0</v>
      </c>
      <c r="J338" s="88">
        <f t="shared" si="138"/>
        <v>0</v>
      </c>
      <c r="K338" s="88">
        <f t="shared" si="138"/>
        <v>0</v>
      </c>
      <c r="L338" s="88">
        <f t="shared" si="138"/>
        <v>0</v>
      </c>
      <c r="M338" s="88">
        <f t="shared" si="138"/>
        <v>0</v>
      </c>
      <c r="N338" s="88">
        <f t="shared" si="138"/>
        <v>0</v>
      </c>
      <c r="O338" s="88">
        <f t="shared" si="138"/>
        <v>0</v>
      </c>
      <c r="P338" s="88">
        <f t="shared" si="138"/>
        <v>0</v>
      </c>
      <c r="Q338" s="68"/>
      <c r="R338" s="68"/>
      <c r="S338" s="50"/>
      <c r="T338" s="50"/>
      <c r="U338" s="50"/>
    </row>
    <row r="339" spans="1:21" s="51" customFormat="1" ht="12.75" hidden="1">
      <c r="A339" s="760">
        <v>90007</v>
      </c>
      <c r="B339" s="751" t="s">
        <v>65</v>
      </c>
      <c r="C339" s="74" t="s">
        <v>13</v>
      </c>
      <c r="D339" s="85">
        <f>E339+M339</f>
        <v>59000</v>
      </c>
      <c r="E339" s="88">
        <f>F339+I339+J339+K339+L339</f>
        <v>59000</v>
      </c>
      <c r="F339" s="88">
        <f>G339+H339</f>
        <v>59000</v>
      </c>
      <c r="G339" s="88">
        <v>0</v>
      </c>
      <c r="H339" s="88">
        <v>59000</v>
      </c>
      <c r="I339" s="88">
        <v>0</v>
      </c>
      <c r="J339" s="88">
        <v>0</v>
      </c>
      <c r="K339" s="88">
        <v>0</v>
      </c>
      <c r="L339" s="88">
        <v>0</v>
      </c>
      <c r="M339" s="88">
        <f t="shared" si="137"/>
        <v>0</v>
      </c>
      <c r="N339" s="88">
        <v>0</v>
      </c>
      <c r="O339" s="88">
        <v>0</v>
      </c>
      <c r="P339" s="88">
        <v>0</v>
      </c>
      <c r="Q339" s="68"/>
      <c r="R339" s="68"/>
      <c r="S339" s="50"/>
      <c r="T339" s="50"/>
      <c r="U339" s="50"/>
    </row>
    <row r="340" spans="1:21" s="51" customFormat="1" ht="12.75" hidden="1">
      <c r="A340" s="761"/>
      <c r="B340" s="752"/>
      <c r="C340" s="74" t="s">
        <v>14</v>
      </c>
      <c r="D340" s="85">
        <f>E340+M340</f>
        <v>0</v>
      </c>
      <c r="E340" s="88">
        <f>F340+I340+J340+K340+L340</f>
        <v>0</v>
      </c>
      <c r="F340" s="88">
        <f>G340+H340</f>
        <v>0</v>
      </c>
      <c r="G340" s="88"/>
      <c r="H340" s="88"/>
      <c r="I340" s="88"/>
      <c r="J340" s="88"/>
      <c r="K340" s="88"/>
      <c r="L340" s="88"/>
      <c r="M340" s="88">
        <f t="shared" si="137"/>
        <v>0</v>
      </c>
      <c r="N340" s="88"/>
      <c r="O340" s="88"/>
      <c r="P340" s="88"/>
      <c r="Q340" s="68"/>
      <c r="R340" s="68"/>
      <c r="S340" s="50"/>
      <c r="T340" s="50"/>
      <c r="U340" s="50"/>
    </row>
    <row r="341" spans="1:21" s="51" customFormat="1" ht="12.75" hidden="1">
      <c r="A341" s="762"/>
      <c r="B341" s="753"/>
      <c r="C341" s="74" t="s">
        <v>15</v>
      </c>
      <c r="D341" s="85">
        <f>D339+D340</f>
        <v>59000</v>
      </c>
      <c r="E341" s="88">
        <f>E339+E340</f>
        <v>59000</v>
      </c>
      <c r="F341" s="88">
        <f aca="true" t="shared" si="139" ref="F341:P341">F339+F340</f>
        <v>59000</v>
      </c>
      <c r="G341" s="88">
        <f t="shared" si="139"/>
        <v>0</v>
      </c>
      <c r="H341" s="88">
        <f t="shared" si="139"/>
        <v>59000</v>
      </c>
      <c r="I341" s="88">
        <f t="shared" si="139"/>
        <v>0</v>
      </c>
      <c r="J341" s="88">
        <f t="shared" si="139"/>
        <v>0</v>
      </c>
      <c r="K341" s="88">
        <f t="shared" si="139"/>
        <v>0</v>
      </c>
      <c r="L341" s="88">
        <f t="shared" si="139"/>
        <v>0</v>
      </c>
      <c r="M341" s="88">
        <f t="shared" si="139"/>
        <v>0</v>
      </c>
      <c r="N341" s="88">
        <f t="shared" si="139"/>
        <v>0</v>
      </c>
      <c r="O341" s="88">
        <f t="shared" si="139"/>
        <v>0</v>
      </c>
      <c r="P341" s="88">
        <f t="shared" si="139"/>
        <v>0</v>
      </c>
      <c r="Q341" s="68"/>
      <c r="R341" s="68"/>
      <c r="S341" s="50"/>
      <c r="T341" s="50"/>
      <c r="U341" s="50"/>
    </row>
    <row r="342" spans="1:21" s="33" customFormat="1" ht="12.75" hidden="1">
      <c r="A342" s="760">
        <v>90019</v>
      </c>
      <c r="B342" s="751" t="s">
        <v>181</v>
      </c>
      <c r="C342" s="74" t="s">
        <v>13</v>
      </c>
      <c r="D342" s="85">
        <f>E342+M342</f>
        <v>869873</v>
      </c>
      <c r="E342" s="88">
        <f>F342+I342+J342+K342+L342</f>
        <v>869873</v>
      </c>
      <c r="F342" s="88">
        <f>G342+H342</f>
        <v>869873</v>
      </c>
      <c r="G342" s="88">
        <v>647253</v>
      </c>
      <c r="H342" s="88">
        <v>222620</v>
      </c>
      <c r="I342" s="88">
        <v>0</v>
      </c>
      <c r="J342" s="88">
        <v>0</v>
      </c>
      <c r="K342" s="88">
        <v>0</v>
      </c>
      <c r="L342" s="88">
        <v>0</v>
      </c>
      <c r="M342" s="88">
        <f t="shared" si="137"/>
        <v>0</v>
      </c>
      <c r="N342" s="88">
        <v>0</v>
      </c>
      <c r="O342" s="88">
        <v>0</v>
      </c>
      <c r="P342" s="88">
        <v>0</v>
      </c>
      <c r="Q342" s="52"/>
      <c r="R342" s="52"/>
      <c r="S342" s="39"/>
      <c r="T342" s="39"/>
      <c r="U342" s="39"/>
    </row>
    <row r="343" spans="1:21" s="33" customFormat="1" ht="12.75" hidden="1">
      <c r="A343" s="761"/>
      <c r="B343" s="752"/>
      <c r="C343" s="74" t="s">
        <v>14</v>
      </c>
      <c r="D343" s="85">
        <f>E343+M343</f>
        <v>0</v>
      </c>
      <c r="E343" s="88">
        <f>F343+I343+J343+K343+L343</f>
        <v>0</v>
      </c>
      <c r="F343" s="88">
        <f>G343+H343</f>
        <v>0</v>
      </c>
      <c r="G343" s="88"/>
      <c r="H343" s="88"/>
      <c r="I343" s="88"/>
      <c r="J343" s="88"/>
      <c r="K343" s="88"/>
      <c r="L343" s="88"/>
      <c r="M343" s="88">
        <f t="shared" si="137"/>
        <v>0</v>
      </c>
      <c r="N343" s="88"/>
      <c r="O343" s="88"/>
      <c r="P343" s="88"/>
      <c r="Q343" s="52"/>
      <c r="R343" s="52"/>
      <c r="S343" s="39"/>
      <c r="T343" s="39"/>
      <c r="U343" s="39"/>
    </row>
    <row r="344" spans="1:21" s="33" customFormat="1" ht="12.75" hidden="1">
      <c r="A344" s="762"/>
      <c r="B344" s="753"/>
      <c r="C344" s="74" t="s">
        <v>15</v>
      </c>
      <c r="D344" s="85">
        <f>D342+D343</f>
        <v>869873</v>
      </c>
      <c r="E344" s="88">
        <f aca="true" t="shared" si="140" ref="E344:P344">E342+E343</f>
        <v>869873</v>
      </c>
      <c r="F344" s="88">
        <f t="shared" si="140"/>
        <v>869873</v>
      </c>
      <c r="G344" s="88">
        <f t="shared" si="140"/>
        <v>647253</v>
      </c>
      <c r="H344" s="88">
        <f t="shared" si="140"/>
        <v>222620</v>
      </c>
      <c r="I344" s="88">
        <f t="shared" si="140"/>
        <v>0</v>
      </c>
      <c r="J344" s="88">
        <f t="shared" si="140"/>
        <v>0</v>
      </c>
      <c r="K344" s="88">
        <f t="shared" si="140"/>
        <v>0</v>
      </c>
      <c r="L344" s="88">
        <f t="shared" si="140"/>
        <v>0</v>
      </c>
      <c r="M344" s="88">
        <f t="shared" si="140"/>
        <v>0</v>
      </c>
      <c r="N344" s="88">
        <f t="shared" si="140"/>
        <v>0</v>
      </c>
      <c r="O344" s="88">
        <f t="shared" si="140"/>
        <v>0</v>
      </c>
      <c r="P344" s="88">
        <f t="shared" si="140"/>
        <v>0</v>
      </c>
      <c r="Q344" s="52"/>
      <c r="R344" s="52"/>
      <c r="S344" s="39"/>
      <c r="T344" s="39"/>
      <c r="U344" s="39"/>
    </row>
    <row r="345" spans="1:21" s="33" customFormat="1" ht="12.75" hidden="1">
      <c r="A345" s="748">
        <v>90020</v>
      </c>
      <c r="B345" s="751" t="s">
        <v>182</v>
      </c>
      <c r="C345" s="74" t="s">
        <v>13</v>
      </c>
      <c r="D345" s="85">
        <f>E345+M345</f>
        <v>22480</v>
      </c>
      <c r="E345" s="88">
        <f>F345+I345+J345+K345+L345</f>
        <v>22480</v>
      </c>
      <c r="F345" s="88">
        <f>G345+H345</f>
        <v>22480</v>
      </c>
      <c r="G345" s="88">
        <v>16500</v>
      </c>
      <c r="H345" s="88">
        <v>5980</v>
      </c>
      <c r="I345" s="88">
        <v>0</v>
      </c>
      <c r="J345" s="88">
        <v>0</v>
      </c>
      <c r="K345" s="88">
        <v>0</v>
      </c>
      <c r="L345" s="88">
        <v>0</v>
      </c>
      <c r="M345" s="88">
        <f t="shared" si="137"/>
        <v>0</v>
      </c>
      <c r="N345" s="88">
        <v>0</v>
      </c>
      <c r="O345" s="88">
        <v>0</v>
      </c>
      <c r="P345" s="88">
        <v>0</v>
      </c>
      <c r="Q345" s="52"/>
      <c r="R345" s="52"/>
      <c r="S345" s="39"/>
      <c r="T345" s="39"/>
      <c r="U345" s="39"/>
    </row>
    <row r="346" spans="1:21" s="33" customFormat="1" ht="12.75" hidden="1">
      <c r="A346" s="749"/>
      <c r="B346" s="752"/>
      <c r="C346" s="74" t="s">
        <v>14</v>
      </c>
      <c r="D346" s="85">
        <f>E346+M346</f>
        <v>0</v>
      </c>
      <c r="E346" s="88">
        <f>F346+I346+J346+K346+L346</f>
        <v>0</v>
      </c>
      <c r="F346" s="88">
        <f>G346+H346</f>
        <v>0</v>
      </c>
      <c r="G346" s="88"/>
      <c r="H346" s="88"/>
      <c r="I346" s="88"/>
      <c r="J346" s="88"/>
      <c r="K346" s="88"/>
      <c r="L346" s="88"/>
      <c r="M346" s="88">
        <f t="shared" si="137"/>
        <v>0</v>
      </c>
      <c r="N346" s="88"/>
      <c r="O346" s="88"/>
      <c r="P346" s="88"/>
      <c r="Q346" s="52"/>
      <c r="R346" s="52"/>
      <c r="S346" s="39"/>
      <c r="T346" s="39"/>
      <c r="U346" s="39"/>
    </row>
    <row r="347" spans="1:21" s="33" customFormat="1" ht="12.75" hidden="1">
      <c r="A347" s="750"/>
      <c r="B347" s="753"/>
      <c r="C347" s="74" t="s">
        <v>15</v>
      </c>
      <c r="D347" s="85">
        <f>D345+D346</f>
        <v>22480</v>
      </c>
      <c r="E347" s="88">
        <f>E345+E346</f>
        <v>22480</v>
      </c>
      <c r="F347" s="88">
        <f aca="true" t="shared" si="141" ref="F347:P347">F345+F346</f>
        <v>22480</v>
      </c>
      <c r="G347" s="88">
        <f t="shared" si="141"/>
        <v>16500</v>
      </c>
      <c r="H347" s="88">
        <f t="shared" si="141"/>
        <v>5980</v>
      </c>
      <c r="I347" s="88">
        <f t="shared" si="141"/>
        <v>0</v>
      </c>
      <c r="J347" s="88">
        <f t="shared" si="141"/>
        <v>0</v>
      </c>
      <c r="K347" s="88">
        <f t="shared" si="141"/>
        <v>0</v>
      </c>
      <c r="L347" s="88">
        <f t="shared" si="141"/>
        <v>0</v>
      </c>
      <c r="M347" s="88">
        <f t="shared" si="141"/>
        <v>0</v>
      </c>
      <c r="N347" s="88">
        <f t="shared" si="141"/>
        <v>0</v>
      </c>
      <c r="O347" s="88">
        <f t="shared" si="141"/>
        <v>0</v>
      </c>
      <c r="P347" s="88">
        <f t="shared" si="141"/>
        <v>0</v>
      </c>
      <c r="Q347" s="52"/>
      <c r="R347" s="52"/>
      <c r="S347" s="39"/>
      <c r="T347" s="39"/>
      <c r="U347" s="39"/>
    </row>
    <row r="348" spans="1:21" s="33" customFormat="1" ht="12.75" hidden="1">
      <c r="A348" s="748">
        <v>90024</v>
      </c>
      <c r="B348" s="751" t="s">
        <v>183</v>
      </c>
      <c r="C348" s="74" t="s">
        <v>13</v>
      </c>
      <c r="D348" s="85">
        <f>E348+M348</f>
        <v>3510</v>
      </c>
      <c r="E348" s="88">
        <f>F348+I348+J348+K348+L348</f>
        <v>3510</v>
      </c>
      <c r="F348" s="88">
        <f>G348+H348</f>
        <v>3510</v>
      </c>
      <c r="G348" s="88">
        <v>0</v>
      </c>
      <c r="H348" s="88">
        <v>3510</v>
      </c>
      <c r="I348" s="88">
        <v>0</v>
      </c>
      <c r="J348" s="88">
        <v>0</v>
      </c>
      <c r="K348" s="88">
        <v>0</v>
      </c>
      <c r="L348" s="88">
        <v>0</v>
      </c>
      <c r="M348" s="88">
        <f t="shared" si="137"/>
        <v>0</v>
      </c>
      <c r="N348" s="88">
        <v>0</v>
      </c>
      <c r="O348" s="88">
        <v>0</v>
      </c>
      <c r="P348" s="88">
        <v>0</v>
      </c>
      <c r="Q348" s="52"/>
      <c r="R348" s="52"/>
      <c r="S348" s="39"/>
      <c r="T348" s="39"/>
      <c r="U348" s="39"/>
    </row>
    <row r="349" spans="1:21" s="33" customFormat="1" ht="12.75" hidden="1">
      <c r="A349" s="749"/>
      <c r="B349" s="752"/>
      <c r="C349" s="74" t="s">
        <v>14</v>
      </c>
      <c r="D349" s="85">
        <f>E349+M349</f>
        <v>0</v>
      </c>
      <c r="E349" s="88">
        <f>F349+I349+J349+K349+L349</f>
        <v>0</v>
      </c>
      <c r="F349" s="88">
        <f>G349+H349</f>
        <v>0</v>
      </c>
      <c r="G349" s="88"/>
      <c r="H349" s="88"/>
      <c r="I349" s="88"/>
      <c r="J349" s="88"/>
      <c r="K349" s="88"/>
      <c r="L349" s="88"/>
      <c r="M349" s="88">
        <f t="shared" si="137"/>
        <v>0</v>
      </c>
      <c r="N349" s="88"/>
      <c r="O349" s="88"/>
      <c r="P349" s="88"/>
      <c r="Q349" s="52"/>
      <c r="R349" s="52"/>
      <c r="S349" s="39"/>
      <c r="T349" s="39"/>
      <c r="U349" s="39"/>
    </row>
    <row r="350" spans="1:21" s="33" customFormat="1" ht="12.75" hidden="1">
      <c r="A350" s="750"/>
      <c r="B350" s="753"/>
      <c r="C350" s="74" t="s">
        <v>15</v>
      </c>
      <c r="D350" s="85">
        <f>D348+D349</f>
        <v>3510</v>
      </c>
      <c r="E350" s="88">
        <f>E348+E349</f>
        <v>3510</v>
      </c>
      <c r="F350" s="88">
        <f aca="true" t="shared" si="142" ref="F350:P350">F348+F349</f>
        <v>3510</v>
      </c>
      <c r="G350" s="88">
        <f t="shared" si="142"/>
        <v>0</v>
      </c>
      <c r="H350" s="88">
        <f t="shared" si="142"/>
        <v>3510</v>
      </c>
      <c r="I350" s="88">
        <f t="shared" si="142"/>
        <v>0</v>
      </c>
      <c r="J350" s="88">
        <f t="shared" si="142"/>
        <v>0</v>
      </c>
      <c r="K350" s="88">
        <f t="shared" si="142"/>
        <v>0</v>
      </c>
      <c r="L350" s="88">
        <f t="shared" si="142"/>
        <v>0</v>
      </c>
      <c r="M350" s="88">
        <f t="shared" si="142"/>
        <v>0</v>
      </c>
      <c r="N350" s="88">
        <f t="shared" si="142"/>
        <v>0</v>
      </c>
      <c r="O350" s="88">
        <f t="shared" si="142"/>
        <v>0</v>
      </c>
      <c r="P350" s="88">
        <f t="shared" si="142"/>
        <v>0</v>
      </c>
      <c r="Q350" s="52"/>
      <c r="R350" s="52"/>
      <c r="S350" s="39"/>
      <c r="T350" s="39"/>
      <c r="U350" s="39"/>
    </row>
    <row r="351" spans="1:21" s="33" customFormat="1" ht="12.75" hidden="1">
      <c r="A351" s="748">
        <v>90026</v>
      </c>
      <c r="B351" s="751" t="s">
        <v>201</v>
      </c>
      <c r="C351" s="74" t="s">
        <v>13</v>
      </c>
      <c r="D351" s="85">
        <f>E351+M351</f>
        <v>13324414</v>
      </c>
      <c r="E351" s="88">
        <f>F351+I351+J351+K351+L351</f>
        <v>3466521</v>
      </c>
      <c r="F351" s="88">
        <f>G351+H351</f>
        <v>200300</v>
      </c>
      <c r="G351" s="88">
        <v>180000</v>
      </c>
      <c r="H351" s="88">
        <f>8300+6000+6000</f>
        <v>20300</v>
      </c>
      <c r="I351" s="88">
        <v>0</v>
      </c>
      <c r="J351" s="88">
        <v>0</v>
      </c>
      <c r="K351" s="88">
        <v>3266221</v>
      </c>
      <c r="L351" s="88">
        <v>0</v>
      </c>
      <c r="M351" s="88">
        <f t="shared" si="137"/>
        <v>9857893</v>
      </c>
      <c r="N351" s="88">
        <v>9857893</v>
      </c>
      <c r="O351" s="88">
        <v>9857893</v>
      </c>
      <c r="P351" s="88">
        <v>0</v>
      </c>
      <c r="Q351" s="52"/>
      <c r="R351" s="52"/>
      <c r="S351" s="39"/>
      <c r="T351" s="39"/>
      <c r="U351" s="39"/>
    </row>
    <row r="352" spans="1:21" s="33" customFormat="1" ht="12.75" hidden="1">
      <c r="A352" s="749"/>
      <c r="B352" s="752"/>
      <c r="C352" s="74" t="s">
        <v>14</v>
      </c>
      <c r="D352" s="85">
        <f>E352+M352</f>
        <v>0</v>
      </c>
      <c r="E352" s="88">
        <f>F352+I352+J352+K352+L352</f>
        <v>0</v>
      </c>
      <c r="F352" s="88">
        <f>G352+H352</f>
        <v>0</v>
      </c>
      <c r="G352" s="88"/>
      <c r="H352" s="88"/>
      <c r="I352" s="88"/>
      <c r="J352" s="88"/>
      <c r="K352" s="88"/>
      <c r="L352" s="88"/>
      <c r="M352" s="88">
        <f t="shared" si="137"/>
        <v>0</v>
      </c>
      <c r="N352" s="88"/>
      <c r="O352" s="88"/>
      <c r="P352" s="88"/>
      <c r="Q352" s="52"/>
      <c r="R352" s="52"/>
      <c r="S352" s="39"/>
      <c r="T352" s="39"/>
      <c r="U352" s="39"/>
    </row>
    <row r="353" spans="1:21" s="33" customFormat="1" ht="12.75" hidden="1">
      <c r="A353" s="750"/>
      <c r="B353" s="753"/>
      <c r="C353" s="74" t="s">
        <v>15</v>
      </c>
      <c r="D353" s="85">
        <f>D351+D352</f>
        <v>13324414</v>
      </c>
      <c r="E353" s="88">
        <f aca="true" t="shared" si="143" ref="E353:P353">E351+E352</f>
        <v>3466521</v>
      </c>
      <c r="F353" s="88">
        <f t="shared" si="143"/>
        <v>200300</v>
      </c>
      <c r="G353" s="88">
        <f t="shared" si="143"/>
        <v>180000</v>
      </c>
      <c r="H353" s="88">
        <f t="shared" si="143"/>
        <v>20300</v>
      </c>
      <c r="I353" s="88">
        <f t="shared" si="143"/>
        <v>0</v>
      </c>
      <c r="J353" s="88">
        <f t="shared" si="143"/>
        <v>0</v>
      </c>
      <c r="K353" s="88">
        <f t="shared" si="143"/>
        <v>3266221</v>
      </c>
      <c r="L353" s="88">
        <f t="shared" si="143"/>
        <v>0</v>
      </c>
      <c r="M353" s="88">
        <f t="shared" si="143"/>
        <v>9857893</v>
      </c>
      <c r="N353" s="88">
        <f t="shared" si="143"/>
        <v>9857893</v>
      </c>
      <c r="O353" s="88">
        <f t="shared" si="143"/>
        <v>9857893</v>
      </c>
      <c r="P353" s="88">
        <f t="shared" si="143"/>
        <v>0</v>
      </c>
      <c r="Q353" s="52"/>
      <c r="R353" s="52"/>
      <c r="S353" s="39"/>
      <c r="T353" s="39"/>
      <c r="U353" s="39"/>
    </row>
    <row r="354" spans="1:21" s="51" customFormat="1" ht="12" customHeight="1">
      <c r="A354" s="748">
        <v>90095</v>
      </c>
      <c r="B354" s="751" t="s">
        <v>52</v>
      </c>
      <c r="C354" s="74" t="s">
        <v>13</v>
      </c>
      <c r="D354" s="85">
        <f>E354+M354</f>
        <v>10722116</v>
      </c>
      <c r="E354" s="88">
        <f>F354+I354+J354+K354+L354</f>
        <v>2843042</v>
      </c>
      <c r="F354" s="88">
        <f>G354+H354</f>
        <v>1070100</v>
      </c>
      <c r="G354" s="88">
        <v>703000</v>
      </c>
      <c r="H354" s="88">
        <f>5000+25150+234000+93000+9950</f>
        <v>367100</v>
      </c>
      <c r="I354" s="88">
        <v>0</v>
      </c>
      <c r="J354" s="88">
        <v>0</v>
      </c>
      <c r="K354" s="88">
        <v>1772942</v>
      </c>
      <c r="L354" s="88">
        <v>0</v>
      </c>
      <c r="M354" s="88">
        <f t="shared" si="137"/>
        <v>7879074</v>
      </c>
      <c r="N354" s="88">
        <v>4879074</v>
      </c>
      <c r="O354" s="88">
        <v>4879074</v>
      </c>
      <c r="P354" s="88">
        <v>3000000</v>
      </c>
      <c r="Q354" s="68"/>
      <c r="R354" s="68"/>
      <c r="S354" s="50"/>
      <c r="T354" s="50"/>
      <c r="U354" s="50"/>
    </row>
    <row r="355" spans="1:21" s="51" customFormat="1" ht="12" customHeight="1">
      <c r="A355" s="749"/>
      <c r="B355" s="752"/>
      <c r="C355" s="74" t="s">
        <v>14</v>
      </c>
      <c r="D355" s="85">
        <f>E355+M355</f>
        <v>-99162</v>
      </c>
      <c r="E355" s="88">
        <f>F355+I355+J355+K355+L355</f>
        <v>-99162</v>
      </c>
      <c r="F355" s="88">
        <f>G355+H355</f>
        <v>0</v>
      </c>
      <c r="G355" s="88"/>
      <c r="H355" s="88"/>
      <c r="I355" s="88"/>
      <c r="J355" s="88"/>
      <c r="K355" s="88">
        <f>25457-124619</f>
        <v>-99162</v>
      </c>
      <c r="L355" s="88"/>
      <c r="M355" s="88">
        <f t="shared" si="137"/>
        <v>0</v>
      </c>
      <c r="N355" s="88"/>
      <c r="O355" s="88"/>
      <c r="P355" s="88"/>
      <c r="Q355" s="68"/>
      <c r="R355" s="68"/>
      <c r="S355" s="50"/>
      <c r="T355" s="50"/>
      <c r="U355" s="50"/>
    </row>
    <row r="356" spans="1:21" s="51" customFormat="1" ht="12" customHeight="1">
      <c r="A356" s="750"/>
      <c r="B356" s="753"/>
      <c r="C356" s="74" t="s">
        <v>15</v>
      </c>
      <c r="D356" s="85">
        <f>D354+D355</f>
        <v>10622954</v>
      </c>
      <c r="E356" s="88">
        <f>E354+E355</f>
        <v>2743880</v>
      </c>
      <c r="F356" s="88">
        <f aca="true" t="shared" si="144" ref="F356:P356">F354+F355</f>
        <v>1070100</v>
      </c>
      <c r="G356" s="88">
        <f t="shared" si="144"/>
        <v>703000</v>
      </c>
      <c r="H356" s="88">
        <f t="shared" si="144"/>
        <v>367100</v>
      </c>
      <c r="I356" s="88">
        <f t="shared" si="144"/>
        <v>0</v>
      </c>
      <c r="J356" s="88">
        <f t="shared" si="144"/>
        <v>0</v>
      </c>
      <c r="K356" s="88">
        <f t="shared" si="144"/>
        <v>1673780</v>
      </c>
      <c r="L356" s="88">
        <f t="shared" si="144"/>
        <v>0</v>
      </c>
      <c r="M356" s="88">
        <f t="shared" si="144"/>
        <v>7879074</v>
      </c>
      <c r="N356" s="88">
        <f t="shared" si="144"/>
        <v>4879074</v>
      </c>
      <c r="O356" s="88">
        <f t="shared" si="144"/>
        <v>4879074</v>
      </c>
      <c r="P356" s="88">
        <f t="shared" si="144"/>
        <v>3000000</v>
      </c>
      <c r="Q356" s="68"/>
      <c r="R356" s="68"/>
      <c r="S356" s="50"/>
      <c r="T356" s="50"/>
      <c r="U356" s="50"/>
    </row>
    <row r="357" spans="1:21" s="35" customFormat="1" ht="16.5" customHeight="1">
      <c r="A357" s="754">
        <v>921</v>
      </c>
      <c r="B357" s="757" t="s">
        <v>39</v>
      </c>
      <c r="C357" s="77" t="s">
        <v>13</v>
      </c>
      <c r="D357" s="90">
        <f aca="true" t="shared" si="145" ref="D357:P358">D363+D366+D369+D372+D375+D378+D381+D387+D384+D360</f>
        <v>137624662</v>
      </c>
      <c r="E357" s="83">
        <f t="shared" si="145"/>
        <v>101486860</v>
      </c>
      <c r="F357" s="83">
        <f t="shared" si="145"/>
        <v>3403043</v>
      </c>
      <c r="G357" s="83">
        <f t="shared" si="145"/>
        <v>49000</v>
      </c>
      <c r="H357" s="83">
        <f t="shared" si="145"/>
        <v>3354043</v>
      </c>
      <c r="I357" s="83">
        <f t="shared" si="145"/>
        <v>91412023</v>
      </c>
      <c r="J357" s="83">
        <f t="shared" si="145"/>
        <v>450000</v>
      </c>
      <c r="K357" s="83">
        <f t="shared" si="145"/>
        <v>6221794</v>
      </c>
      <c r="L357" s="83">
        <f t="shared" si="145"/>
        <v>0</v>
      </c>
      <c r="M357" s="83">
        <f t="shared" si="145"/>
        <v>36137802</v>
      </c>
      <c r="N357" s="83">
        <f t="shared" si="145"/>
        <v>36137802</v>
      </c>
      <c r="O357" s="83">
        <f t="shared" si="145"/>
        <v>11361621</v>
      </c>
      <c r="P357" s="83">
        <f t="shared" si="145"/>
        <v>0</v>
      </c>
      <c r="Q357" s="65"/>
      <c r="R357" s="65"/>
      <c r="S357" s="41"/>
      <c r="T357" s="41"/>
      <c r="U357" s="41"/>
    </row>
    <row r="358" spans="1:21" s="35" customFormat="1" ht="16.5" customHeight="1">
      <c r="A358" s="755"/>
      <c r="B358" s="758"/>
      <c r="C358" s="77" t="s">
        <v>14</v>
      </c>
      <c r="D358" s="90">
        <f t="shared" si="145"/>
        <v>-306388</v>
      </c>
      <c r="E358" s="83">
        <f t="shared" si="145"/>
        <v>-455450</v>
      </c>
      <c r="F358" s="83">
        <f t="shared" si="145"/>
        <v>-20000</v>
      </c>
      <c r="G358" s="83">
        <f t="shared" si="145"/>
        <v>0</v>
      </c>
      <c r="H358" s="83">
        <f t="shared" si="145"/>
        <v>-20000</v>
      </c>
      <c r="I358" s="83">
        <f t="shared" si="145"/>
        <v>-1087326</v>
      </c>
      <c r="J358" s="83">
        <f t="shared" si="145"/>
        <v>0</v>
      </c>
      <c r="K358" s="83">
        <f t="shared" si="145"/>
        <v>651876</v>
      </c>
      <c r="L358" s="83">
        <f t="shared" si="145"/>
        <v>0</v>
      </c>
      <c r="M358" s="83">
        <f t="shared" si="145"/>
        <v>149062</v>
      </c>
      <c r="N358" s="83">
        <f t="shared" si="145"/>
        <v>149062</v>
      </c>
      <c r="O358" s="83">
        <f t="shared" si="145"/>
        <v>0</v>
      </c>
      <c r="P358" s="83">
        <f t="shared" si="145"/>
        <v>0</v>
      </c>
      <c r="Q358" s="65"/>
      <c r="R358" s="65"/>
      <c r="S358" s="41"/>
      <c r="T358" s="41"/>
      <c r="U358" s="41"/>
    </row>
    <row r="359" spans="1:21" s="35" customFormat="1" ht="16.5" customHeight="1">
      <c r="A359" s="756"/>
      <c r="B359" s="759"/>
      <c r="C359" s="77" t="s">
        <v>15</v>
      </c>
      <c r="D359" s="90">
        <f>D357+D358</f>
        <v>137318274</v>
      </c>
      <c r="E359" s="83">
        <f aca="true" t="shared" si="146" ref="E359:P359">E357+E358</f>
        <v>101031410</v>
      </c>
      <c r="F359" s="83">
        <f t="shared" si="146"/>
        <v>3383043</v>
      </c>
      <c r="G359" s="83">
        <f t="shared" si="146"/>
        <v>49000</v>
      </c>
      <c r="H359" s="83">
        <f t="shared" si="146"/>
        <v>3334043</v>
      </c>
      <c r="I359" s="83">
        <f t="shared" si="146"/>
        <v>90324697</v>
      </c>
      <c r="J359" s="83">
        <f t="shared" si="146"/>
        <v>450000</v>
      </c>
      <c r="K359" s="83">
        <f t="shared" si="146"/>
        <v>6873670</v>
      </c>
      <c r="L359" s="83">
        <f t="shared" si="146"/>
        <v>0</v>
      </c>
      <c r="M359" s="83">
        <f t="shared" si="146"/>
        <v>36286864</v>
      </c>
      <c r="N359" s="83">
        <f t="shared" si="146"/>
        <v>36286864</v>
      </c>
      <c r="O359" s="83">
        <f t="shared" si="146"/>
        <v>11361621</v>
      </c>
      <c r="P359" s="83">
        <f t="shared" si="146"/>
        <v>0</v>
      </c>
      <c r="Q359" s="65"/>
      <c r="R359" s="65"/>
      <c r="S359" s="41"/>
      <c r="T359" s="41"/>
      <c r="U359" s="41"/>
    </row>
    <row r="360" spans="1:21" s="51" customFormat="1" ht="12" customHeight="1">
      <c r="A360" s="748">
        <v>92105</v>
      </c>
      <c r="B360" s="751" t="s">
        <v>197</v>
      </c>
      <c r="C360" s="74" t="s">
        <v>13</v>
      </c>
      <c r="D360" s="85">
        <f>E360+M360</f>
        <v>470000</v>
      </c>
      <c r="E360" s="88">
        <f>F360+I360+J360+K360+L360</f>
        <v>470000</v>
      </c>
      <c r="F360" s="88">
        <f>G360+H360</f>
        <v>0</v>
      </c>
      <c r="G360" s="88">
        <v>0</v>
      </c>
      <c r="H360" s="88">
        <v>0</v>
      </c>
      <c r="I360" s="88">
        <v>470000</v>
      </c>
      <c r="J360" s="88">
        <v>0</v>
      </c>
      <c r="K360" s="88">
        <v>0</v>
      </c>
      <c r="L360" s="88">
        <v>0</v>
      </c>
      <c r="M360" s="88">
        <f aca="true" t="shared" si="147" ref="M360:M388">N360+P360</f>
        <v>0</v>
      </c>
      <c r="N360" s="88">
        <v>0</v>
      </c>
      <c r="O360" s="88">
        <v>0</v>
      </c>
      <c r="P360" s="88">
        <v>0</v>
      </c>
      <c r="Q360" s="68"/>
      <c r="R360" s="68"/>
      <c r="S360" s="50"/>
      <c r="T360" s="50"/>
      <c r="U360" s="50"/>
    </row>
    <row r="361" spans="1:21" s="51" customFormat="1" ht="12" customHeight="1">
      <c r="A361" s="749"/>
      <c r="B361" s="752"/>
      <c r="C361" s="74" t="s">
        <v>14</v>
      </c>
      <c r="D361" s="85">
        <f>E361+M361</f>
        <v>-240000</v>
      </c>
      <c r="E361" s="88">
        <f>F361+I361+J361+K361+L361</f>
        <v>-240000</v>
      </c>
      <c r="F361" s="88">
        <f>G361+H361</f>
        <v>0</v>
      </c>
      <c r="G361" s="88"/>
      <c r="H361" s="88"/>
      <c r="I361" s="88">
        <v>-240000</v>
      </c>
      <c r="J361" s="88"/>
      <c r="K361" s="88"/>
      <c r="L361" s="88"/>
      <c r="M361" s="88">
        <f t="shared" si="147"/>
        <v>0</v>
      </c>
      <c r="N361" s="88"/>
      <c r="O361" s="88"/>
      <c r="P361" s="88"/>
      <c r="Q361" s="68"/>
      <c r="R361" s="68"/>
      <c r="S361" s="50"/>
      <c r="T361" s="50"/>
      <c r="U361" s="50"/>
    </row>
    <row r="362" spans="1:21" s="51" customFormat="1" ht="12" customHeight="1">
      <c r="A362" s="750"/>
      <c r="B362" s="753"/>
      <c r="C362" s="74" t="s">
        <v>15</v>
      </c>
      <c r="D362" s="85">
        <f>D360+D361</f>
        <v>230000</v>
      </c>
      <c r="E362" s="88">
        <f aca="true" t="shared" si="148" ref="E362:P362">E360+E361</f>
        <v>230000</v>
      </c>
      <c r="F362" s="88">
        <f t="shared" si="148"/>
        <v>0</v>
      </c>
      <c r="G362" s="88">
        <f t="shared" si="148"/>
        <v>0</v>
      </c>
      <c r="H362" s="88">
        <f t="shared" si="148"/>
        <v>0</v>
      </c>
      <c r="I362" s="88">
        <f t="shared" si="148"/>
        <v>230000</v>
      </c>
      <c r="J362" s="88">
        <f t="shared" si="148"/>
        <v>0</v>
      </c>
      <c r="K362" s="88">
        <f t="shared" si="148"/>
        <v>0</v>
      </c>
      <c r="L362" s="88">
        <f t="shared" si="148"/>
        <v>0</v>
      </c>
      <c r="M362" s="88">
        <f t="shared" si="148"/>
        <v>0</v>
      </c>
      <c r="N362" s="88">
        <f t="shared" si="148"/>
        <v>0</v>
      </c>
      <c r="O362" s="88">
        <f t="shared" si="148"/>
        <v>0</v>
      </c>
      <c r="P362" s="88">
        <f t="shared" si="148"/>
        <v>0</v>
      </c>
      <c r="Q362" s="68"/>
      <c r="R362" s="68"/>
      <c r="S362" s="50"/>
      <c r="T362" s="50"/>
      <c r="U362" s="50"/>
    </row>
    <row r="363" spans="1:21" s="51" customFormat="1" ht="12" customHeight="1">
      <c r="A363" s="748">
        <v>92106</v>
      </c>
      <c r="B363" s="751" t="s">
        <v>184</v>
      </c>
      <c r="C363" s="74" t="s">
        <v>13</v>
      </c>
      <c r="D363" s="85">
        <f>E363+M363</f>
        <v>41538825</v>
      </c>
      <c r="E363" s="88">
        <f>F363+I363+J363+K363+L363</f>
        <v>30050000</v>
      </c>
      <c r="F363" s="88">
        <f>G363+H363</f>
        <v>0</v>
      </c>
      <c r="G363" s="88">
        <v>0</v>
      </c>
      <c r="H363" s="88">
        <v>0</v>
      </c>
      <c r="I363" s="88">
        <v>30050000</v>
      </c>
      <c r="J363" s="88">
        <v>0</v>
      </c>
      <c r="K363" s="88">
        <v>0</v>
      </c>
      <c r="L363" s="88">
        <v>0</v>
      </c>
      <c r="M363" s="88">
        <f t="shared" si="147"/>
        <v>11488825</v>
      </c>
      <c r="N363" s="88">
        <f>10488825+1000000</f>
        <v>11488825</v>
      </c>
      <c r="O363" s="88">
        <v>0</v>
      </c>
      <c r="P363" s="88">
        <v>0</v>
      </c>
      <c r="Q363" s="68"/>
      <c r="R363" s="68"/>
      <c r="S363" s="50"/>
      <c r="T363" s="50"/>
      <c r="U363" s="50"/>
    </row>
    <row r="364" spans="1:21" s="51" customFormat="1" ht="12" customHeight="1">
      <c r="A364" s="749"/>
      <c r="B364" s="752"/>
      <c r="C364" s="74" t="s">
        <v>14</v>
      </c>
      <c r="D364" s="85">
        <f>E364+M364</f>
        <v>68519</v>
      </c>
      <c r="E364" s="88">
        <f>F364+I364+J364+K364+L364</f>
        <v>47457</v>
      </c>
      <c r="F364" s="88">
        <f>G364+H364</f>
        <v>0</v>
      </c>
      <c r="G364" s="88"/>
      <c r="H364" s="88"/>
      <c r="I364" s="88">
        <v>47457</v>
      </c>
      <c r="J364" s="88"/>
      <c r="K364" s="88"/>
      <c r="L364" s="88"/>
      <c r="M364" s="88">
        <f t="shared" si="147"/>
        <v>21062</v>
      </c>
      <c r="N364" s="88">
        <v>21062</v>
      </c>
      <c r="O364" s="88"/>
      <c r="P364" s="88"/>
      <c r="Q364" s="68"/>
      <c r="R364" s="68"/>
      <c r="S364" s="50"/>
      <c r="T364" s="50"/>
      <c r="U364" s="50"/>
    </row>
    <row r="365" spans="1:21" s="51" customFormat="1" ht="12" customHeight="1">
      <c r="A365" s="750"/>
      <c r="B365" s="753"/>
      <c r="C365" s="74" t="s">
        <v>15</v>
      </c>
      <c r="D365" s="85">
        <f>D363+D364</f>
        <v>41607344</v>
      </c>
      <c r="E365" s="88">
        <f>E363+E364</f>
        <v>30097457</v>
      </c>
      <c r="F365" s="88">
        <f aca="true" t="shared" si="149" ref="F365:P365">F363+F364</f>
        <v>0</v>
      </c>
      <c r="G365" s="88">
        <f t="shared" si="149"/>
        <v>0</v>
      </c>
      <c r="H365" s="88">
        <f t="shared" si="149"/>
        <v>0</v>
      </c>
      <c r="I365" s="88">
        <f t="shared" si="149"/>
        <v>30097457</v>
      </c>
      <c r="J365" s="88">
        <f t="shared" si="149"/>
        <v>0</v>
      </c>
      <c r="K365" s="88">
        <f t="shared" si="149"/>
        <v>0</v>
      </c>
      <c r="L365" s="88">
        <f t="shared" si="149"/>
        <v>0</v>
      </c>
      <c r="M365" s="88">
        <f t="shared" si="149"/>
        <v>11509887</v>
      </c>
      <c r="N365" s="88">
        <f t="shared" si="149"/>
        <v>11509887</v>
      </c>
      <c r="O365" s="88">
        <f t="shared" si="149"/>
        <v>0</v>
      </c>
      <c r="P365" s="88">
        <f t="shared" si="149"/>
        <v>0</v>
      </c>
      <c r="Q365" s="68"/>
      <c r="R365" s="68"/>
      <c r="S365" s="50"/>
      <c r="T365" s="50"/>
      <c r="U365" s="50"/>
    </row>
    <row r="366" spans="1:21" s="51" customFormat="1" ht="12.75" hidden="1">
      <c r="A366" s="748">
        <v>92108</v>
      </c>
      <c r="B366" s="751" t="s">
        <v>185</v>
      </c>
      <c r="C366" s="74" t="s">
        <v>13</v>
      </c>
      <c r="D366" s="85">
        <f>E366+M366</f>
        <v>10578709</v>
      </c>
      <c r="E366" s="88">
        <f>F366+I366+J366+K366+L366</f>
        <v>9949497</v>
      </c>
      <c r="F366" s="88">
        <f>G366+H366</f>
        <v>0</v>
      </c>
      <c r="G366" s="88">
        <v>0</v>
      </c>
      <c r="H366" s="88">
        <v>0</v>
      </c>
      <c r="I366" s="88">
        <v>9949497</v>
      </c>
      <c r="J366" s="88">
        <v>0</v>
      </c>
      <c r="K366" s="88">
        <v>0</v>
      </c>
      <c r="L366" s="88">
        <v>0</v>
      </c>
      <c r="M366" s="88">
        <f t="shared" si="147"/>
        <v>629212</v>
      </c>
      <c r="N366" s="88">
        <v>629212</v>
      </c>
      <c r="O366" s="88">
        <v>0</v>
      </c>
      <c r="P366" s="88">
        <v>0</v>
      </c>
      <c r="Q366" s="68"/>
      <c r="R366" s="68"/>
      <c r="S366" s="50"/>
      <c r="T366" s="50"/>
      <c r="U366" s="50"/>
    </row>
    <row r="367" spans="1:21" s="51" customFormat="1" ht="12.75" hidden="1">
      <c r="A367" s="749"/>
      <c r="B367" s="752"/>
      <c r="C367" s="74" t="s">
        <v>14</v>
      </c>
      <c r="D367" s="85">
        <f>E367+M367</f>
        <v>0</v>
      </c>
      <c r="E367" s="88">
        <f>F367+I367+J367+K367+L367</f>
        <v>0</v>
      </c>
      <c r="F367" s="88">
        <f>G367+H367</f>
        <v>0</v>
      </c>
      <c r="G367" s="88"/>
      <c r="H367" s="88"/>
      <c r="I367" s="88"/>
      <c r="J367" s="88"/>
      <c r="K367" s="88"/>
      <c r="L367" s="88"/>
      <c r="M367" s="88">
        <f t="shared" si="147"/>
        <v>0</v>
      </c>
      <c r="N367" s="88"/>
      <c r="O367" s="88"/>
      <c r="P367" s="88"/>
      <c r="Q367" s="68"/>
      <c r="R367" s="68"/>
      <c r="S367" s="50"/>
      <c r="T367" s="50"/>
      <c r="U367" s="50"/>
    </row>
    <row r="368" spans="1:21" s="51" customFormat="1" ht="12.75" hidden="1">
      <c r="A368" s="750"/>
      <c r="B368" s="753"/>
      <c r="C368" s="74" t="s">
        <v>15</v>
      </c>
      <c r="D368" s="85">
        <f>D366+D367</f>
        <v>10578709</v>
      </c>
      <c r="E368" s="88">
        <f>E366+E367</f>
        <v>9949497</v>
      </c>
      <c r="F368" s="88">
        <f aca="true" t="shared" si="150" ref="F368:P368">F366+F367</f>
        <v>0</v>
      </c>
      <c r="G368" s="88">
        <f t="shared" si="150"/>
        <v>0</v>
      </c>
      <c r="H368" s="88">
        <f t="shared" si="150"/>
        <v>0</v>
      </c>
      <c r="I368" s="88">
        <f t="shared" si="150"/>
        <v>9949497</v>
      </c>
      <c r="J368" s="88">
        <f t="shared" si="150"/>
        <v>0</v>
      </c>
      <c r="K368" s="88">
        <f t="shared" si="150"/>
        <v>0</v>
      </c>
      <c r="L368" s="88">
        <f t="shared" si="150"/>
        <v>0</v>
      </c>
      <c r="M368" s="88">
        <f t="shared" si="150"/>
        <v>629212</v>
      </c>
      <c r="N368" s="88">
        <f t="shared" si="150"/>
        <v>629212</v>
      </c>
      <c r="O368" s="88">
        <f t="shared" si="150"/>
        <v>0</v>
      </c>
      <c r="P368" s="88">
        <f t="shared" si="150"/>
        <v>0</v>
      </c>
      <c r="Q368" s="68"/>
      <c r="R368" s="68"/>
      <c r="S368" s="50"/>
      <c r="T368" s="50"/>
      <c r="U368" s="50"/>
    </row>
    <row r="369" spans="1:21" s="51" customFormat="1" ht="12" customHeight="1">
      <c r="A369" s="748">
        <v>92109</v>
      </c>
      <c r="B369" s="751" t="s">
        <v>186</v>
      </c>
      <c r="C369" s="74" t="s">
        <v>13</v>
      </c>
      <c r="D369" s="85">
        <f>E369+M369</f>
        <v>7246474</v>
      </c>
      <c r="E369" s="88">
        <f>F369+I369+J369+K369+L369</f>
        <v>7056794</v>
      </c>
      <c r="F369" s="88">
        <f>G369+H369</f>
        <v>0</v>
      </c>
      <c r="G369" s="88">
        <v>0</v>
      </c>
      <c r="H369" s="88">
        <v>0</v>
      </c>
      <c r="I369" s="88">
        <v>7056794</v>
      </c>
      <c r="J369" s="88">
        <v>0</v>
      </c>
      <c r="K369" s="88">
        <v>0</v>
      </c>
      <c r="L369" s="88">
        <v>0</v>
      </c>
      <c r="M369" s="88">
        <f t="shared" si="147"/>
        <v>189680</v>
      </c>
      <c r="N369" s="88">
        <v>189680</v>
      </c>
      <c r="O369" s="88">
        <v>0</v>
      </c>
      <c r="P369" s="88">
        <v>0</v>
      </c>
      <c r="Q369" s="68"/>
      <c r="R369" s="68"/>
      <c r="S369" s="50"/>
      <c r="T369" s="50"/>
      <c r="U369" s="50"/>
    </row>
    <row r="370" spans="1:21" s="51" customFormat="1" ht="12" customHeight="1">
      <c r="A370" s="749"/>
      <c r="B370" s="752"/>
      <c r="C370" s="74" t="s">
        <v>14</v>
      </c>
      <c r="D370" s="85">
        <f>E370+M370</f>
        <v>20000</v>
      </c>
      <c r="E370" s="88">
        <f>F370+I370+J370+K370+L370</f>
        <v>20000</v>
      </c>
      <c r="F370" s="88">
        <f>G370+H370</f>
        <v>0</v>
      </c>
      <c r="G370" s="88"/>
      <c r="H370" s="88"/>
      <c r="I370" s="88">
        <v>20000</v>
      </c>
      <c r="J370" s="88"/>
      <c r="K370" s="88"/>
      <c r="L370" s="88"/>
      <c r="M370" s="88">
        <f t="shared" si="147"/>
        <v>0</v>
      </c>
      <c r="N370" s="88"/>
      <c r="O370" s="88"/>
      <c r="P370" s="88"/>
      <c r="Q370" s="68"/>
      <c r="R370" s="68"/>
      <c r="S370" s="50"/>
      <c r="T370" s="50"/>
      <c r="U370" s="50"/>
    </row>
    <row r="371" spans="1:21" s="51" customFormat="1" ht="12" customHeight="1">
      <c r="A371" s="750"/>
      <c r="B371" s="753"/>
      <c r="C371" s="74" t="s">
        <v>15</v>
      </c>
      <c r="D371" s="85">
        <f>D369+D370</f>
        <v>7266474</v>
      </c>
      <c r="E371" s="88">
        <f aca="true" t="shared" si="151" ref="E371:P371">E369+E370</f>
        <v>7076794</v>
      </c>
      <c r="F371" s="88">
        <f t="shared" si="151"/>
        <v>0</v>
      </c>
      <c r="G371" s="88">
        <f t="shared" si="151"/>
        <v>0</v>
      </c>
      <c r="H371" s="88">
        <f t="shared" si="151"/>
        <v>0</v>
      </c>
      <c r="I371" s="88">
        <f t="shared" si="151"/>
        <v>7076794</v>
      </c>
      <c r="J371" s="88">
        <f t="shared" si="151"/>
        <v>0</v>
      </c>
      <c r="K371" s="88">
        <f t="shared" si="151"/>
        <v>0</v>
      </c>
      <c r="L371" s="88">
        <f t="shared" si="151"/>
        <v>0</v>
      </c>
      <c r="M371" s="88">
        <f t="shared" si="151"/>
        <v>189680</v>
      </c>
      <c r="N371" s="88">
        <f t="shared" si="151"/>
        <v>189680</v>
      </c>
      <c r="O371" s="88">
        <f t="shared" si="151"/>
        <v>0</v>
      </c>
      <c r="P371" s="88">
        <f t="shared" si="151"/>
        <v>0</v>
      </c>
      <c r="Q371" s="68"/>
      <c r="R371" s="68"/>
      <c r="S371" s="50"/>
      <c r="T371" s="50"/>
      <c r="U371" s="50"/>
    </row>
    <row r="372" spans="1:21" s="51" customFormat="1" ht="12.75" hidden="1">
      <c r="A372" s="748">
        <v>92110</v>
      </c>
      <c r="B372" s="751" t="s">
        <v>187</v>
      </c>
      <c r="C372" s="74" t="s">
        <v>13</v>
      </c>
      <c r="D372" s="85">
        <f>E372+M372</f>
        <v>2499300</v>
      </c>
      <c r="E372" s="88">
        <f>F372+I372+J372+K372+L372</f>
        <v>2454300</v>
      </c>
      <c r="F372" s="88">
        <f>G372+H372</f>
        <v>0</v>
      </c>
      <c r="G372" s="88">
        <v>0</v>
      </c>
      <c r="H372" s="88">
        <v>0</v>
      </c>
      <c r="I372" s="88">
        <v>2454300</v>
      </c>
      <c r="J372" s="88">
        <v>0</v>
      </c>
      <c r="K372" s="88">
        <v>0</v>
      </c>
      <c r="L372" s="88">
        <v>0</v>
      </c>
      <c r="M372" s="88">
        <f t="shared" si="147"/>
        <v>45000</v>
      </c>
      <c r="N372" s="88">
        <v>45000</v>
      </c>
      <c r="O372" s="88">
        <v>0</v>
      </c>
      <c r="P372" s="88">
        <v>0</v>
      </c>
      <c r="Q372" s="68"/>
      <c r="R372" s="68"/>
      <c r="S372" s="50"/>
      <c r="T372" s="50"/>
      <c r="U372" s="50"/>
    </row>
    <row r="373" spans="1:21" s="51" customFormat="1" ht="12.75" hidden="1">
      <c r="A373" s="749"/>
      <c r="B373" s="752"/>
      <c r="C373" s="74" t="s">
        <v>14</v>
      </c>
      <c r="D373" s="85">
        <f>E373+M373</f>
        <v>0</v>
      </c>
      <c r="E373" s="88">
        <f>F373+I373+J373+K373+L373</f>
        <v>0</v>
      </c>
      <c r="F373" s="88">
        <f>G373+H373</f>
        <v>0</v>
      </c>
      <c r="G373" s="88"/>
      <c r="H373" s="88"/>
      <c r="I373" s="88"/>
      <c r="J373" s="88"/>
      <c r="K373" s="88"/>
      <c r="L373" s="88"/>
      <c r="M373" s="88">
        <f t="shared" si="147"/>
        <v>0</v>
      </c>
      <c r="N373" s="88"/>
      <c r="O373" s="88"/>
      <c r="P373" s="88"/>
      <c r="Q373" s="68"/>
      <c r="R373" s="68"/>
      <c r="S373" s="50"/>
      <c r="T373" s="50"/>
      <c r="U373" s="50"/>
    </row>
    <row r="374" spans="1:21" s="51" customFormat="1" ht="12.75" hidden="1">
      <c r="A374" s="750"/>
      <c r="B374" s="753"/>
      <c r="C374" s="74" t="s">
        <v>15</v>
      </c>
      <c r="D374" s="85">
        <f>D372+D373</f>
        <v>2499300</v>
      </c>
      <c r="E374" s="88">
        <f>E372+E373</f>
        <v>2454300</v>
      </c>
      <c r="F374" s="88">
        <f aca="true" t="shared" si="152" ref="F374:P374">F372+F373</f>
        <v>0</v>
      </c>
      <c r="G374" s="88">
        <f t="shared" si="152"/>
        <v>0</v>
      </c>
      <c r="H374" s="88">
        <f t="shared" si="152"/>
        <v>0</v>
      </c>
      <c r="I374" s="88">
        <f t="shared" si="152"/>
        <v>2454300</v>
      </c>
      <c r="J374" s="88">
        <f t="shared" si="152"/>
        <v>0</v>
      </c>
      <c r="K374" s="88">
        <f t="shared" si="152"/>
        <v>0</v>
      </c>
      <c r="L374" s="88">
        <f t="shared" si="152"/>
        <v>0</v>
      </c>
      <c r="M374" s="88">
        <f t="shared" si="152"/>
        <v>45000</v>
      </c>
      <c r="N374" s="88">
        <f t="shared" si="152"/>
        <v>45000</v>
      </c>
      <c r="O374" s="88">
        <f t="shared" si="152"/>
        <v>0</v>
      </c>
      <c r="P374" s="88">
        <f t="shared" si="152"/>
        <v>0</v>
      </c>
      <c r="Q374" s="68"/>
      <c r="R374" s="68"/>
      <c r="S374" s="50"/>
      <c r="T374" s="50"/>
      <c r="U374" s="50"/>
    </row>
    <row r="375" spans="1:21" s="51" customFormat="1" ht="12.75" hidden="1">
      <c r="A375" s="748">
        <v>92113</v>
      </c>
      <c r="B375" s="751" t="s">
        <v>188</v>
      </c>
      <c r="C375" s="74" t="s">
        <v>13</v>
      </c>
      <c r="D375" s="85">
        <f>E375+M375</f>
        <v>1299500</v>
      </c>
      <c r="E375" s="88">
        <f>F375+I375+J375+K375+L375</f>
        <v>1299500</v>
      </c>
      <c r="F375" s="88">
        <f>G375+H375</f>
        <v>0</v>
      </c>
      <c r="G375" s="88">
        <v>0</v>
      </c>
      <c r="H375" s="88">
        <v>0</v>
      </c>
      <c r="I375" s="88">
        <v>1299500</v>
      </c>
      <c r="J375" s="88">
        <v>0</v>
      </c>
      <c r="K375" s="88">
        <v>0</v>
      </c>
      <c r="L375" s="88">
        <v>0</v>
      </c>
      <c r="M375" s="88">
        <f t="shared" si="147"/>
        <v>0</v>
      </c>
      <c r="N375" s="88">
        <v>0</v>
      </c>
      <c r="O375" s="88">
        <v>0</v>
      </c>
      <c r="P375" s="88">
        <v>0</v>
      </c>
      <c r="Q375" s="68"/>
      <c r="R375" s="68"/>
      <c r="S375" s="50"/>
      <c r="T375" s="50"/>
      <c r="U375" s="50"/>
    </row>
    <row r="376" spans="1:21" s="51" customFormat="1" ht="12.75" hidden="1">
      <c r="A376" s="749"/>
      <c r="B376" s="752"/>
      <c r="C376" s="74" t="s">
        <v>14</v>
      </c>
      <c r="D376" s="85">
        <f>E376+M376</f>
        <v>0</v>
      </c>
      <c r="E376" s="88">
        <f>F376+I376+J376+K376+L376</f>
        <v>0</v>
      </c>
      <c r="F376" s="88">
        <f>G376+H376</f>
        <v>0</v>
      </c>
      <c r="G376" s="88"/>
      <c r="H376" s="88"/>
      <c r="I376" s="88"/>
      <c r="J376" s="88"/>
      <c r="K376" s="88"/>
      <c r="L376" s="88"/>
      <c r="M376" s="88">
        <f t="shared" si="147"/>
        <v>0</v>
      </c>
      <c r="N376" s="88"/>
      <c r="O376" s="88"/>
      <c r="P376" s="88"/>
      <c r="Q376" s="68"/>
      <c r="R376" s="68"/>
      <c r="S376" s="50"/>
      <c r="T376" s="50"/>
      <c r="U376" s="50"/>
    </row>
    <row r="377" spans="1:21" s="51" customFormat="1" ht="12.75" hidden="1">
      <c r="A377" s="750"/>
      <c r="B377" s="753"/>
      <c r="C377" s="74" t="s">
        <v>15</v>
      </c>
      <c r="D377" s="85">
        <f>D375+D376</f>
        <v>1299500</v>
      </c>
      <c r="E377" s="88">
        <f>E375+E376</f>
        <v>1299500</v>
      </c>
      <c r="F377" s="88">
        <f aca="true" t="shared" si="153" ref="F377:P377">F375+F376</f>
        <v>0</v>
      </c>
      <c r="G377" s="88">
        <f t="shared" si="153"/>
        <v>0</v>
      </c>
      <c r="H377" s="88">
        <f t="shared" si="153"/>
        <v>0</v>
      </c>
      <c r="I377" s="88">
        <f t="shared" si="153"/>
        <v>1299500</v>
      </c>
      <c r="J377" s="88">
        <f t="shared" si="153"/>
        <v>0</v>
      </c>
      <c r="K377" s="88">
        <f t="shared" si="153"/>
        <v>0</v>
      </c>
      <c r="L377" s="88">
        <f t="shared" si="153"/>
        <v>0</v>
      </c>
      <c r="M377" s="88">
        <f t="shared" si="153"/>
        <v>0</v>
      </c>
      <c r="N377" s="88">
        <f t="shared" si="153"/>
        <v>0</v>
      </c>
      <c r="O377" s="88">
        <f t="shared" si="153"/>
        <v>0</v>
      </c>
      <c r="P377" s="88">
        <f t="shared" si="153"/>
        <v>0</v>
      </c>
      <c r="Q377" s="68"/>
      <c r="R377" s="68"/>
      <c r="S377" s="50"/>
      <c r="T377" s="50"/>
      <c r="U377" s="50"/>
    </row>
    <row r="378" spans="1:21" s="51" customFormat="1" ht="12" customHeight="1">
      <c r="A378" s="748">
        <v>92116</v>
      </c>
      <c r="B378" s="751" t="s">
        <v>189</v>
      </c>
      <c r="C378" s="74" t="s">
        <v>13</v>
      </c>
      <c r="D378" s="85">
        <f>E378+M378</f>
        <v>21532300</v>
      </c>
      <c r="E378" s="88">
        <f>F378+I378+J378+K378+L378</f>
        <v>21272300</v>
      </c>
      <c r="F378" s="88">
        <f>G378+H378</f>
        <v>0</v>
      </c>
      <c r="G378" s="88">
        <v>0</v>
      </c>
      <c r="H378" s="88">
        <v>0</v>
      </c>
      <c r="I378" s="88">
        <v>21272300</v>
      </c>
      <c r="J378" s="88">
        <v>0</v>
      </c>
      <c r="K378" s="88">
        <v>0</v>
      </c>
      <c r="L378" s="88">
        <v>0</v>
      </c>
      <c r="M378" s="88">
        <f t="shared" si="147"/>
        <v>260000</v>
      </c>
      <c r="N378" s="88">
        <v>260000</v>
      </c>
      <c r="O378" s="88">
        <v>0</v>
      </c>
      <c r="P378" s="88">
        <v>0</v>
      </c>
      <c r="Q378" s="68"/>
      <c r="R378" s="68"/>
      <c r="S378" s="50"/>
      <c r="T378" s="50"/>
      <c r="U378" s="50"/>
    </row>
    <row r="379" spans="1:21" s="51" customFormat="1" ht="12" customHeight="1">
      <c r="A379" s="749"/>
      <c r="B379" s="752"/>
      <c r="C379" s="74" t="s">
        <v>14</v>
      </c>
      <c r="D379" s="85">
        <f>E379+M379</f>
        <v>96930</v>
      </c>
      <c r="E379" s="88">
        <f>F379+I379+J379+K379+L379</f>
        <v>68930</v>
      </c>
      <c r="F379" s="88">
        <f>G379+H379</f>
        <v>0</v>
      </c>
      <c r="G379" s="88"/>
      <c r="H379" s="88"/>
      <c r="I379" s="88">
        <v>68930</v>
      </c>
      <c r="J379" s="88"/>
      <c r="K379" s="88"/>
      <c r="L379" s="88"/>
      <c r="M379" s="88">
        <f t="shared" si="147"/>
        <v>28000</v>
      </c>
      <c r="N379" s="88">
        <v>28000</v>
      </c>
      <c r="O379" s="88"/>
      <c r="P379" s="88"/>
      <c r="Q379" s="68"/>
      <c r="R379" s="68"/>
      <c r="S379" s="50"/>
      <c r="T379" s="50"/>
      <c r="U379" s="50"/>
    </row>
    <row r="380" spans="1:21" s="51" customFormat="1" ht="12" customHeight="1">
      <c r="A380" s="750"/>
      <c r="B380" s="753"/>
      <c r="C380" s="74" t="s">
        <v>15</v>
      </c>
      <c r="D380" s="85">
        <f>D378+D379</f>
        <v>21629230</v>
      </c>
      <c r="E380" s="88">
        <f>E378+E379</f>
        <v>21341230</v>
      </c>
      <c r="F380" s="88">
        <f aca="true" t="shared" si="154" ref="F380:P380">F378+F379</f>
        <v>0</v>
      </c>
      <c r="G380" s="88">
        <f t="shared" si="154"/>
        <v>0</v>
      </c>
      <c r="H380" s="88">
        <f t="shared" si="154"/>
        <v>0</v>
      </c>
      <c r="I380" s="88">
        <f t="shared" si="154"/>
        <v>21341230</v>
      </c>
      <c r="J380" s="88">
        <f t="shared" si="154"/>
        <v>0</v>
      </c>
      <c r="K380" s="88">
        <f t="shared" si="154"/>
        <v>0</v>
      </c>
      <c r="L380" s="88">
        <f t="shared" si="154"/>
        <v>0</v>
      </c>
      <c r="M380" s="88">
        <f t="shared" si="154"/>
        <v>288000</v>
      </c>
      <c r="N380" s="88">
        <f t="shared" si="154"/>
        <v>288000</v>
      </c>
      <c r="O380" s="88">
        <f t="shared" si="154"/>
        <v>0</v>
      </c>
      <c r="P380" s="88">
        <f t="shared" si="154"/>
        <v>0</v>
      </c>
      <c r="Q380" s="68"/>
      <c r="R380" s="68"/>
      <c r="S380" s="50"/>
      <c r="T380" s="50"/>
      <c r="U380" s="50"/>
    </row>
    <row r="381" spans="1:21" s="51" customFormat="1" ht="12" customHeight="1">
      <c r="A381" s="748">
        <v>92118</v>
      </c>
      <c r="B381" s="751" t="s">
        <v>190</v>
      </c>
      <c r="C381" s="74" t="s">
        <v>13</v>
      </c>
      <c r="D381" s="85">
        <f>E381+M381</f>
        <v>15821280</v>
      </c>
      <c r="E381" s="88">
        <f>F381+I381+J381+K381+L381</f>
        <v>14554632</v>
      </c>
      <c r="F381" s="88">
        <f>G381+H381</f>
        <v>0</v>
      </c>
      <c r="G381" s="88">
        <v>0</v>
      </c>
      <c r="H381" s="88">
        <v>0</v>
      </c>
      <c r="I381" s="88">
        <v>14554632</v>
      </c>
      <c r="J381" s="88">
        <v>0</v>
      </c>
      <c r="K381" s="88">
        <v>0</v>
      </c>
      <c r="L381" s="88">
        <v>0</v>
      </c>
      <c r="M381" s="88">
        <f t="shared" si="147"/>
        <v>1266648</v>
      </c>
      <c r="N381" s="88">
        <v>1266648</v>
      </c>
      <c r="O381" s="88">
        <v>0</v>
      </c>
      <c r="P381" s="88">
        <v>0</v>
      </c>
      <c r="Q381" s="68"/>
      <c r="R381" s="68"/>
      <c r="S381" s="50"/>
      <c r="T381" s="50"/>
      <c r="U381" s="50"/>
    </row>
    <row r="382" spans="1:21" s="51" customFormat="1" ht="12" customHeight="1">
      <c r="A382" s="749"/>
      <c r="B382" s="752"/>
      <c r="C382" s="74" t="s">
        <v>14</v>
      </c>
      <c r="D382" s="85">
        <f>E382+M382</f>
        <v>136287</v>
      </c>
      <c r="E382" s="88">
        <f>F382+I382+J382+K382+L382</f>
        <v>136287</v>
      </c>
      <c r="F382" s="88">
        <f>G382+H382</f>
        <v>0</v>
      </c>
      <c r="G382" s="88"/>
      <c r="H382" s="88"/>
      <c r="I382" s="88">
        <v>136287</v>
      </c>
      <c r="J382" s="88"/>
      <c r="K382" s="88"/>
      <c r="L382" s="88"/>
      <c r="M382" s="88">
        <f t="shared" si="147"/>
        <v>0</v>
      </c>
      <c r="N382" s="88"/>
      <c r="O382" s="88"/>
      <c r="P382" s="88"/>
      <c r="Q382" s="68"/>
      <c r="R382" s="68"/>
      <c r="S382" s="50"/>
      <c r="T382" s="50"/>
      <c r="U382" s="50"/>
    </row>
    <row r="383" spans="1:21" s="51" customFormat="1" ht="12" customHeight="1">
      <c r="A383" s="750"/>
      <c r="B383" s="753"/>
      <c r="C383" s="74" t="s">
        <v>15</v>
      </c>
      <c r="D383" s="85">
        <f>D381+D382</f>
        <v>15957567</v>
      </c>
      <c r="E383" s="88">
        <f>E381+E382</f>
        <v>14690919</v>
      </c>
      <c r="F383" s="88">
        <f aca="true" t="shared" si="155" ref="F383:P383">F381+F382</f>
        <v>0</v>
      </c>
      <c r="G383" s="88">
        <f t="shared" si="155"/>
        <v>0</v>
      </c>
      <c r="H383" s="88">
        <f t="shared" si="155"/>
        <v>0</v>
      </c>
      <c r="I383" s="88">
        <f t="shared" si="155"/>
        <v>14690919</v>
      </c>
      <c r="J383" s="88">
        <f t="shared" si="155"/>
        <v>0</v>
      </c>
      <c r="K383" s="88">
        <f t="shared" si="155"/>
        <v>0</v>
      </c>
      <c r="L383" s="88">
        <f t="shared" si="155"/>
        <v>0</v>
      </c>
      <c r="M383" s="88">
        <f t="shared" si="155"/>
        <v>1266648</v>
      </c>
      <c r="N383" s="88">
        <f t="shared" si="155"/>
        <v>1266648</v>
      </c>
      <c r="O383" s="88">
        <f t="shared" si="155"/>
        <v>0</v>
      </c>
      <c r="P383" s="88">
        <f t="shared" si="155"/>
        <v>0</v>
      </c>
      <c r="Q383" s="68"/>
      <c r="R383" s="68"/>
      <c r="S383" s="50"/>
      <c r="T383" s="50"/>
      <c r="U383" s="50"/>
    </row>
    <row r="384" spans="1:21" s="51" customFormat="1" ht="12.75" hidden="1">
      <c r="A384" s="748">
        <v>92120</v>
      </c>
      <c r="B384" s="751" t="s">
        <v>191</v>
      </c>
      <c r="C384" s="74" t="s">
        <v>13</v>
      </c>
      <c r="D384" s="85">
        <f>E384+M384</f>
        <v>6534427</v>
      </c>
      <c r="E384" s="88">
        <f>F384+I384+J384+K384+L384</f>
        <v>6534427</v>
      </c>
      <c r="F384" s="88">
        <f>G384+H384</f>
        <v>75000</v>
      </c>
      <c r="G384" s="88">
        <v>19000</v>
      </c>
      <c r="H384" s="88">
        <f>2000+4000+50000</f>
        <v>56000</v>
      </c>
      <c r="I384" s="88">
        <v>1125000</v>
      </c>
      <c r="J384" s="88">
        <v>0</v>
      </c>
      <c r="K384" s="88">
        <v>5334427</v>
      </c>
      <c r="L384" s="88">
        <v>0</v>
      </c>
      <c r="M384" s="88">
        <f t="shared" si="147"/>
        <v>0</v>
      </c>
      <c r="N384" s="88">
        <v>0</v>
      </c>
      <c r="O384" s="88">
        <v>0</v>
      </c>
      <c r="P384" s="88">
        <v>0</v>
      </c>
      <c r="Q384" s="68"/>
      <c r="R384" s="68"/>
      <c r="S384" s="50"/>
      <c r="T384" s="50"/>
      <c r="U384" s="50"/>
    </row>
    <row r="385" spans="1:21" s="51" customFormat="1" ht="12.75" hidden="1">
      <c r="A385" s="749"/>
      <c r="B385" s="752"/>
      <c r="C385" s="74" t="s">
        <v>14</v>
      </c>
      <c r="D385" s="85">
        <f>E385+M385</f>
        <v>0</v>
      </c>
      <c r="E385" s="88">
        <f>F385+I385+J385+K385+L385</f>
        <v>0</v>
      </c>
      <c r="F385" s="88">
        <f>G385+H385</f>
        <v>0</v>
      </c>
      <c r="G385" s="88"/>
      <c r="H385" s="88"/>
      <c r="I385" s="88"/>
      <c r="J385" s="88"/>
      <c r="K385" s="88"/>
      <c r="L385" s="88"/>
      <c r="M385" s="88">
        <f t="shared" si="147"/>
        <v>0</v>
      </c>
      <c r="N385" s="88"/>
      <c r="O385" s="88"/>
      <c r="P385" s="88"/>
      <c r="Q385" s="68"/>
      <c r="R385" s="68"/>
      <c r="S385" s="50"/>
      <c r="T385" s="50"/>
      <c r="U385" s="50"/>
    </row>
    <row r="386" spans="1:21" s="51" customFormat="1" ht="12.75" hidden="1">
      <c r="A386" s="750"/>
      <c r="B386" s="753"/>
      <c r="C386" s="74" t="s">
        <v>15</v>
      </c>
      <c r="D386" s="85">
        <f>D384+D385</f>
        <v>6534427</v>
      </c>
      <c r="E386" s="88">
        <f>E384+E385</f>
        <v>6534427</v>
      </c>
      <c r="F386" s="88">
        <f aca="true" t="shared" si="156" ref="F386:P386">F384+F385</f>
        <v>75000</v>
      </c>
      <c r="G386" s="88">
        <f t="shared" si="156"/>
        <v>19000</v>
      </c>
      <c r="H386" s="88">
        <f t="shared" si="156"/>
        <v>56000</v>
      </c>
      <c r="I386" s="88">
        <f t="shared" si="156"/>
        <v>1125000</v>
      </c>
      <c r="J386" s="88">
        <f t="shared" si="156"/>
        <v>0</v>
      </c>
      <c r="K386" s="88">
        <f t="shared" si="156"/>
        <v>5334427</v>
      </c>
      <c r="L386" s="88">
        <f t="shared" si="156"/>
        <v>0</v>
      </c>
      <c r="M386" s="88">
        <f t="shared" si="156"/>
        <v>0</v>
      </c>
      <c r="N386" s="88">
        <f t="shared" si="156"/>
        <v>0</v>
      </c>
      <c r="O386" s="88">
        <f t="shared" si="156"/>
        <v>0</v>
      </c>
      <c r="P386" s="88">
        <f t="shared" si="156"/>
        <v>0</v>
      </c>
      <c r="Q386" s="68"/>
      <c r="R386" s="68"/>
      <c r="S386" s="50"/>
      <c r="T386" s="50"/>
      <c r="U386" s="50"/>
    </row>
    <row r="387" spans="1:21" s="51" customFormat="1" ht="12" customHeight="1">
      <c r="A387" s="748">
        <v>92195</v>
      </c>
      <c r="B387" s="751" t="s">
        <v>52</v>
      </c>
      <c r="C387" s="74" t="s">
        <v>13</v>
      </c>
      <c r="D387" s="85">
        <f>E387+M387</f>
        <v>30103847</v>
      </c>
      <c r="E387" s="88">
        <f>F387+I387+J387+K387+L387</f>
        <v>7845410</v>
      </c>
      <c r="F387" s="88">
        <f>G387+H387</f>
        <v>3328043</v>
      </c>
      <c r="G387" s="88">
        <v>30000</v>
      </c>
      <c r="H387" s="88">
        <f>87000+23500+3187543</f>
        <v>3298043</v>
      </c>
      <c r="I387" s="88">
        <v>3180000</v>
      </c>
      <c r="J387" s="88">
        <v>450000</v>
      </c>
      <c r="K387" s="88">
        <v>887367</v>
      </c>
      <c r="L387" s="88">
        <v>0</v>
      </c>
      <c r="M387" s="88">
        <f t="shared" si="147"/>
        <v>22258437</v>
      </c>
      <c r="N387" s="88">
        <v>22258437</v>
      </c>
      <c r="O387" s="88">
        <f>10843744+517877</f>
        <v>11361621</v>
      </c>
      <c r="P387" s="88">
        <v>0</v>
      </c>
      <c r="Q387" s="68"/>
      <c r="R387" s="68"/>
      <c r="S387" s="50"/>
      <c r="T387" s="50"/>
      <c r="U387" s="50"/>
    </row>
    <row r="388" spans="1:21" s="51" customFormat="1" ht="12" customHeight="1">
      <c r="A388" s="749"/>
      <c r="B388" s="752"/>
      <c r="C388" s="74" t="s">
        <v>14</v>
      </c>
      <c r="D388" s="85">
        <f>E388+M388</f>
        <v>-388124</v>
      </c>
      <c r="E388" s="88">
        <f>F388+I388+J388+K388+L388</f>
        <v>-488124</v>
      </c>
      <c r="F388" s="88">
        <f>G388+H388</f>
        <v>-20000</v>
      </c>
      <c r="G388" s="88"/>
      <c r="H388" s="88">
        <v>-20000</v>
      </c>
      <c r="I388" s="88">
        <v>-1120000</v>
      </c>
      <c r="J388" s="88"/>
      <c r="K388" s="88">
        <f>626720+10945+1931+3246+573+562+99+5100+900+1530+270</f>
        <v>651876</v>
      </c>
      <c r="L388" s="88"/>
      <c r="M388" s="88">
        <f t="shared" si="147"/>
        <v>100000</v>
      </c>
      <c r="N388" s="88">
        <v>100000</v>
      </c>
      <c r="O388" s="88"/>
      <c r="P388" s="88"/>
      <c r="Q388" s="68"/>
      <c r="R388" s="68"/>
      <c r="S388" s="50"/>
      <c r="T388" s="50"/>
      <c r="U388" s="50"/>
    </row>
    <row r="389" spans="1:21" s="51" customFormat="1" ht="12" customHeight="1">
      <c r="A389" s="750"/>
      <c r="B389" s="753"/>
      <c r="C389" s="74" t="s">
        <v>15</v>
      </c>
      <c r="D389" s="85">
        <f>D387+D388</f>
        <v>29715723</v>
      </c>
      <c r="E389" s="88">
        <f>E387+E388</f>
        <v>7357286</v>
      </c>
      <c r="F389" s="88">
        <f aca="true" t="shared" si="157" ref="F389:P389">F387+F388</f>
        <v>3308043</v>
      </c>
      <c r="G389" s="88">
        <f t="shared" si="157"/>
        <v>30000</v>
      </c>
      <c r="H389" s="88">
        <f t="shared" si="157"/>
        <v>3278043</v>
      </c>
      <c r="I389" s="88">
        <f t="shared" si="157"/>
        <v>2060000</v>
      </c>
      <c r="J389" s="88">
        <f t="shared" si="157"/>
        <v>450000</v>
      </c>
      <c r="K389" s="88">
        <f t="shared" si="157"/>
        <v>1539243</v>
      </c>
      <c r="L389" s="88">
        <f t="shared" si="157"/>
        <v>0</v>
      </c>
      <c r="M389" s="88">
        <f t="shared" si="157"/>
        <v>22358437</v>
      </c>
      <c r="N389" s="88">
        <f t="shared" si="157"/>
        <v>22358437</v>
      </c>
      <c r="O389" s="88">
        <f t="shared" si="157"/>
        <v>11361621</v>
      </c>
      <c r="P389" s="88">
        <f t="shared" si="157"/>
        <v>0</v>
      </c>
      <c r="Q389" s="68"/>
      <c r="R389" s="68"/>
      <c r="S389" s="50"/>
      <c r="T389" s="50"/>
      <c r="U389" s="50"/>
    </row>
    <row r="390" spans="1:21" s="35" customFormat="1" ht="18.75" customHeight="1">
      <c r="A390" s="754">
        <v>925</v>
      </c>
      <c r="B390" s="757" t="s">
        <v>40</v>
      </c>
      <c r="C390" s="77" t="s">
        <v>13</v>
      </c>
      <c r="D390" s="89">
        <f aca="true" t="shared" si="158" ref="D390:P392">D393</f>
        <v>10732858</v>
      </c>
      <c r="E390" s="83">
        <f t="shared" si="158"/>
        <v>5216981</v>
      </c>
      <c r="F390" s="83">
        <f t="shared" si="158"/>
        <v>4549094</v>
      </c>
      <c r="G390" s="83">
        <f t="shared" si="158"/>
        <v>3557422</v>
      </c>
      <c r="H390" s="83">
        <f t="shared" si="158"/>
        <v>991672</v>
      </c>
      <c r="I390" s="83">
        <f t="shared" si="158"/>
        <v>0</v>
      </c>
      <c r="J390" s="83">
        <f t="shared" si="158"/>
        <v>93300</v>
      </c>
      <c r="K390" s="83">
        <f t="shared" si="158"/>
        <v>574587</v>
      </c>
      <c r="L390" s="83">
        <f t="shared" si="158"/>
        <v>0</v>
      </c>
      <c r="M390" s="83">
        <f t="shared" si="158"/>
        <v>5515877</v>
      </c>
      <c r="N390" s="83">
        <f t="shared" si="158"/>
        <v>5515877</v>
      </c>
      <c r="O390" s="83">
        <f>O393</f>
        <v>5063033</v>
      </c>
      <c r="P390" s="83">
        <f t="shared" si="158"/>
        <v>0</v>
      </c>
      <c r="Q390" s="65"/>
      <c r="R390" s="65"/>
      <c r="S390" s="41"/>
      <c r="T390" s="41"/>
      <c r="U390" s="41"/>
    </row>
    <row r="391" spans="1:21" s="35" customFormat="1" ht="18.75" customHeight="1">
      <c r="A391" s="755"/>
      <c r="B391" s="758"/>
      <c r="C391" s="77" t="s">
        <v>14</v>
      </c>
      <c r="D391" s="89">
        <f t="shared" si="158"/>
        <v>2658514</v>
      </c>
      <c r="E391" s="83">
        <f t="shared" si="158"/>
        <v>315419</v>
      </c>
      <c r="F391" s="83">
        <f t="shared" si="158"/>
        <v>40651</v>
      </c>
      <c r="G391" s="83">
        <f t="shared" si="158"/>
        <v>0</v>
      </c>
      <c r="H391" s="83">
        <f t="shared" si="158"/>
        <v>40651</v>
      </c>
      <c r="I391" s="83">
        <f t="shared" si="158"/>
        <v>0</v>
      </c>
      <c r="J391" s="83">
        <f t="shared" si="158"/>
        <v>0</v>
      </c>
      <c r="K391" s="83">
        <f t="shared" si="158"/>
        <v>274768</v>
      </c>
      <c r="L391" s="83">
        <f t="shared" si="158"/>
        <v>0</v>
      </c>
      <c r="M391" s="83">
        <f t="shared" si="158"/>
        <v>2343095</v>
      </c>
      <c r="N391" s="83">
        <f t="shared" si="158"/>
        <v>2343095</v>
      </c>
      <c r="O391" s="83">
        <f t="shared" si="158"/>
        <v>2681029</v>
      </c>
      <c r="P391" s="83">
        <f t="shared" si="158"/>
        <v>0</v>
      </c>
      <c r="Q391" s="65"/>
      <c r="R391" s="65"/>
      <c r="S391" s="41"/>
      <c r="T391" s="41"/>
      <c r="U391" s="41"/>
    </row>
    <row r="392" spans="1:21" s="35" customFormat="1" ht="18.75" customHeight="1">
      <c r="A392" s="756"/>
      <c r="B392" s="759"/>
      <c r="C392" s="77" t="s">
        <v>15</v>
      </c>
      <c r="D392" s="89">
        <f t="shared" si="158"/>
        <v>13391372</v>
      </c>
      <c r="E392" s="83">
        <f t="shared" si="158"/>
        <v>5532400</v>
      </c>
      <c r="F392" s="83">
        <f t="shared" si="158"/>
        <v>4589745</v>
      </c>
      <c r="G392" s="83">
        <f t="shared" si="158"/>
        <v>3557422</v>
      </c>
      <c r="H392" s="83">
        <f t="shared" si="158"/>
        <v>1032323</v>
      </c>
      <c r="I392" s="83">
        <f t="shared" si="158"/>
        <v>0</v>
      </c>
      <c r="J392" s="83">
        <f t="shared" si="158"/>
        <v>93300</v>
      </c>
      <c r="K392" s="83">
        <f t="shared" si="158"/>
        <v>849355</v>
      </c>
      <c r="L392" s="83">
        <f t="shared" si="158"/>
        <v>0</v>
      </c>
      <c r="M392" s="83">
        <f t="shared" si="158"/>
        <v>7858972</v>
      </c>
      <c r="N392" s="83">
        <f t="shared" si="158"/>
        <v>7858972</v>
      </c>
      <c r="O392" s="83">
        <f t="shared" si="158"/>
        <v>7744062</v>
      </c>
      <c r="P392" s="83">
        <f t="shared" si="158"/>
        <v>0</v>
      </c>
      <c r="Q392" s="65"/>
      <c r="R392" s="65"/>
      <c r="S392" s="41"/>
      <c r="T392" s="41"/>
      <c r="U392" s="41"/>
    </row>
    <row r="393" spans="1:21" s="51" customFormat="1" ht="12" customHeight="1">
      <c r="A393" s="748">
        <v>92502</v>
      </c>
      <c r="B393" s="751" t="s">
        <v>192</v>
      </c>
      <c r="C393" s="74" t="s">
        <v>13</v>
      </c>
      <c r="D393" s="93">
        <f>E393+M393</f>
        <v>10732858</v>
      </c>
      <c r="E393" s="94">
        <f>F393+I393+J393+K393+L393</f>
        <v>5216981</v>
      </c>
      <c r="F393" s="94">
        <f>G393+H393</f>
        <v>4549094</v>
      </c>
      <c r="G393" s="94">
        <v>3557422</v>
      </c>
      <c r="H393" s="94">
        <v>991672</v>
      </c>
      <c r="I393" s="94">
        <v>0</v>
      </c>
      <c r="J393" s="94">
        <v>93300</v>
      </c>
      <c r="K393" s="94">
        <v>574587</v>
      </c>
      <c r="L393" s="94">
        <v>0</v>
      </c>
      <c r="M393" s="94">
        <f>N393+P393</f>
        <v>5515877</v>
      </c>
      <c r="N393" s="94">
        <v>5515877</v>
      </c>
      <c r="O393" s="94">
        <v>5063033</v>
      </c>
      <c r="P393" s="94">
        <v>0</v>
      </c>
      <c r="Q393" s="68"/>
      <c r="R393" s="68"/>
      <c r="S393" s="50"/>
      <c r="T393" s="50"/>
      <c r="U393" s="50"/>
    </row>
    <row r="394" spans="1:21" s="51" customFormat="1" ht="12" customHeight="1">
      <c r="A394" s="749"/>
      <c r="B394" s="752"/>
      <c r="C394" s="74" t="s">
        <v>14</v>
      </c>
      <c r="D394" s="93">
        <f>E394+M394</f>
        <v>2658514</v>
      </c>
      <c r="E394" s="94">
        <f>F394+I394+J394+K394+L394</f>
        <v>315419</v>
      </c>
      <c r="F394" s="94">
        <f>G394+H394</f>
        <v>40651</v>
      </c>
      <c r="G394" s="94"/>
      <c r="H394" s="94">
        <f>25000+13851+1800</f>
        <v>40651</v>
      </c>
      <c r="I394" s="94"/>
      <c r="J394" s="94"/>
      <c r="K394" s="94">
        <f>3970+702+380+68+23206+4096+87124+15375+134049+5798</f>
        <v>274768</v>
      </c>
      <c r="L394" s="94"/>
      <c r="M394" s="94">
        <f>N394+P394</f>
        <v>2343095</v>
      </c>
      <c r="N394" s="94">
        <f>-337934+1291363+969666+357000+63000</f>
        <v>2343095</v>
      </c>
      <c r="O394" s="94">
        <f>1291363+969666+357000+63000</f>
        <v>2681029</v>
      </c>
      <c r="P394" s="94"/>
      <c r="Q394" s="68"/>
      <c r="R394" s="68"/>
      <c r="S394" s="50"/>
      <c r="T394" s="50"/>
      <c r="U394" s="50"/>
    </row>
    <row r="395" spans="1:21" s="51" customFormat="1" ht="12" customHeight="1">
      <c r="A395" s="750"/>
      <c r="B395" s="753"/>
      <c r="C395" s="74" t="s">
        <v>15</v>
      </c>
      <c r="D395" s="93">
        <f>D393+D394</f>
        <v>13391372</v>
      </c>
      <c r="E395" s="94">
        <f>E393+E394</f>
        <v>5532400</v>
      </c>
      <c r="F395" s="94">
        <f aca="true" t="shared" si="159" ref="F395:P395">F393+F394</f>
        <v>4589745</v>
      </c>
      <c r="G395" s="94">
        <f t="shared" si="159"/>
        <v>3557422</v>
      </c>
      <c r="H395" s="94">
        <f t="shared" si="159"/>
        <v>1032323</v>
      </c>
      <c r="I395" s="94">
        <f t="shared" si="159"/>
        <v>0</v>
      </c>
      <c r="J395" s="94">
        <f t="shared" si="159"/>
        <v>93300</v>
      </c>
      <c r="K395" s="94">
        <f t="shared" si="159"/>
        <v>849355</v>
      </c>
      <c r="L395" s="94">
        <f t="shared" si="159"/>
        <v>0</v>
      </c>
      <c r="M395" s="94">
        <f t="shared" si="159"/>
        <v>7858972</v>
      </c>
      <c r="N395" s="94">
        <f t="shared" si="159"/>
        <v>7858972</v>
      </c>
      <c r="O395" s="94">
        <f t="shared" si="159"/>
        <v>7744062</v>
      </c>
      <c r="P395" s="94">
        <f t="shared" si="159"/>
        <v>0</v>
      </c>
      <c r="Q395" s="68"/>
      <c r="R395" s="68"/>
      <c r="S395" s="50"/>
      <c r="T395" s="50"/>
      <c r="U395" s="50"/>
    </row>
    <row r="396" spans="1:21" s="35" customFormat="1" ht="14.25" hidden="1">
      <c r="A396" s="754">
        <v>926</v>
      </c>
      <c r="B396" s="757" t="s">
        <v>193</v>
      </c>
      <c r="C396" s="77" t="s">
        <v>13</v>
      </c>
      <c r="D396" s="89">
        <f aca="true" t="shared" si="160" ref="D396:P398">D399</f>
        <v>7421000</v>
      </c>
      <c r="E396" s="83">
        <f t="shared" si="160"/>
        <v>5421000</v>
      </c>
      <c r="F396" s="83">
        <f t="shared" si="160"/>
        <v>270000</v>
      </c>
      <c r="G396" s="83">
        <f t="shared" si="160"/>
        <v>3000</v>
      </c>
      <c r="H396" s="83">
        <f t="shared" si="160"/>
        <v>267000</v>
      </c>
      <c r="I396" s="83">
        <f t="shared" si="160"/>
        <v>4100000</v>
      </c>
      <c r="J396" s="83">
        <f t="shared" si="160"/>
        <v>1051000</v>
      </c>
      <c r="K396" s="83">
        <f t="shared" si="160"/>
        <v>0</v>
      </c>
      <c r="L396" s="83">
        <f t="shared" si="160"/>
        <v>0</v>
      </c>
      <c r="M396" s="83">
        <f t="shared" si="160"/>
        <v>2000000</v>
      </c>
      <c r="N396" s="83">
        <f t="shared" si="160"/>
        <v>2000000</v>
      </c>
      <c r="O396" s="83">
        <f t="shared" si="160"/>
        <v>0</v>
      </c>
      <c r="P396" s="83">
        <f t="shared" si="160"/>
        <v>0</v>
      </c>
      <c r="Q396" s="65"/>
      <c r="R396" s="65"/>
      <c r="S396" s="41"/>
      <c r="T396" s="41"/>
      <c r="U396" s="41"/>
    </row>
    <row r="397" spans="1:21" s="35" customFormat="1" ht="14.25" hidden="1">
      <c r="A397" s="755"/>
      <c r="B397" s="758"/>
      <c r="C397" s="77" t="s">
        <v>14</v>
      </c>
      <c r="D397" s="89">
        <f t="shared" si="160"/>
        <v>0</v>
      </c>
      <c r="E397" s="83">
        <f t="shared" si="160"/>
        <v>0</v>
      </c>
      <c r="F397" s="83">
        <f t="shared" si="160"/>
        <v>0</v>
      </c>
      <c r="G397" s="83">
        <f t="shared" si="160"/>
        <v>0</v>
      </c>
      <c r="H397" s="83">
        <f t="shared" si="160"/>
        <v>0</v>
      </c>
      <c r="I397" s="83">
        <f t="shared" si="160"/>
        <v>0</v>
      </c>
      <c r="J397" s="83">
        <f t="shared" si="160"/>
        <v>0</v>
      </c>
      <c r="K397" s="83">
        <f t="shared" si="160"/>
        <v>0</v>
      </c>
      <c r="L397" s="83">
        <f t="shared" si="160"/>
        <v>0</v>
      </c>
      <c r="M397" s="83">
        <f t="shared" si="160"/>
        <v>0</v>
      </c>
      <c r="N397" s="83">
        <f t="shared" si="160"/>
        <v>0</v>
      </c>
      <c r="O397" s="83">
        <f t="shared" si="160"/>
        <v>0</v>
      </c>
      <c r="P397" s="83">
        <f t="shared" si="160"/>
        <v>0</v>
      </c>
      <c r="Q397" s="65"/>
      <c r="R397" s="65"/>
      <c r="S397" s="41"/>
      <c r="T397" s="41"/>
      <c r="U397" s="41"/>
    </row>
    <row r="398" spans="1:21" s="35" customFormat="1" ht="14.25" hidden="1">
      <c r="A398" s="756"/>
      <c r="B398" s="759"/>
      <c r="C398" s="77" t="s">
        <v>15</v>
      </c>
      <c r="D398" s="89">
        <f t="shared" si="160"/>
        <v>7421000</v>
      </c>
      <c r="E398" s="83">
        <f t="shared" si="160"/>
        <v>5421000</v>
      </c>
      <c r="F398" s="83">
        <f t="shared" si="160"/>
        <v>270000</v>
      </c>
      <c r="G398" s="83">
        <f t="shared" si="160"/>
        <v>3000</v>
      </c>
      <c r="H398" s="83">
        <f t="shared" si="160"/>
        <v>267000</v>
      </c>
      <c r="I398" s="83">
        <f t="shared" si="160"/>
        <v>4100000</v>
      </c>
      <c r="J398" s="83">
        <f t="shared" si="160"/>
        <v>1051000</v>
      </c>
      <c r="K398" s="83">
        <f t="shared" si="160"/>
        <v>0</v>
      </c>
      <c r="L398" s="83">
        <f t="shared" si="160"/>
        <v>0</v>
      </c>
      <c r="M398" s="83">
        <f t="shared" si="160"/>
        <v>2000000</v>
      </c>
      <c r="N398" s="83">
        <f t="shared" si="160"/>
        <v>2000000</v>
      </c>
      <c r="O398" s="83">
        <f t="shared" si="160"/>
        <v>0</v>
      </c>
      <c r="P398" s="83">
        <f t="shared" si="160"/>
        <v>0</v>
      </c>
      <c r="Q398" s="65"/>
      <c r="R398" s="65"/>
      <c r="S398" s="41"/>
      <c r="T398" s="41"/>
      <c r="U398" s="41"/>
    </row>
    <row r="399" spans="1:21" s="51" customFormat="1" ht="12.75" hidden="1">
      <c r="A399" s="748">
        <v>92605</v>
      </c>
      <c r="B399" s="751" t="s">
        <v>194</v>
      </c>
      <c r="C399" s="74" t="s">
        <v>13</v>
      </c>
      <c r="D399" s="85">
        <f>E399+M399</f>
        <v>7421000</v>
      </c>
      <c r="E399" s="88">
        <f>F399+I399+J399+K399+L399</f>
        <v>5421000</v>
      </c>
      <c r="F399" s="88">
        <f>G399+H399</f>
        <v>270000</v>
      </c>
      <c r="G399" s="88">
        <v>3000</v>
      </c>
      <c r="H399" s="88">
        <v>267000</v>
      </c>
      <c r="I399" s="88">
        <f>3900000+200000</f>
        <v>4100000</v>
      </c>
      <c r="J399" s="88">
        <v>1051000</v>
      </c>
      <c r="K399" s="88">
        <v>0</v>
      </c>
      <c r="L399" s="88">
        <v>0</v>
      </c>
      <c r="M399" s="88">
        <f>N399+P399</f>
        <v>2000000</v>
      </c>
      <c r="N399" s="88">
        <v>2000000</v>
      </c>
      <c r="O399" s="88">
        <v>0</v>
      </c>
      <c r="P399" s="88">
        <v>0</v>
      </c>
      <c r="Q399" s="68"/>
      <c r="R399" s="68"/>
      <c r="S399" s="50"/>
      <c r="T399" s="50"/>
      <c r="U399" s="50"/>
    </row>
    <row r="400" spans="1:21" s="51" customFormat="1" ht="12.75" hidden="1">
      <c r="A400" s="749"/>
      <c r="B400" s="752"/>
      <c r="C400" s="74" t="s">
        <v>14</v>
      </c>
      <c r="D400" s="85">
        <f>E400+M400</f>
        <v>0</v>
      </c>
      <c r="E400" s="88">
        <f>F400+I400+J400+K400+L400</f>
        <v>0</v>
      </c>
      <c r="F400" s="88">
        <f>G400+H400</f>
        <v>0</v>
      </c>
      <c r="G400" s="88"/>
      <c r="H400" s="88"/>
      <c r="I400" s="88"/>
      <c r="J400" s="88"/>
      <c r="K400" s="88"/>
      <c r="L400" s="88"/>
      <c r="M400" s="88">
        <f>N400+P400</f>
        <v>0</v>
      </c>
      <c r="N400" s="88"/>
      <c r="O400" s="88"/>
      <c r="P400" s="88"/>
      <c r="Q400" s="68"/>
      <c r="R400" s="68"/>
      <c r="S400" s="50"/>
      <c r="T400" s="50"/>
      <c r="U400" s="50"/>
    </row>
    <row r="401" spans="1:21" s="51" customFormat="1" ht="12.75" hidden="1">
      <c r="A401" s="750"/>
      <c r="B401" s="753"/>
      <c r="C401" s="74" t="s">
        <v>15</v>
      </c>
      <c r="D401" s="85">
        <f>D400+D399</f>
        <v>7421000</v>
      </c>
      <c r="E401" s="88">
        <f aca="true" t="shared" si="161" ref="E401:P401">E400+E399</f>
        <v>5421000</v>
      </c>
      <c r="F401" s="88">
        <f t="shared" si="161"/>
        <v>270000</v>
      </c>
      <c r="G401" s="88">
        <f t="shared" si="161"/>
        <v>3000</v>
      </c>
      <c r="H401" s="88">
        <f t="shared" si="161"/>
        <v>267000</v>
      </c>
      <c r="I401" s="88">
        <f t="shared" si="161"/>
        <v>4100000</v>
      </c>
      <c r="J401" s="88">
        <f t="shared" si="161"/>
        <v>1051000</v>
      </c>
      <c r="K401" s="88">
        <f t="shared" si="161"/>
        <v>0</v>
      </c>
      <c r="L401" s="88">
        <f t="shared" si="161"/>
        <v>0</v>
      </c>
      <c r="M401" s="88">
        <f t="shared" si="161"/>
        <v>2000000</v>
      </c>
      <c r="N401" s="88">
        <f t="shared" si="161"/>
        <v>2000000</v>
      </c>
      <c r="O401" s="88">
        <f t="shared" si="161"/>
        <v>0</v>
      </c>
      <c r="P401" s="88">
        <f t="shared" si="161"/>
        <v>0</v>
      </c>
      <c r="Q401" s="68"/>
      <c r="R401" s="68"/>
      <c r="S401" s="50"/>
      <c r="T401" s="50"/>
      <c r="U401" s="50"/>
    </row>
    <row r="402" spans="1:21" s="33" customFormat="1" ht="3.75" customHeight="1">
      <c r="A402" s="70"/>
      <c r="B402" s="62"/>
      <c r="C402" s="74"/>
      <c r="D402" s="85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39"/>
      <c r="R402" s="39"/>
      <c r="S402" s="39"/>
      <c r="T402" s="39"/>
      <c r="U402" s="39"/>
    </row>
    <row r="403" spans="1:21" s="38" customFormat="1" ht="15.75">
      <c r="A403" s="797"/>
      <c r="B403" s="798" t="s">
        <v>12</v>
      </c>
      <c r="C403" s="79" t="s">
        <v>13</v>
      </c>
      <c r="D403" s="97">
        <f aca="true" t="shared" si="162" ref="D403:P403">D14</f>
        <v>1150820209.07</v>
      </c>
      <c r="E403" s="97">
        <f t="shared" si="162"/>
        <v>703124721.0699999</v>
      </c>
      <c r="F403" s="97">
        <f t="shared" si="162"/>
        <v>258237450.07</v>
      </c>
      <c r="G403" s="97">
        <f t="shared" si="162"/>
        <v>151788624</v>
      </c>
      <c r="H403" s="97">
        <f t="shared" si="162"/>
        <v>106448826.07</v>
      </c>
      <c r="I403" s="97">
        <f t="shared" si="162"/>
        <v>246838252</v>
      </c>
      <c r="J403" s="97">
        <f t="shared" si="162"/>
        <v>3294964</v>
      </c>
      <c r="K403" s="97">
        <f t="shared" si="162"/>
        <v>152561897</v>
      </c>
      <c r="L403" s="97">
        <f t="shared" si="162"/>
        <v>42192158</v>
      </c>
      <c r="M403" s="97">
        <f t="shared" si="162"/>
        <v>447695488</v>
      </c>
      <c r="N403" s="97">
        <f t="shared" si="162"/>
        <v>426603587</v>
      </c>
      <c r="O403" s="97">
        <f t="shared" si="162"/>
        <v>295929490</v>
      </c>
      <c r="P403" s="97">
        <f t="shared" si="162"/>
        <v>21091901</v>
      </c>
      <c r="Q403" s="44"/>
      <c r="R403" s="44"/>
      <c r="S403" s="44"/>
      <c r="T403" s="44"/>
      <c r="U403" s="44"/>
    </row>
    <row r="404" spans="1:21" s="38" customFormat="1" ht="15.75">
      <c r="A404" s="797"/>
      <c r="B404" s="798"/>
      <c r="C404" s="79" t="s">
        <v>14</v>
      </c>
      <c r="D404" s="97">
        <f aca="true" t="shared" si="163" ref="D404:P404">D15</f>
        <v>72244108</v>
      </c>
      <c r="E404" s="97">
        <f t="shared" si="163"/>
        <v>62978449</v>
      </c>
      <c r="F404" s="97">
        <f t="shared" si="163"/>
        <v>17873421</v>
      </c>
      <c r="G404" s="97">
        <f t="shared" si="163"/>
        <v>668732</v>
      </c>
      <c r="H404" s="97">
        <f t="shared" si="163"/>
        <v>17204689</v>
      </c>
      <c r="I404" s="97">
        <f t="shared" si="163"/>
        <v>-1043495</v>
      </c>
      <c r="J404" s="97">
        <f t="shared" si="163"/>
        <v>0</v>
      </c>
      <c r="K404" s="97">
        <f t="shared" si="163"/>
        <v>46148523</v>
      </c>
      <c r="L404" s="97">
        <f t="shared" si="163"/>
        <v>0</v>
      </c>
      <c r="M404" s="97">
        <f t="shared" si="163"/>
        <v>9265659</v>
      </c>
      <c r="N404" s="97">
        <f t="shared" si="163"/>
        <v>7870659</v>
      </c>
      <c r="O404" s="97">
        <f t="shared" si="163"/>
        <v>-558705</v>
      </c>
      <c r="P404" s="97">
        <f t="shared" si="163"/>
        <v>1395000</v>
      </c>
      <c r="Q404" s="44"/>
      <c r="R404" s="44"/>
      <c r="S404" s="44"/>
      <c r="T404" s="44"/>
      <c r="U404" s="44"/>
    </row>
    <row r="405" spans="1:21" s="38" customFormat="1" ht="15.75">
      <c r="A405" s="797"/>
      <c r="B405" s="798"/>
      <c r="C405" s="79" t="s">
        <v>15</v>
      </c>
      <c r="D405" s="97">
        <f aca="true" t="shared" si="164" ref="D405:O405">D403+D404</f>
        <v>1223064317.07</v>
      </c>
      <c r="E405" s="97">
        <f t="shared" si="164"/>
        <v>766103170.0699999</v>
      </c>
      <c r="F405" s="97">
        <f t="shared" si="164"/>
        <v>276110871.07</v>
      </c>
      <c r="G405" s="97">
        <f t="shared" si="164"/>
        <v>152457356</v>
      </c>
      <c r="H405" s="97">
        <f t="shared" si="164"/>
        <v>123653515.07</v>
      </c>
      <c r="I405" s="97">
        <f t="shared" si="164"/>
        <v>245794757</v>
      </c>
      <c r="J405" s="97">
        <f t="shared" si="164"/>
        <v>3294964</v>
      </c>
      <c r="K405" s="97">
        <f t="shared" si="164"/>
        <v>198710420</v>
      </c>
      <c r="L405" s="97">
        <f t="shared" si="164"/>
        <v>42192158</v>
      </c>
      <c r="M405" s="97">
        <f t="shared" si="164"/>
        <v>456961147</v>
      </c>
      <c r="N405" s="97">
        <f t="shared" si="164"/>
        <v>434474246</v>
      </c>
      <c r="O405" s="97">
        <f t="shared" si="164"/>
        <v>295370785</v>
      </c>
      <c r="P405" s="97">
        <f>P403+P404</f>
        <v>22486901</v>
      </c>
      <c r="Q405" s="44"/>
      <c r="R405" s="44"/>
      <c r="S405" s="44"/>
      <c r="T405" s="44"/>
      <c r="U405" s="44"/>
    </row>
    <row r="406" spans="1:21" ht="3.75" customHeight="1">
      <c r="A406" s="71"/>
      <c r="B406" s="45"/>
      <c r="C406" s="80"/>
      <c r="D406" s="5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45"/>
      <c r="R406" s="45"/>
      <c r="S406" s="45"/>
      <c r="T406" s="45"/>
      <c r="U406" s="45"/>
    </row>
    <row r="407" spans="1:16" ht="10.5" customHeight="1">
      <c r="A407" s="30" t="s">
        <v>11</v>
      </c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</row>
    <row r="408" spans="1:17" ht="10.5" customHeight="1">
      <c r="A408" s="30" t="s">
        <v>41</v>
      </c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</row>
    <row r="409" spans="1:16" ht="10.5" customHeight="1">
      <c r="A409" s="30" t="s">
        <v>42</v>
      </c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1:16" ht="10.5" customHeight="1">
      <c r="A410" s="30" t="s">
        <v>43</v>
      </c>
      <c r="D410" s="5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</row>
    <row r="411" ht="12.75">
      <c r="C411" s="2"/>
    </row>
  </sheetData>
  <sheetProtection password="C25B" sheet="1"/>
  <mergeCells count="278">
    <mergeCell ref="A396:A398"/>
    <mergeCell ref="B396:B398"/>
    <mergeCell ref="A399:A401"/>
    <mergeCell ref="B399:B401"/>
    <mergeCell ref="A403:A405"/>
    <mergeCell ref="B403:B405"/>
    <mergeCell ref="A387:A389"/>
    <mergeCell ref="B387:B389"/>
    <mergeCell ref="A390:A392"/>
    <mergeCell ref="B390:B392"/>
    <mergeCell ref="A393:A395"/>
    <mergeCell ref="B393:B395"/>
    <mergeCell ref="A8:A11"/>
    <mergeCell ref="B8:B11"/>
    <mergeCell ref="C8:C11"/>
    <mergeCell ref="D8:D11"/>
    <mergeCell ref="E8:P8"/>
    <mergeCell ref="E9:E11"/>
    <mergeCell ref="F9:L9"/>
    <mergeCell ref="M9:M11"/>
    <mergeCell ref="N9:P9"/>
    <mergeCell ref="F10:F11"/>
    <mergeCell ref="G10:H10"/>
    <mergeCell ref="I10:I11"/>
    <mergeCell ref="J10:J11"/>
    <mergeCell ref="K10:K11"/>
    <mergeCell ref="L10:L11"/>
    <mergeCell ref="N10:N11"/>
    <mergeCell ref="B27:B29"/>
    <mergeCell ref="A30:A32"/>
    <mergeCell ref="B30:B32"/>
    <mergeCell ref="P10:P11"/>
    <mergeCell ref="A14:A16"/>
    <mergeCell ref="B14:B16"/>
    <mergeCell ref="A18:A20"/>
    <mergeCell ref="B18:B20"/>
    <mergeCell ref="A21:A23"/>
    <mergeCell ref="B21:B23"/>
    <mergeCell ref="A5:P5"/>
    <mergeCell ref="A33:A35"/>
    <mergeCell ref="B33:B35"/>
    <mergeCell ref="A36:A38"/>
    <mergeCell ref="B36:B38"/>
    <mergeCell ref="A39:A41"/>
    <mergeCell ref="B39:B41"/>
    <mergeCell ref="A24:A26"/>
    <mergeCell ref="B24:B26"/>
    <mergeCell ref="A27:A29"/>
    <mergeCell ref="A42:A44"/>
    <mergeCell ref="B42:B44"/>
    <mergeCell ref="A45:A47"/>
    <mergeCell ref="B45:B47"/>
    <mergeCell ref="A48:A50"/>
    <mergeCell ref="B48:B50"/>
    <mergeCell ref="A51:A53"/>
    <mergeCell ref="B51:B53"/>
    <mergeCell ref="A54:A56"/>
    <mergeCell ref="B54:B56"/>
    <mergeCell ref="A57:A59"/>
    <mergeCell ref="B57:B59"/>
    <mergeCell ref="A60:A62"/>
    <mergeCell ref="B60:B62"/>
    <mergeCell ref="A63:A65"/>
    <mergeCell ref="B63:B65"/>
    <mergeCell ref="A66:A68"/>
    <mergeCell ref="B66:B68"/>
    <mergeCell ref="A69:A71"/>
    <mergeCell ref="B69:B71"/>
    <mergeCell ref="A72:A74"/>
    <mergeCell ref="B72:B74"/>
    <mergeCell ref="A75:A77"/>
    <mergeCell ref="B75:B77"/>
    <mergeCell ref="A78:A80"/>
    <mergeCell ref="B78:B80"/>
    <mergeCell ref="A81:A83"/>
    <mergeCell ref="B81:B83"/>
    <mergeCell ref="A84:A86"/>
    <mergeCell ref="B84:B86"/>
    <mergeCell ref="A87:A89"/>
    <mergeCell ref="B87:B89"/>
    <mergeCell ref="A90:A92"/>
    <mergeCell ref="B90:B92"/>
    <mergeCell ref="A93:A95"/>
    <mergeCell ref="B93:B95"/>
    <mergeCell ref="A96:A98"/>
    <mergeCell ref="B96:B98"/>
    <mergeCell ref="A99:A101"/>
    <mergeCell ref="B99:B101"/>
    <mergeCell ref="A102:A104"/>
    <mergeCell ref="B102:B104"/>
    <mergeCell ref="A105:A107"/>
    <mergeCell ref="B105:B107"/>
    <mergeCell ref="A108:A110"/>
    <mergeCell ref="B108:B110"/>
    <mergeCell ref="A111:A113"/>
    <mergeCell ref="B111:B113"/>
    <mergeCell ref="A114:A116"/>
    <mergeCell ref="B114:B116"/>
    <mergeCell ref="A117:A119"/>
    <mergeCell ref="B117:B119"/>
    <mergeCell ref="A120:A122"/>
    <mergeCell ref="B120:B122"/>
    <mergeCell ref="A123:A125"/>
    <mergeCell ref="B123:B125"/>
    <mergeCell ref="A126:A128"/>
    <mergeCell ref="B126:B128"/>
    <mergeCell ref="A129:A131"/>
    <mergeCell ref="B129:B131"/>
    <mergeCell ref="A132:A134"/>
    <mergeCell ref="B132:B134"/>
    <mergeCell ref="A135:A137"/>
    <mergeCell ref="B135:B137"/>
    <mergeCell ref="A138:A140"/>
    <mergeCell ref="B138:B140"/>
    <mergeCell ref="A141:A143"/>
    <mergeCell ref="B141:B143"/>
    <mergeCell ref="A144:A146"/>
    <mergeCell ref="B144:B146"/>
    <mergeCell ref="A147:A149"/>
    <mergeCell ref="B147:B149"/>
    <mergeCell ref="A150:A152"/>
    <mergeCell ref="B150:B152"/>
    <mergeCell ref="A153:A155"/>
    <mergeCell ref="B153:B155"/>
    <mergeCell ref="A156:A158"/>
    <mergeCell ref="B156:B158"/>
    <mergeCell ref="A159:A161"/>
    <mergeCell ref="B159:B161"/>
    <mergeCell ref="A162:A164"/>
    <mergeCell ref="B162:B164"/>
    <mergeCell ref="A165:A167"/>
    <mergeCell ref="B165:B167"/>
    <mergeCell ref="A168:A170"/>
    <mergeCell ref="B168:B170"/>
    <mergeCell ref="A171:A173"/>
    <mergeCell ref="B171:B173"/>
    <mergeCell ref="A174:A176"/>
    <mergeCell ref="B174:B176"/>
    <mergeCell ref="A177:A179"/>
    <mergeCell ref="B177:B179"/>
    <mergeCell ref="A180:A182"/>
    <mergeCell ref="B180:B182"/>
    <mergeCell ref="A183:A185"/>
    <mergeCell ref="B183:B185"/>
    <mergeCell ref="A186:A188"/>
    <mergeCell ref="B186:B188"/>
    <mergeCell ref="A189:A191"/>
    <mergeCell ref="B189:B191"/>
    <mergeCell ref="A192:A194"/>
    <mergeCell ref="B192:B194"/>
    <mergeCell ref="A195:A197"/>
    <mergeCell ref="B195:B197"/>
    <mergeCell ref="A198:A200"/>
    <mergeCell ref="B198:B200"/>
    <mergeCell ref="A201:A203"/>
    <mergeCell ref="B201:B203"/>
    <mergeCell ref="A204:A206"/>
    <mergeCell ref="B204:B206"/>
    <mergeCell ref="A207:A209"/>
    <mergeCell ref="B207:B209"/>
    <mergeCell ref="A210:A212"/>
    <mergeCell ref="B210:B212"/>
    <mergeCell ref="A213:A215"/>
    <mergeCell ref="B213:B215"/>
    <mergeCell ref="A216:A218"/>
    <mergeCell ref="B216:B218"/>
    <mergeCell ref="A219:A221"/>
    <mergeCell ref="B219:B221"/>
    <mergeCell ref="A222:A224"/>
    <mergeCell ref="B222:B224"/>
    <mergeCell ref="A225:A227"/>
    <mergeCell ref="B225:B227"/>
    <mergeCell ref="A228:A230"/>
    <mergeCell ref="B228:B230"/>
    <mergeCell ref="A231:A233"/>
    <mergeCell ref="B231:B233"/>
    <mergeCell ref="A237:A239"/>
    <mergeCell ref="B237:B239"/>
    <mergeCell ref="A240:A242"/>
    <mergeCell ref="B240:B242"/>
    <mergeCell ref="A234:A236"/>
    <mergeCell ref="B234:B236"/>
    <mergeCell ref="A243:A245"/>
    <mergeCell ref="B243:B245"/>
    <mergeCell ref="A246:A248"/>
    <mergeCell ref="B246:B248"/>
    <mergeCell ref="A249:A251"/>
    <mergeCell ref="B249:B251"/>
    <mergeCell ref="A252:A254"/>
    <mergeCell ref="B252:B254"/>
    <mergeCell ref="A255:A257"/>
    <mergeCell ref="B255:B257"/>
    <mergeCell ref="A258:A260"/>
    <mergeCell ref="B258:B260"/>
    <mergeCell ref="A261:A263"/>
    <mergeCell ref="B261:B263"/>
    <mergeCell ref="A264:A266"/>
    <mergeCell ref="B264:B266"/>
    <mergeCell ref="A267:A269"/>
    <mergeCell ref="B267:B269"/>
    <mergeCell ref="A270:A272"/>
    <mergeCell ref="B270:B272"/>
    <mergeCell ref="A273:A275"/>
    <mergeCell ref="B273:B275"/>
    <mergeCell ref="A276:A278"/>
    <mergeCell ref="B276:B278"/>
    <mergeCell ref="A279:A281"/>
    <mergeCell ref="B279:B281"/>
    <mergeCell ref="A282:A284"/>
    <mergeCell ref="B282:B284"/>
    <mergeCell ref="A285:A287"/>
    <mergeCell ref="B285:B287"/>
    <mergeCell ref="A288:A290"/>
    <mergeCell ref="B288:B290"/>
    <mergeCell ref="A291:A293"/>
    <mergeCell ref="B291:B293"/>
    <mergeCell ref="A294:A296"/>
    <mergeCell ref="B294:B296"/>
    <mergeCell ref="A297:A299"/>
    <mergeCell ref="B297:B299"/>
    <mergeCell ref="A300:A302"/>
    <mergeCell ref="B300:B302"/>
    <mergeCell ref="A303:A305"/>
    <mergeCell ref="B303:B305"/>
    <mergeCell ref="A306:A308"/>
    <mergeCell ref="B306:B308"/>
    <mergeCell ref="A309:A311"/>
    <mergeCell ref="B309:B311"/>
    <mergeCell ref="A312:A314"/>
    <mergeCell ref="B312:B314"/>
    <mergeCell ref="A315:A317"/>
    <mergeCell ref="B315:B317"/>
    <mergeCell ref="A318:A320"/>
    <mergeCell ref="B318:B320"/>
    <mergeCell ref="A321:A323"/>
    <mergeCell ref="B321:B323"/>
    <mergeCell ref="A324:A326"/>
    <mergeCell ref="B324:B326"/>
    <mergeCell ref="A327:A329"/>
    <mergeCell ref="B327:B329"/>
    <mergeCell ref="A330:A332"/>
    <mergeCell ref="B330:B332"/>
    <mergeCell ref="A333:A335"/>
    <mergeCell ref="B333:B335"/>
    <mergeCell ref="A336:A338"/>
    <mergeCell ref="B336:B338"/>
    <mergeCell ref="A339:A341"/>
    <mergeCell ref="B339:B341"/>
    <mergeCell ref="A342:A344"/>
    <mergeCell ref="B342:B344"/>
    <mergeCell ref="A345:A347"/>
    <mergeCell ref="B345:B347"/>
    <mergeCell ref="A348:A350"/>
    <mergeCell ref="B348:B350"/>
    <mergeCell ref="A351:A353"/>
    <mergeCell ref="B351:B353"/>
    <mergeCell ref="A354:A356"/>
    <mergeCell ref="B354:B356"/>
    <mergeCell ref="A357:A359"/>
    <mergeCell ref="B357:B359"/>
    <mergeCell ref="A360:A362"/>
    <mergeCell ref="B360:B362"/>
    <mergeCell ref="A363:A365"/>
    <mergeCell ref="B363:B365"/>
    <mergeCell ref="A366:A368"/>
    <mergeCell ref="B366:B368"/>
    <mergeCell ref="A369:A371"/>
    <mergeCell ref="B369:B371"/>
    <mergeCell ref="A372:A374"/>
    <mergeCell ref="B372:B374"/>
    <mergeCell ref="A375:A377"/>
    <mergeCell ref="B375:B377"/>
    <mergeCell ref="A378:A380"/>
    <mergeCell ref="B378:B380"/>
    <mergeCell ref="A381:A383"/>
    <mergeCell ref="B381:B383"/>
    <mergeCell ref="A384:A386"/>
    <mergeCell ref="B384:B386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1"/>
  <sheetViews>
    <sheetView view="pageBreakPreview" zoomScaleSheetLayoutView="100" zoomScalePageLayoutView="0" workbookViewId="0" topLeftCell="A280">
      <selection activeCell="C294" sqref="C294"/>
    </sheetView>
  </sheetViews>
  <sheetFormatPr defaultColWidth="8.796875" defaultRowHeight="14.25"/>
  <cols>
    <col min="1" max="1" width="7.19921875" style="16" customWidth="1"/>
    <col min="2" max="2" width="7.09765625" style="16" customWidth="1"/>
    <col min="3" max="3" width="42.19921875" style="16" customWidth="1"/>
    <col min="4" max="4" width="14.59765625" style="16" customWidth="1"/>
    <col min="5" max="5" width="12.8984375" style="16" customWidth="1"/>
    <col min="6" max="6" width="12.3984375" style="16" customWidth="1"/>
    <col min="7" max="7" width="14.59765625" style="16" customWidth="1"/>
    <col min="8" max="16384" width="9" style="16" customWidth="1"/>
  </cols>
  <sheetData>
    <row r="1" spans="1:7" s="9" customFormat="1" ht="12.75">
      <c r="A1" s="10"/>
      <c r="B1" s="11"/>
      <c r="D1" s="6"/>
      <c r="E1" s="6" t="s">
        <v>506</v>
      </c>
      <c r="F1" s="6"/>
      <c r="G1" s="6"/>
    </row>
    <row r="2" spans="1:7" s="9" customFormat="1" ht="12.75" customHeight="1">
      <c r="A2" s="10"/>
      <c r="B2" s="11"/>
      <c r="D2" s="6"/>
      <c r="E2" s="4" t="s">
        <v>410</v>
      </c>
      <c r="F2" s="6"/>
      <c r="G2" s="6"/>
    </row>
    <row r="3" spans="1:7" s="9" customFormat="1" ht="12.75">
      <c r="A3" s="10"/>
      <c r="B3" s="11"/>
      <c r="D3" s="6"/>
      <c r="E3" s="4" t="s">
        <v>411</v>
      </c>
      <c r="F3" s="6"/>
      <c r="G3" s="6"/>
    </row>
    <row r="4" spans="1:2" s="9" customFormat="1" ht="6" customHeight="1">
      <c r="A4" s="10"/>
      <c r="B4" s="11"/>
    </row>
    <row r="5" spans="1:7" s="9" customFormat="1" ht="39" customHeight="1">
      <c r="A5" s="781" t="s">
        <v>215</v>
      </c>
      <c r="B5" s="781"/>
      <c r="C5" s="781"/>
      <c r="D5" s="781"/>
      <c r="E5" s="781"/>
      <c r="F5" s="781"/>
      <c r="G5" s="781"/>
    </row>
    <row r="6" spans="1:7" s="9" customFormat="1" ht="18.75" customHeight="1">
      <c r="A6" s="12"/>
      <c r="B6" s="12"/>
      <c r="C6" s="8"/>
      <c r="D6" s="8"/>
      <c r="E6" s="8"/>
      <c r="F6" s="8"/>
      <c r="G6" s="8" t="s">
        <v>0</v>
      </c>
    </row>
    <row r="7" spans="1:7" s="13" customFormat="1" ht="12.75">
      <c r="A7" s="17" t="s">
        <v>1</v>
      </c>
      <c r="B7" s="799" t="s">
        <v>2</v>
      </c>
      <c r="C7" s="800" t="s">
        <v>3</v>
      </c>
      <c r="D7" s="18" t="s">
        <v>4</v>
      </c>
      <c r="E7" s="802" t="s">
        <v>5</v>
      </c>
      <c r="F7" s="804" t="s">
        <v>6</v>
      </c>
      <c r="G7" s="19" t="s">
        <v>7</v>
      </c>
    </row>
    <row r="8" spans="1:7" s="13" customFormat="1" ht="14.25" customHeight="1">
      <c r="A8" s="20" t="s">
        <v>8</v>
      </c>
      <c r="B8" s="799"/>
      <c r="C8" s="801"/>
      <c r="D8" s="21" t="s">
        <v>202</v>
      </c>
      <c r="E8" s="803"/>
      <c r="F8" s="805"/>
      <c r="G8" s="22" t="s">
        <v>9</v>
      </c>
    </row>
    <row r="9" spans="1:7" s="14" customFormat="1" ht="12">
      <c r="A9" s="23">
        <v>1</v>
      </c>
      <c r="B9" s="24">
        <v>2</v>
      </c>
      <c r="C9" s="23">
        <v>3</v>
      </c>
      <c r="D9" s="24">
        <v>4</v>
      </c>
      <c r="E9" s="23">
        <v>5</v>
      </c>
      <c r="F9" s="25">
        <v>6</v>
      </c>
      <c r="G9" s="23">
        <v>7</v>
      </c>
    </row>
    <row r="10" spans="1:7" s="15" customFormat="1" ht="19.5" customHeight="1">
      <c r="A10" s="128"/>
      <c r="B10" s="132"/>
      <c r="C10" s="129" t="s">
        <v>10</v>
      </c>
      <c r="D10" s="131">
        <v>1150820209.07</v>
      </c>
      <c r="E10" s="130">
        <f>E11+E14+E35+E38+E41+E56+E79+E91+E112+E142+E187+E219+E229+E249+E278+E298</f>
        <v>96256546</v>
      </c>
      <c r="F10" s="130">
        <f>F11+F14+F35+F38+F41+F56+F79+F91+F112+F142+F187+F219+F229+F249+F278+F298</f>
        <v>24012438</v>
      </c>
      <c r="G10" s="130">
        <f>D10+E10-F10</f>
        <v>1223064317.07</v>
      </c>
    </row>
    <row r="11" spans="1:7" s="145" customFormat="1" ht="15" customHeight="1">
      <c r="A11" s="146" t="s">
        <v>102</v>
      </c>
      <c r="B11" s="147" t="s">
        <v>372</v>
      </c>
      <c r="C11" s="148" t="s">
        <v>103</v>
      </c>
      <c r="D11" s="149">
        <v>18702500</v>
      </c>
      <c r="E11" s="148">
        <f>E12</f>
        <v>0</v>
      </c>
      <c r="F11" s="148">
        <f>F12</f>
        <v>2000000</v>
      </c>
      <c r="G11" s="148">
        <f>D11+E11-F11</f>
        <v>16702500</v>
      </c>
    </row>
    <row r="12" spans="1:7" s="145" customFormat="1" ht="15" customHeight="1">
      <c r="A12" s="141">
        <v>15013</v>
      </c>
      <c r="B12" s="142" t="s">
        <v>372</v>
      </c>
      <c r="C12" s="143" t="s">
        <v>105</v>
      </c>
      <c r="D12" s="144">
        <v>11948446</v>
      </c>
      <c r="E12" s="143">
        <f>E13</f>
        <v>0</v>
      </c>
      <c r="F12" s="143">
        <f>F13</f>
        <v>2000000</v>
      </c>
      <c r="G12" s="143">
        <f aca="true" t="shared" si="0" ref="G12:G75">D12+E12-F12</f>
        <v>9948446</v>
      </c>
    </row>
    <row r="13" spans="1:7" ht="67.5" customHeight="1">
      <c r="A13" s="135" t="s">
        <v>372</v>
      </c>
      <c r="B13" s="137">
        <v>2009</v>
      </c>
      <c r="C13" s="133" t="s">
        <v>373</v>
      </c>
      <c r="D13" s="138">
        <v>3646459</v>
      </c>
      <c r="E13" s="133">
        <v>0</v>
      </c>
      <c r="F13" s="138">
        <v>2000000</v>
      </c>
      <c r="G13" s="133">
        <f t="shared" si="0"/>
        <v>1646459</v>
      </c>
    </row>
    <row r="14" spans="1:7" s="145" customFormat="1" ht="15.75" customHeight="1">
      <c r="A14" s="146" t="s">
        <v>19</v>
      </c>
      <c r="B14" s="147" t="s">
        <v>372</v>
      </c>
      <c r="C14" s="148" t="s">
        <v>20</v>
      </c>
      <c r="D14" s="149">
        <v>400193453</v>
      </c>
      <c r="E14" s="148">
        <f>E15+E17+E19+E33</f>
        <v>28237971</v>
      </c>
      <c r="F14" s="148">
        <f>F15+F17+F19+F33</f>
        <v>1130997</v>
      </c>
      <c r="G14" s="148">
        <f t="shared" si="0"/>
        <v>427300427</v>
      </c>
    </row>
    <row r="15" spans="1:7" s="145" customFormat="1" ht="15.75" customHeight="1">
      <c r="A15" s="141">
        <v>60001</v>
      </c>
      <c r="B15" s="142" t="s">
        <v>372</v>
      </c>
      <c r="C15" s="143" t="s">
        <v>112</v>
      </c>
      <c r="D15" s="144">
        <v>110582957</v>
      </c>
      <c r="E15" s="143">
        <f>E16</f>
        <v>15900830</v>
      </c>
      <c r="F15" s="143">
        <f>F16</f>
        <v>0</v>
      </c>
      <c r="G15" s="143">
        <f t="shared" si="0"/>
        <v>126483787</v>
      </c>
    </row>
    <row r="16" spans="1:7" ht="15.75" customHeight="1">
      <c r="A16" s="135" t="s">
        <v>372</v>
      </c>
      <c r="B16" s="137">
        <v>4270</v>
      </c>
      <c r="C16" s="133" t="s">
        <v>374</v>
      </c>
      <c r="D16" s="138">
        <v>9962366</v>
      </c>
      <c r="E16" s="133">
        <v>15900830</v>
      </c>
      <c r="F16" s="138">
        <v>0</v>
      </c>
      <c r="G16" s="133">
        <f t="shared" si="0"/>
        <v>25863196</v>
      </c>
    </row>
    <row r="17" spans="1:7" s="145" customFormat="1" ht="15.75" customHeight="1">
      <c r="A17" s="141">
        <v>60003</v>
      </c>
      <c r="B17" s="142" t="s">
        <v>372</v>
      </c>
      <c r="C17" s="143" t="s">
        <v>50</v>
      </c>
      <c r="D17" s="144">
        <v>37000000</v>
      </c>
      <c r="E17" s="143">
        <f>E18</f>
        <v>43831</v>
      </c>
      <c r="F17" s="143">
        <f>F18</f>
        <v>0</v>
      </c>
      <c r="G17" s="143">
        <f t="shared" si="0"/>
        <v>37043831</v>
      </c>
    </row>
    <row r="18" spans="1:7" ht="54.75" customHeight="1">
      <c r="A18" s="135" t="s">
        <v>372</v>
      </c>
      <c r="B18" s="137">
        <v>2910</v>
      </c>
      <c r="C18" s="133" t="s">
        <v>375</v>
      </c>
      <c r="D18" s="138">
        <v>0</v>
      </c>
      <c r="E18" s="133">
        <v>43831</v>
      </c>
      <c r="F18" s="138">
        <v>0</v>
      </c>
      <c r="G18" s="133">
        <f t="shared" si="0"/>
        <v>43831</v>
      </c>
    </row>
    <row r="19" spans="1:7" s="145" customFormat="1" ht="15.75" customHeight="1">
      <c r="A19" s="141">
        <v>60013</v>
      </c>
      <c r="B19" s="142" t="s">
        <v>372</v>
      </c>
      <c r="C19" s="143" t="s">
        <v>115</v>
      </c>
      <c r="D19" s="144">
        <v>240784784</v>
      </c>
      <c r="E19" s="143">
        <f>SUM(E20:E32)</f>
        <v>12293310</v>
      </c>
      <c r="F19" s="143">
        <f>SUM(F20:F32)</f>
        <v>841010</v>
      </c>
      <c r="G19" s="143">
        <f t="shared" si="0"/>
        <v>252237084</v>
      </c>
    </row>
    <row r="20" spans="1:7" ht="15.75" customHeight="1">
      <c r="A20" s="135" t="s">
        <v>372</v>
      </c>
      <c r="B20" s="137">
        <v>4210</v>
      </c>
      <c r="C20" s="133" t="s">
        <v>376</v>
      </c>
      <c r="D20" s="138">
        <v>4011671</v>
      </c>
      <c r="E20" s="133">
        <v>38500</v>
      </c>
      <c r="F20" s="138">
        <v>0</v>
      </c>
      <c r="G20" s="133">
        <f t="shared" si="0"/>
        <v>4050171</v>
      </c>
    </row>
    <row r="21" spans="1:7" ht="15.75" customHeight="1">
      <c r="A21" s="135" t="s">
        <v>372</v>
      </c>
      <c r="B21" s="137">
        <v>4260</v>
      </c>
      <c r="C21" s="133" t="s">
        <v>377</v>
      </c>
      <c r="D21" s="138">
        <v>383000</v>
      </c>
      <c r="E21" s="133">
        <v>51700</v>
      </c>
      <c r="F21" s="138">
        <v>0</v>
      </c>
      <c r="G21" s="133">
        <f t="shared" si="0"/>
        <v>434700</v>
      </c>
    </row>
    <row r="22" spans="1:7" ht="15.75" customHeight="1">
      <c r="A22" s="135" t="s">
        <v>372</v>
      </c>
      <c r="B22" s="137">
        <v>4270</v>
      </c>
      <c r="C22" s="133" t="s">
        <v>374</v>
      </c>
      <c r="D22" s="138">
        <v>8247370</v>
      </c>
      <c r="E22" s="133">
        <v>23000</v>
      </c>
      <c r="F22" s="138">
        <v>0</v>
      </c>
      <c r="G22" s="133">
        <f t="shared" si="0"/>
        <v>8270370</v>
      </c>
    </row>
    <row r="23" spans="1:7" ht="15.75" customHeight="1">
      <c r="A23" s="135" t="s">
        <v>372</v>
      </c>
      <c r="B23" s="137">
        <v>4280</v>
      </c>
      <c r="C23" s="133" t="s">
        <v>378</v>
      </c>
      <c r="D23" s="138">
        <v>17300</v>
      </c>
      <c r="E23" s="133">
        <v>3080</v>
      </c>
      <c r="F23" s="138">
        <v>0</v>
      </c>
      <c r="G23" s="133">
        <f t="shared" si="0"/>
        <v>20380</v>
      </c>
    </row>
    <row r="24" spans="1:7" ht="15.75" customHeight="1">
      <c r="A24" s="135" t="s">
        <v>372</v>
      </c>
      <c r="B24" s="137">
        <v>4300</v>
      </c>
      <c r="C24" s="133" t="s">
        <v>379</v>
      </c>
      <c r="D24" s="138">
        <v>12449946</v>
      </c>
      <c r="E24" s="133">
        <v>355624</v>
      </c>
      <c r="F24" s="138">
        <v>0</v>
      </c>
      <c r="G24" s="133">
        <f t="shared" si="0"/>
        <v>12805570</v>
      </c>
    </row>
    <row r="25" spans="1:7" ht="28.5" customHeight="1">
      <c r="A25" s="135" t="s">
        <v>372</v>
      </c>
      <c r="B25" s="137">
        <v>4400</v>
      </c>
      <c r="C25" s="133" t="s">
        <v>380</v>
      </c>
      <c r="D25" s="138">
        <v>6570</v>
      </c>
      <c r="E25" s="133">
        <v>0</v>
      </c>
      <c r="F25" s="138">
        <v>6010</v>
      </c>
      <c r="G25" s="133">
        <f t="shared" si="0"/>
        <v>560</v>
      </c>
    </row>
    <row r="26" spans="1:7" ht="15.75" customHeight="1">
      <c r="A26" s="135" t="s">
        <v>372</v>
      </c>
      <c r="B26" s="137">
        <v>4440</v>
      </c>
      <c r="C26" s="133" t="s">
        <v>381</v>
      </c>
      <c r="D26" s="138">
        <v>222251</v>
      </c>
      <c r="E26" s="133">
        <v>49820</v>
      </c>
      <c r="F26" s="138">
        <v>0</v>
      </c>
      <c r="G26" s="133">
        <f t="shared" si="0"/>
        <v>272071</v>
      </c>
    </row>
    <row r="27" spans="1:7" ht="15.75" customHeight="1">
      <c r="A27" s="135" t="s">
        <v>372</v>
      </c>
      <c r="B27" s="137">
        <v>4480</v>
      </c>
      <c r="C27" s="133" t="s">
        <v>382</v>
      </c>
      <c r="D27" s="138">
        <v>80000</v>
      </c>
      <c r="E27" s="133">
        <v>229</v>
      </c>
      <c r="F27" s="138">
        <v>0</v>
      </c>
      <c r="G27" s="133">
        <f t="shared" si="0"/>
        <v>80229</v>
      </c>
    </row>
    <row r="28" spans="1:7" ht="15.75" customHeight="1">
      <c r="A28" s="135" t="s">
        <v>372</v>
      </c>
      <c r="B28" s="137">
        <v>4520</v>
      </c>
      <c r="C28" s="133" t="s">
        <v>383</v>
      </c>
      <c r="D28" s="138">
        <v>609855</v>
      </c>
      <c r="E28" s="133">
        <v>1710</v>
      </c>
      <c r="F28" s="138">
        <v>0</v>
      </c>
      <c r="G28" s="133">
        <f t="shared" si="0"/>
        <v>611565</v>
      </c>
    </row>
    <row r="29" spans="1:7" ht="28.5" customHeight="1">
      <c r="A29" s="135" t="s">
        <v>372</v>
      </c>
      <c r="B29" s="137">
        <v>4700</v>
      </c>
      <c r="C29" s="133" t="s">
        <v>384</v>
      </c>
      <c r="D29" s="138">
        <v>15000</v>
      </c>
      <c r="E29" s="133">
        <v>35000</v>
      </c>
      <c r="F29" s="138">
        <v>0</v>
      </c>
      <c r="G29" s="133">
        <f t="shared" si="0"/>
        <v>50000</v>
      </c>
    </row>
    <row r="30" spans="1:7" ht="15.75" customHeight="1">
      <c r="A30" s="135" t="s">
        <v>372</v>
      </c>
      <c r="B30" s="137">
        <v>6050</v>
      </c>
      <c r="C30" s="133" t="s">
        <v>385</v>
      </c>
      <c r="D30" s="138">
        <v>48118003</v>
      </c>
      <c r="E30" s="133">
        <v>11657873</v>
      </c>
      <c r="F30" s="138">
        <v>0</v>
      </c>
      <c r="G30" s="133">
        <f t="shared" si="0"/>
        <v>59775876</v>
      </c>
    </row>
    <row r="31" spans="1:7" ht="15.75" customHeight="1">
      <c r="A31" s="135" t="s">
        <v>372</v>
      </c>
      <c r="B31" s="137">
        <v>6060</v>
      </c>
      <c r="C31" s="133" t="s">
        <v>386</v>
      </c>
      <c r="D31" s="138">
        <v>4700000</v>
      </c>
      <c r="E31" s="133">
        <v>0</v>
      </c>
      <c r="F31" s="138">
        <v>835000</v>
      </c>
      <c r="G31" s="133">
        <f t="shared" si="0"/>
        <v>3865000</v>
      </c>
    </row>
    <row r="32" spans="1:7" ht="42" customHeight="1">
      <c r="A32" s="135" t="s">
        <v>372</v>
      </c>
      <c r="B32" s="137">
        <v>6610</v>
      </c>
      <c r="C32" s="133" t="s">
        <v>387</v>
      </c>
      <c r="D32" s="138">
        <v>0</v>
      </c>
      <c r="E32" s="133">
        <v>76774</v>
      </c>
      <c r="F32" s="138">
        <v>0</v>
      </c>
      <c r="G32" s="133">
        <f t="shared" si="0"/>
        <v>76774</v>
      </c>
    </row>
    <row r="33" spans="1:7" s="145" customFormat="1" ht="15.75" customHeight="1">
      <c r="A33" s="141">
        <v>60014</v>
      </c>
      <c r="B33" s="142" t="s">
        <v>372</v>
      </c>
      <c r="C33" s="143" t="s">
        <v>116</v>
      </c>
      <c r="D33" s="144">
        <v>6550000</v>
      </c>
      <c r="E33" s="143">
        <f>E34</f>
        <v>0</v>
      </c>
      <c r="F33" s="143">
        <f>F34</f>
        <v>289987</v>
      </c>
      <c r="G33" s="143">
        <f t="shared" si="0"/>
        <v>6260013</v>
      </c>
    </row>
    <row r="34" spans="1:7" ht="42" customHeight="1">
      <c r="A34" s="135" t="s">
        <v>372</v>
      </c>
      <c r="B34" s="137">
        <v>6300</v>
      </c>
      <c r="C34" s="133" t="s">
        <v>388</v>
      </c>
      <c r="D34" s="138">
        <v>6550000</v>
      </c>
      <c r="E34" s="133">
        <v>0</v>
      </c>
      <c r="F34" s="138">
        <v>289987</v>
      </c>
      <c r="G34" s="133">
        <f t="shared" si="0"/>
        <v>6260013</v>
      </c>
    </row>
    <row r="35" spans="1:7" s="145" customFormat="1" ht="15.75" customHeight="1">
      <c r="A35" s="146" t="s">
        <v>68</v>
      </c>
      <c r="B35" s="147" t="s">
        <v>372</v>
      </c>
      <c r="C35" s="148" t="s">
        <v>69</v>
      </c>
      <c r="D35" s="149">
        <v>2112913</v>
      </c>
      <c r="E35" s="148">
        <f>E36</f>
        <v>2000</v>
      </c>
      <c r="F35" s="148">
        <f>F36</f>
        <v>0</v>
      </c>
      <c r="G35" s="148">
        <f t="shared" si="0"/>
        <v>2114913</v>
      </c>
    </row>
    <row r="36" spans="1:7" s="145" customFormat="1" ht="15.75" customHeight="1">
      <c r="A36" s="141">
        <v>63003</v>
      </c>
      <c r="B36" s="142" t="s">
        <v>372</v>
      </c>
      <c r="C36" s="143" t="s">
        <v>119</v>
      </c>
      <c r="D36" s="144">
        <v>652805</v>
      </c>
      <c r="E36" s="143">
        <f>E37</f>
        <v>2000</v>
      </c>
      <c r="F36" s="143">
        <f>F37</f>
        <v>0</v>
      </c>
      <c r="G36" s="143">
        <f t="shared" si="0"/>
        <v>654805</v>
      </c>
    </row>
    <row r="37" spans="1:7" ht="15.75" customHeight="1">
      <c r="A37" s="135" t="s">
        <v>372</v>
      </c>
      <c r="B37" s="137">
        <v>4430</v>
      </c>
      <c r="C37" s="133" t="s">
        <v>389</v>
      </c>
      <c r="D37" s="138">
        <v>437555</v>
      </c>
      <c r="E37" s="133">
        <v>2000</v>
      </c>
      <c r="F37" s="138">
        <v>0</v>
      </c>
      <c r="G37" s="133">
        <f t="shared" si="0"/>
        <v>439555</v>
      </c>
    </row>
    <row r="38" spans="1:7" s="145" customFormat="1" ht="15.75" customHeight="1">
      <c r="A38" s="146" t="s">
        <v>22</v>
      </c>
      <c r="B38" s="147" t="s">
        <v>372</v>
      </c>
      <c r="C38" s="148" t="s">
        <v>23</v>
      </c>
      <c r="D38" s="149">
        <v>2245140</v>
      </c>
      <c r="E38" s="148">
        <f>E39</f>
        <v>22000</v>
      </c>
      <c r="F38" s="148">
        <f>F39</f>
        <v>0</v>
      </c>
      <c r="G38" s="148">
        <f t="shared" si="0"/>
        <v>2267140</v>
      </c>
    </row>
    <row r="39" spans="1:7" s="145" customFormat="1" ht="15.75" customHeight="1">
      <c r="A39" s="141">
        <v>70005</v>
      </c>
      <c r="B39" s="142" t="s">
        <v>372</v>
      </c>
      <c r="C39" s="143" t="s">
        <v>120</v>
      </c>
      <c r="D39" s="144">
        <v>2245140</v>
      </c>
      <c r="E39" s="143">
        <f>E40</f>
        <v>22000</v>
      </c>
      <c r="F39" s="143">
        <f>F40</f>
        <v>0</v>
      </c>
      <c r="G39" s="143">
        <f t="shared" si="0"/>
        <v>2267140</v>
      </c>
    </row>
    <row r="40" spans="1:7" ht="15.75" customHeight="1">
      <c r="A40" s="135" t="s">
        <v>372</v>
      </c>
      <c r="B40" s="137">
        <v>4480</v>
      </c>
      <c r="C40" s="133" t="s">
        <v>382</v>
      </c>
      <c r="D40" s="138">
        <v>80000</v>
      </c>
      <c r="E40" s="133">
        <v>22000</v>
      </c>
      <c r="F40" s="138">
        <v>0</v>
      </c>
      <c r="G40" s="133">
        <f t="shared" si="0"/>
        <v>102000</v>
      </c>
    </row>
    <row r="41" spans="1:7" s="145" customFormat="1" ht="15.75" customHeight="1">
      <c r="A41" s="146" t="s">
        <v>70</v>
      </c>
      <c r="B41" s="147" t="s">
        <v>372</v>
      </c>
      <c r="C41" s="148" t="s">
        <v>71</v>
      </c>
      <c r="D41" s="149">
        <v>93611196</v>
      </c>
      <c r="E41" s="148">
        <f>E42</f>
        <v>4473632</v>
      </c>
      <c r="F41" s="148">
        <f>F42</f>
        <v>13108093</v>
      </c>
      <c r="G41" s="148">
        <f t="shared" si="0"/>
        <v>84976735</v>
      </c>
    </row>
    <row r="42" spans="1:7" s="145" customFormat="1" ht="15.75" customHeight="1">
      <c r="A42" s="141">
        <v>72095</v>
      </c>
      <c r="B42" s="142" t="s">
        <v>372</v>
      </c>
      <c r="C42" s="143" t="s">
        <v>52</v>
      </c>
      <c r="D42" s="144">
        <v>93611196</v>
      </c>
      <c r="E42" s="143">
        <f>SUM(E43:E55)</f>
        <v>4473632</v>
      </c>
      <c r="F42" s="143">
        <f>SUM(F43:F55)</f>
        <v>13108093</v>
      </c>
      <c r="G42" s="143">
        <f t="shared" si="0"/>
        <v>84976735</v>
      </c>
    </row>
    <row r="43" spans="1:7" ht="15.75" customHeight="1">
      <c r="A43" s="135" t="s">
        <v>372</v>
      </c>
      <c r="B43" s="137">
        <v>4217</v>
      </c>
      <c r="C43" s="133" t="s">
        <v>376</v>
      </c>
      <c r="D43" s="138">
        <v>168660</v>
      </c>
      <c r="E43" s="133">
        <v>0</v>
      </c>
      <c r="F43" s="138">
        <v>61200</v>
      </c>
      <c r="G43" s="133">
        <f t="shared" si="0"/>
        <v>107460</v>
      </c>
    </row>
    <row r="44" spans="1:7" ht="15.75" customHeight="1">
      <c r="A44" s="135" t="s">
        <v>372</v>
      </c>
      <c r="B44" s="137">
        <v>4219</v>
      </c>
      <c r="C44" s="133" t="s">
        <v>376</v>
      </c>
      <c r="D44" s="138">
        <v>29763</v>
      </c>
      <c r="E44" s="133">
        <v>0</v>
      </c>
      <c r="F44" s="138">
        <v>10800</v>
      </c>
      <c r="G44" s="133">
        <f t="shared" si="0"/>
        <v>18963</v>
      </c>
    </row>
    <row r="45" spans="1:7" ht="15.75" customHeight="1">
      <c r="A45" s="135" t="s">
        <v>372</v>
      </c>
      <c r="B45" s="137">
        <v>4307</v>
      </c>
      <c r="C45" s="133" t="s">
        <v>379</v>
      </c>
      <c r="D45" s="138">
        <v>1356430</v>
      </c>
      <c r="E45" s="133">
        <v>39785</v>
      </c>
      <c r="F45" s="138">
        <v>0</v>
      </c>
      <c r="G45" s="133">
        <f t="shared" si="0"/>
        <v>1396215</v>
      </c>
    </row>
    <row r="46" spans="1:7" ht="15.75" customHeight="1">
      <c r="A46" s="135" t="s">
        <v>372</v>
      </c>
      <c r="B46" s="137">
        <v>4309</v>
      </c>
      <c r="C46" s="133" t="s">
        <v>379</v>
      </c>
      <c r="D46" s="138">
        <v>239370</v>
      </c>
      <c r="E46" s="133">
        <v>7022</v>
      </c>
      <c r="F46" s="138">
        <v>0</v>
      </c>
      <c r="G46" s="133">
        <f t="shared" si="0"/>
        <v>246392</v>
      </c>
    </row>
    <row r="47" spans="1:7" ht="28.5" customHeight="1">
      <c r="A47" s="135" t="s">
        <v>372</v>
      </c>
      <c r="B47" s="137">
        <v>4707</v>
      </c>
      <c r="C47" s="133" t="s">
        <v>384</v>
      </c>
      <c r="D47" s="138">
        <v>19592</v>
      </c>
      <c r="E47" s="133">
        <v>4250</v>
      </c>
      <c r="F47" s="138">
        <v>0</v>
      </c>
      <c r="G47" s="133">
        <f t="shared" si="0"/>
        <v>23842</v>
      </c>
    </row>
    <row r="48" spans="1:7" ht="28.5" customHeight="1">
      <c r="A48" s="135" t="s">
        <v>372</v>
      </c>
      <c r="B48" s="137">
        <v>4709</v>
      </c>
      <c r="C48" s="133" t="s">
        <v>384</v>
      </c>
      <c r="D48" s="138">
        <v>3458</v>
      </c>
      <c r="E48" s="133">
        <v>750</v>
      </c>
      <c r="F48" s="138">
        <v>0</v>
      </c>
      <c r="G48" s="133">
        <f t="shared" si="0"/>
        <v>4208</v>
      </c>
    </row>
    <row r="49" spans="1:7" ht="15.75" customHeight="1">
      <c r="A49" s="135" t="s">
        <v>372</v>
      </c>
      <c r="B49" s="137">
        <v>6057</v>
      </c>
      <c r="C49" s="133" t="s">
        <v>385</v>
      </c>
      <c r="D49" s="138">
        <v>5028775</v>
      </c>
      <c r="E49" s="133">
        <v>0</v>
      </c>
      <c r="F49" s="138">
        <v>3124208</v>
      </c>
      <c r="G49" s="133">
        <f t="shared" si="0"/>
        <v>1904567</v>
      </c>
    </row>
    <row r="50" spans="1:7" ht="15.75" customHeight="1">
      <c r="A50" s="135" t="s">
        <v>372</v>
      </c>
      <c r="B50" s="137">
        <v>6059</v>
      </c>
      <c r="C50" s="133" t="s">
        <v>385</v>
      </c>
      <c r="D50" s="138">
        <v>887078</v>
      </c>
      <c r="E50" s="133">
        <v>0</v>
      </c>
      <c r="F50" s="138">
        <v>550978</v>
      </c>
      <c r="G50" s="133">
        <f t="shared" si="0"/>
        <v>336100</v>
      </c>
    </row>
    <row r="51" spans="1:7" ht="15.75" customHeight="1">
      <c r="A51" s="135" t="s">
        <v>372</v>
      </c>
      <c r="B51" s="137">
        <v>6067</v>
      </c>
      <c r="C51" s="133" t="s">
        <v>386</v>
      </c>
      <c r="D51" s="138">
        <v>4503175</v>
      </c>
      <c r="E51" s="133">
        <v>4421825</v>
      </c>
      <c r="F51" s="138">
        <v>0</v>
      </c>
      <c r="G51" s="133">
        <f t="shared" si="0"/>
        <v>8925000</v>
      </c>
    </row>
    <row r="52" spans="1:7" ht="15.75" customHeight="1">
      <c r="A52" s="136" t="s">
        <v>372</v>
      </c>
      <c r="B52" s="139">
        <v>6069</v>
      </c>
      <c r="C52" s="134" t="s">
        <v>386</v>
      </c>
      <c r="D52" s="140">
        <v>794678</v>
      </c>
      <c r="E52" s="134">
        <v>0</v>
      </c>
      <c r="F52" s="140">
        <v>30529</v>
      </c>
      <c r="G52" s="134">
        <f t="shared" si="0"/>
        <v>764149</v>
      </c>
    </row>
    <row r="53" spans="1:7" ht="67.5" customHeight="1">
      <c r="A53" s="305" t="s">
        <v>372</v>
      </c>
      <c r="B53" s="306">
        <v>6207</v>
      </c>
      <c r="C53" s="307" t="s">
        <v>390</v>
      </c>
      <c r="D53" s="308">
        <v>28946542</v>
      </c>
      <c r="E53" s="307">
        <v>0</v>
      </c>
      <c r="F53" s="308">
        <v>4291081</v>
      </c>
      <c r="G53" s="307">
        <f t="shared" si="0"/>
        <v>24655461</v>
      </c>
    </row>
    <row r="54" spans="1:7" ht="42.75" customHeight="1">
      <c r="A54" s="135" t="s">
        <v>372</v>
      </c>
      <c r="B54" s="137">
        <v>6229</v>
      </c>
      <c r="C54" s="133" t="s">
        <v>391</v>
      </c>
      <c r="D54" s="138">
        <v>781572</v>
      </c>
      <c r="E54" s="133">
        <v>0</v>
      </c>
      <c r="F54" s="138">
        <v>238400</v>
      </c>
      <c r="G54" s="133">
        <f t="shared" si="0"/>
        <v>543172</v>
      </c>
    </row>
    <row r="55" spans="1:7" ht="69" customHeight="1">
      <c r="A55" s="135" t="s">
        <v>372</v>
      </c>
      <c r="B55" s="137">
        <v>6257</v>
      </c>
      <c r="C55" s="133" t="s">
        <v>392</v>
      </c>
      <c r="D55" s="138">
        <v>42652008</v>
      </c>
      <c r="E55" s="133">
        <v>0</v>
      </c>
      <c r="F55" s="138">
        <v>4800897</v>
      </c>
      <c r="G55" s="133">
        <f t="shared" si="0"/>
        <v>37851111</v>
      </c>
    </row>
    <row r="56" spans="1:7" s="145" customFormat="1" ht="15.75" customHeight="1">
      <c r="A56" s="146" t="s">
        <v>28</v>
      </c>
      <c r="B56" s="147" t="s">
        <v>372</v>
      </c>
      <c r="C56" s="148" t="s">
        <v>29</v>
      </c>
      <c r="D56" s="149">
        <v>116700835</v>
      </c>
      <c r="E56" s="148">
        <f>E57+E64+E76</f>
        <v>1327535</v>
      </c>
      <c r="F56" s="148">
        <f>F57+F64+F76</f>
        <v>152648</v>
      </c>
      <c r="G56" s="148">
        <f t="shared" si="0"/>
        <v>117875722</v>
      </c>
    </row>
    <row r="57" spans="1:7" s="145" customFormat="1" ht="15.75" customHeight="1">
      <c r="A57" s="141">
        <v>75018</v>
      </c>
      <c r="B57" s="142" t="s">
        <v>372</v>
      </c>
      <c r="C57" s="143" t="s">
        <v>126</v>
      </c>
      <c r="D57" s="144">
        <v>83086937</v>
      </c>
      <c r="E57" s="143">
        <f>SUM(E58:E63)</f>
        <v>1057745</v>
      </c>
      <c r="F57" s="143">
        <f>SUM(F58:F63)</f>
        <v>0</v>
      </c>
      <c r="G57" s="143">
        <f t="shared" si="0"/>
        <v>84144682</v>
      </c>
    </row>
    <row r="58" spans="1:7" ht="15.75" customHeight="1">
      <c r="A58" s="135" t="s">
        <v>372</v>
      </c>
      <c r="B58" s="137">
        <v>4210</v>
      </c>
      <c r="C58" s="133" t="s">
        <v>376</v>
      </c>
      <c r="D58" s="138">
        <v>1401000</v>
      </c>
      <c r="E58" s="133">
        <v>100000</v>
      </c>
      <c r="F58" s="138">
        <v>0</v>
      </c>
      <c r="G58" s="133">
        <f t="shared" si="0"/>
        <v>1501000</v>
      </c>
    </row>
    <row r="59" spans="1:7" ht="15.75" customHeight="1">
      <c r="A59" s="135" t="s">
        <v>372</v>
      </c>
      <c r="B59" s="137">
        <v>4300</v>
      </c>
      <c r="C59" s="133" t="s">
        <v>379</v>
      </c>
      <c r="D59" s="138">
        <v>2477750</v>
      </c>
      <c r="E59" s="133">
        <v>96628</v>
      </c>
      <c r="F59" s="138">
        <v>0</v>
      </c>
      <c r="G59" s="133">
        <f t="shared" si="0"/>
        <v>2574378</v>
      </c>
    </row>
    <row r="60" spans="1:7" ht="15.75" customHeight="1">
      <c r="A60" s="135" t="s">
        <v>372</v>
      </c>
      <c r="B60" s="137">
        <v>4308</v>
      </c>
      <c r="C60" s="133" t="s">
        <v>379</v>
      </c>
      <c r="D60" s="138">
        <v>3382798</v>
      </c>
      <c r="E60" s="133">
        <v>646949</v>
      </c>
      <c r="F60" s="138">
        <v>0</v>
      </c>
      <c r="G60" s="133">
        <f t="shared" si="0"/>
        <v>4029747</v>
      </c>
    </row>
    <row r="61" spans="1:7" ht="15.75" customHeight="1">
      <c r="A61" s="135" t="s">
        <v>372</v>
      </c>
      <c r="B61" s="137">
        <v>4309</v>
      </c>
      <c r="C61" s="133" t="s">
        <v>379</v>
      </c>
      <c r="D61" s="138">
        <v>596964</v>
      </c>
      <c r="E61" s="133">
        <v>114168</v>
      </c>
      <c r="F61" s="138">
        <v>0</v>
      </c>
      <c r="G61" s="133">
        <f t="shared" si="0"/>
        <v>711132</v>
      </c>
    </row>
    <row r="62" spans="1:7" ht="15.75" customHeight="1">
      <c r="A62" s="135" t="s">
        <v>372</v>
      </c>
      <c r="B62" s="137">
        <v>4398</v>
      </c>
      <c r="C62" s="133" t="s">
        <v>393</v>
      </c>
      <c r="D62" s="138">
        <v>1289450</v>
      </c>
      <c r="E62" s="133">
        <v>85000</v>
      </c>
      <c r="F62" s="138">
        <v>0</v>
      </c>
      <c r="G62" s="133">
        <f t="shared" si="0"/>
        <v>1374450</v>
      </c>
    </row>
    <row r="63" spans="1:7" ht="15.75" customHeight="1">
      <c r="A63" s="135" t="s">
        <v>372</v>
      </c>
      <c r="B63" s="137">
        <v>4399</v>
      </c>
      <c r="C63" s="133" t="s">
        <v>393</v>
      </c>
      <c r="D63" s="138">
        <v>227550</v>
      </c>
      <c r="E63" s="133">
        <v>15000</v>
      </c>
      <c r="F63" s="138">
        <v>0</v>
      </c>
      <c r="G63" s="133">
        <f t="shared" si="0"/>
        <v>242550</v>
      </c>
    </row>
    <row r="64" spans="1:7" s="145" customFormat="1" ht="15.75" customHeight="1">
      <c r="A64" s="141">
        <v>75075</v>
      </c>
      <c r="B64" s="142" t="s">
        <v>372</v>
      </c>
      <c r="C64" s="143" t="s">
        <v>130</v>
      </c>
      <c r="D64" s="144">
        <v>27618078</v>
      </c>
      <c r="E64" s="143">
        <f>SUM(E65:E75)</f>
        <v>269790</v>
      </c>
      <c r="F64" s="143">
        <f>SUM(F65:F75)</f>
        <v>117648</v>
      </c>
      <c r="G64" s="143">
        <f t="shared" si="0"/>
        <v>27770220</v>
      </c>
    </row>
    <row r="65" spans="1:7" ht="15.75" customHeight="1">
      <c r="A65" s="135" t="s">
        <v>372</v>
      </c>
      <c r="B65" s="137">
        <v>4017</v>
      </c>
      <c r="C65" s="133" t="s">
        <v>394</v>
      </c>
      <c r="D65" s="138">
        <v>571873</v>
      </c>
      <c r="E65" s="133">
        <v>8645</v>
      </c>
      <c r="F65" s="138">
        <v>0</v>
      </c>
      <c r="G65" s="133">
        <f t="shared" si="0"/>
        <v>580518</v>
      </c>
    </row>
    <row r="66" spans="1:7" ht="15.75" customHeight="1">
      <c r="A66" s="135" t="s">
        <v>372</v>
      </c>
      <c r="B66" s="137">
        <v>4019</v>
      </c>
      <c r="C66" s="133" t="s">
        <v>394</v>
      </c>
      <c r="D66" s="138">
        <v>100939</v>
      </c>
      <c r="E66" s="133">
        <v>1525</v>
      </c>
      <c r="F66" s="138">
        <v>0</v>
      </c>
      <c r="G66" s="133">
        <f t="shared" si="0"/>
        <v>102464</v>
      </c>
    </row>
    <row r="67" spans="1:7" ht="15.75" customHeight="1">
      <c r="A67" s="135" t="s">
        <v>372</v>
      </c>
      <c r="B67" s="137">
        <v>4117</v>
      </c>
      <c r="C67" s="133" t="s">
        <v>395</v>
      </c>
      <c r="D67" s="138">
        <v>98713</v>
      </c>
      <c r="E67" s="133">
        <v>1486</v>
      </c>
      <c r="F67" s="138">
        <v>0</v>
      </c>
      <c r="G67" s="133">
        <f t="shared" si="0"/>
        <v>100199</v>
      </c>
    </row>
    <row r="68" spans="1:7" ht="15.75" customHeight="1">
      <c r="A68" s="135" t="s">
        <v>372</v>
      </c>
      <c r="B68" s="137">
        <v>4119</v>
      </c>
      <c r="C68" s="133" t="s">
        <v>395</v>
      </c>
      <c r="D68" s="138">
        <v>17362</v>
      </c>
      <c r="E68" s="133">
        <v>262</v>
      </c>
      <c r="F68" s="138">
        <v>0</v>
      </c>
      <c r="G68" s="133">
        <f t="shared" si="0"/>
        <v>17624</v>
      </c>
    </row>
    <row r="69" spans="1:7" ht="28.5" customHeight="1">
      <c r="A69" s="135" t="s">
        <v>372</v>
      </c>
      <c r="B69" s="137">
        <v>4127</v>
      </c>
      <c r="C69" s="133" t="s">
        <v>396</v>
      </c>
      <c r="D69" s="138">
        <v>14102</v>
      </c>
      <c r="E69" s="133">
        <v>212</v>
      </c>
      <c r="F69" s="138">
        <v>0</v>
      </c>
      <c r="G69" s="133">
        <f t="shared" si="0"/>
        <v>14314</v>
      </c>
    </row>
    <row r="70" spans="1:7" ht="28.5" customHeight="1">
      <c r="A70" s="135" t="s">
        <v>372</v>
      </c>
      <c r="B70" s="137">
        <v>4129</v>
      </c>
      <c r="C70" s="133" t="s">
        <v>396</v>
      </c>
      <c r="D70" s="138">
        <v>2489</v>
      </c>
      <c r="E70" s="133">
        <v>38</v>
      </c>
      <c r="F70" s="138">
        <v>0</v>
      </c>
      <c r="G70" s="133">
        <f t="shared" si="0"/>
        <v>2527</v>
      </c>
    </row>
    <row r="71" spans="1:7" ht="15" customHeight="1">
      <c r="A71" s="135" t="s">
        <v>372</v>
      </c>
      <c r="B71" s="137">
        <v>4217</v>
      </c>
      <c r="C71" s="133" t="s">
        <v>376</v>
      </c>
      <c r="D71" s="138">
        <v>23145</v>
      </c>
      <c r="E71" s="133">
        <v>7227</v>
      </c>
      <c r="F71" s="138">
        <v>0</v>
      </c>
      <c r="G71" s="133">
        <f t="shared" si="0"/>
        <v>30372</v>
      </c>
    </row>
    <row r="72" spans="1:7" ht="15" customHeight="1">
      <c r="A72" s="135" t="s">
        <v>372</v>
      </c>
      <c r="B72" s="137">
        <v>4219</v>
      </c>
      <c r="C72" s="133" t="s">
        <v>376</v>
      </c>
      <c r="D72" s="138">
        <v>2735</v>
      </c>
      <c r="E72" s="133">
        <v>1275</v>
      </c>
      <c r="F72" s="138">
        <v>0</v>
      </c>
      <c r="G72" s="133">
        <f t="shared" si="0"/>
        <v>4010</v>
      </c>
    </row>
    <row r="73" spans="1:7" ht="15" customHeight="1">
      <c r="A73" s="135" t="s">
        <v>372</v>
      </c>
      <c r="B73" s="137">
        <v>4300</v>
      </c>
      <c r="C73" s="133" t="s">
        <v>379</v>
      </c>
      <c r="D73" s="138">
        <v>9568000</v>
      </c>
      <c r="E73" s="133">
        <v>0</v>
      </c>
      <c r="F73" s="138">
        <v>117648</v>
      </c>
      <c r="G73" s="133">
        <f t="shared" si="0"/>
        <v>9450352</v>
      </c>
    </row>
    <row r="74" spans="1:7" ht="15" customHeight="1">
      <c r="A74" s="135" t="s">
        <v>372</v>
      </c>
      <c r="B74" s="137">
        <v>4307</v>
      </c>
      <c r="C74" s="133" t="s">
        <v>379</v>
      </c>
      <c r="D74" s="138">
        <v>9149710</v>
      </c>
      <c r="E74" s="133">
        <v>211752</v>
      </c>
      <c r="F74" s="138">
        <v>0</v>
      </c>
      <c r="G74" s="133">
        <f t="shared" si="0"/>
        <v>9361462</v>
      </c>
    </row>
    <row r="75" spans="1:7" ht="15" customHeight="1">
      <c r="A75" s="135" t="s">
        <v>372</v>
      </c>
      <c r="B75" s="137">
        <v>4309</v>
      </c>
      <c r="C75" s="133" t="s">
        <v>379</v>
      </c>
      <c r="D75" s="138">
        <v>2402585</v>
      </c>
      <c r="E75" s="133">
        <v>37368</v>
      </c>
      <c r="F75" s="138">
        <v>0</v>
      </c>
      <c r="G75" s="133">
        <f t="shared" si="0"/>
        <v>2439953</v>
      </c>
    </row>
    <row r="76" spans="1:7" s="145" customFormat="1" ht="15" customHeight="1">
      <c r="A76" s="141">
        <v>75095</v>
      </c>
      <c r="B76" s="142" t="s">
        <v>372</v>
      </c>
      <c r="C76" s="143" t="s">
        <v>52</v>
      </c>
      <c r="D76" s="144">
        <v>3899820</v>
      </c>
      <c r="E76" s="143">
        <f>SUM(E77:E78)</f>
        <v>0</v>
      </c>
      <c r="F76" s="143">
        <f>SUM(F77:F78)</f>
        <v>35000</v>
      </c>
      <c r="G76" s="143">
        <f aca="true" t="shared" si="1" ref="G76:G139">D76+E76-F76</f>
        <v>3864820</v>
      </c>
    </row>
    <row r="77" spans="1:7" ht="15" customHeight="1">
      <c r="A77" s="135" t="s">
        <v>372</v>
      </c>
      <c r="B77" s="137">
        <v>4210</v>
      </c>
      <c r="C77" s="133" t="s">
        <v>376</v>
      </c>
      <c r="D77" s="138">
        <v>184000</v>
      </c>
      <c r="E77" s="133">
        <v>0</v>
      </c>
      <c r="F77" s="138">
        <v>15000</v>
      </c>
      <c r="G77" s="133">
        <f t="shared" si="1"/>
        <v>169000</v>
      </c>
    </row>
    <row r="78" spans="1:7" ht="15" customHeight="1">
      <c r="A78" s="135" t="s">
        <v>372</v>
      </c>
      <c r="B78" s="137">
        <v>4300</v>
      </c>
      <c r="C78" s="133" t="s">
        <v>379</v>
      </c>
      <c r="D78" s="138">
        <v>1226302</v>
      </c>
      <c r="E78" s="133">
        <v>0</v>
      </c>
      <c r="F78" s="138">
        <v>20000</v>
      </c>
      <c r="G78" s="133">
        <f t="shared" si="1"/>
        <v>1206302</v>
      </c>
    </row>
    <row r="79" spans="1:7" s="145" customFormat="1" ht="15" customHeight="1">
      <c r="A79" s="146" t="s">
        <v>31</v>
      </c>
      <c r="B79" s="147" t="s">
        <v>372</v>
      </c>
      <c r="C79" s="148" t="s">
        <v>32</v>
      </c>
      <c r="D79" s="149">
        <v>86658991</v>
      </c>
      <c r="E79" s="148">
        <f>E80</f>
        <v>267402</v>
      </c>
      <c r="F79" s="148">
        <f>F80</f>
        <v>2082187</v>
      </c>
      <c r="G79" s="148">
        <f t="shared" si="1"/>
        <v>84844206</v>
      </c>
    </row>
    <row r="80" spans="1:7" s="145" customFormat="1" ht="15" customHeight="1">
      <c r="A80" s="141">
        <v>80195</v>
      </c>
      <c r="B80" s="142" t="s">
        <v>372</v>
      </c>
      <c r="C80" s="143" t="s">
        <v>52</v>
      </c>
      <c r="D80" s="144">
        <v>9715813</v>
      </c>
      <c r="E80" s="143">
        <f>SUM(E81:E90)</f>
        <v>267402</v>
      </c>
      <c r="F80" s="143">
        <f>SUM(F81:F90)</f>
        <v>2082187</v>
      </c>
      <c r="G80" s="143">
        <f t="shared" si="1"/>
        <v>7901028</v>
      </c>
    </row>
    <row r="81" spans="1:7" ht="69" customHeight="1">
      <c r="A81" s="135" t="s">
        <v>372</v>
      </c>
      <c r="B81" s="137">
        <v>2009</v>
      </c>
      <c r="C81" s="133" t="s">
        <v>373</v>
      </c>
      <c r="D81" s="138">
        <v>1293500</v>
      </c>
      <c r="E81" s="133">
        <v>0</v>
      </c>
      <c r="F81" s="138">
        <v>685000</v>
      </c>
      <c r="G81" s="133">
        <f t="shared" si="1"/>
        <v>608500</v>
      </c>
    </row>
    <row r="82" spans="1:7" ht="69" customHeight="1">
      <c r="A82" s="135" t="s">
        <v>372</v>
      </c>
      <c r="B82" s="137">
        <v>2059</v>
      </c>
      <c r="C82" s="133" t="s">
        <v>408</v>
      </c>
      <c r="D82" s="138">
        <v>3027366</v>
      </c>
      <c r="E82" s="133">
        <v>0</v>
      </c>
      <c r="F82" s="138">
        <v>1100000</v>
      </c>
      <c r="G82" s="133">
        <f t="shared" si="1"/>
        <v>1927366</v>
      </c>
    </row>
    <row r="83" spans="1:7" ht="15" customHeight="1">
      <c r="A83" s="135" t="s">
        <v>372</v>
      </c>
      <c r="B83" s="137">
        <v>4017</v>
      </c>
      <c r="C83" s="133" t="s">
        <v>394</v>
      </c>
      <c r="D83" s="138">
        <v>323388</v>
      </c>
      <c r="E83" s="133">
        <v>7180</v>
      </c>
      <c r="F83" s="138">
        <v>0</v>
      </c>
      <c r="G83" s="133">
        <f t="shared" si="1"/>
        <v>330568</v>
      </c>
    </row>
    <row r="84" spans="1:7" ht="15" customHeight="1">
      <c r="A84" s="135" t="s">
        <v>372</v>
      </c>
      <c r="B84" s="150">
        <v>4019</v>
      </c>
      <c r="C84" s="133" t="s">
        <v>394</v>
      </c>
      <c r="D84" s="138">
        <v>20096</v>
      </c>
      <c r="E84" s="133">
        <v>845</v>
      </c>
      <c r="F84" s="138">
        <v>0</v>
      </c>
      <c r="G84" s="133">
        <f t="shared" si="1"/>
        <v>20941</v>
      </c>
    </row>
    <row r="85" spans="1:7" ht="15" customHeight="1">
      <c r="A85" s="135" t="s">
        <v>372</v>
      </c>
      <c r="B85" s="150">
        <v>4117</v>
      </c>
      <c r="C85" s="133" t="s">
        <v>395</v>
      </c>
      <c r="D85" s="138">
        <v>56139</v>
      </c>
      <c r="E85" s="133">
        <v>1234</v>
      </c>
      <c r="F85" s="138">
        <v>0</v>
      </c>
      <c r="G85" s="133">
        <f t="shared" si="1"/>
        <v>57373</v>
      </c>
    </row>
    <row r="86" spans="1:7" ht="15" customHeight="1">
      <c r="A86" s="135" t="s">
        <v>372</v>
      </c>
      <c r="B86" s="150">
        <v>4119</v>
      </c>
      <c r="C86" s="133" t="s">
        <v>395</v>
      </c>
      <c r="D86" s="138">
        <v>3797</v>
      </c>
      <c r="E86" s="133">
        <v>145</v>
      </c>
      <c r="F86" s="138">
        <v>0</v>
      </c>
      <c r="G86" s="133">
        <f t="shared" si="1"/>
        <v>3942</v>
      </c>
    </row>
    <row r="87" spans="1:7" ht="28.5" customHeight="1">
      <c r="A87" s="135" t="s">
        <v>372</v>
      </c>
      <c r="B87" s="150">
        <v>4127</v>
      </c>
      <c r="C87" s="133" t="s">
        <v>396</v>
      </c>
      <c r="D87" s="138">
        <v>7710</v>
      </c>
      <c r="E87" s="133">
        <v>175</v>
      </c>
      <c r="F87" s="138">
        <v>0</v>
      </c>
      <c r="G87" s="133">
        <f t="shared" si="1"/>
        <v>7885</v>
      </c>
    </row>
    <row r="88" spans="1:7" ht="28.5" customHeight="1">
      <c r="A88" s="135" t="s">
        <v>372</v>
      </c>
      <c r="B88" s="150">
        <v>4129</v>
      </c>
      <c r="C88" s="133" t="s">
        <v>396</v>
      </c>
      <c r="D88" s="138">
        <v>410</v>
      </c>
      <c r="E88" s="133">
        <v>21</v>
      </c>
      <c r="F88" s="138">
        <v>0</v>
      </c>
      <c r="G88" s="133">
        <f t="shared" si="1"/>
        <v>431</v>
      </c>
    </row>
    <row r="89" spans="1:7" ht="15" customHeight="1">
      <c r="A89" s="135" t="s">
        <v>372</v>
      </c>
      <c r="B89" s="150">
        <v>4307</v>
      </c>
      <c r="C89" s="133" t="s">
        <v>379</v>
      </c>
      <c r="D89" s="138">
        <v>989767</v>
      </c>
      <c r="E89" s="133">
        <v>0</v>
      </c>
      <c r="F89" s="138">
        <v>297187</v>
      </c>
      <c r="G89" s="133">
        <f t="shared" si="1"/>
        <v>692580</v>
      </c>
    </row>
    <row r="90" spans="1:7" ht="15" customHeight="1">
      <c r="A90" s="135" t="s">
        <v>372</v>
      </c>
      <c r="B90" s="150">
        <v>4309</v>
      </c>
      <c r="C90" s="133" t="s">
        <v>379</v>
      </c>
      <c r="D90" s="138">
        <v>101098</v>
      </c>
      <c r="E90" s="133">
        <v>257802</v>
      </c>
      <c r="F90" s="138">
        <v>0</v>
      </c>
      <c r="G90" s="133">
        <f t="shared" si="1"/>
        <v>358900</v>
      </c>
    </row>
    <row r="91" spans="1:7" s="145" customFormat="1" ht="15" customHeight="1">
      <c r="A91" s="146" t="s">
        <v>34</v>
      </c>
      <c r="B91" s="151" t="s">
        <v>372</v>
      </c>
      <c r="C91" s="148" t="s">
        <v>35</v>
      </c>
      <c r="D91" s="149">
        <v>43715256</v>
      </c>
      <c r="E91" s="148">
        <f>E92+E96+E98+E101+E103</f>
        <v>8514089</v>
      </c>
      <c r="F91" s="148">
        <f>F92+F96+F98+F101+F103</f>
        <v>700000</v>
      </c>
      <c r="G91" s="148">
        <f t="shared" si="1"/>
        <v>51529345</v>
      </c>
    </row>
    <row r="92" spans="1:7" s="145" customFormat="1" ht="15" customHeight="1">
      <c r="A92" s="141">
        <v>85111</v>
      </c>
      <c r="B92" s="152" t="s">
        <v>372</v>
      </c>
      <c r="C92" s="143" t="s">
        <v>162</v>
      </c>
      <c r="D92" s="144">
        <v>18141139</v>
      </c>
      <c r="E92" s="143">
        <f>SUM(E93:E95)</f>
        <v>2470000</v>
      </c>
      <c r="F92" s="143">
        <f>SUM(F93:F95)</f>
        <v>0</v>
      </c>
      <c r="G92" s="143">
        <f t="shared" si="1"/>
        <v>20611139</v>
      </c>
    </row>
    <row r="93" spans="1:7" ht="15.75" customHeight="1">
      <c r="A93" s="135" t="s">
        <v>372</v>
      </c>
      <c r="B93" s="150">
        <v>6058</v>
      </c>
      <c r="C93" s="133" t="s">
        <v>385</v>
      </c>
      <c r="D93" s="138">
        <v>0</v>
      </c>
      <c r="E93" s="133">
        <v>2014500</v>
      </c>
      <c r="F93" s="138">
        <v>0</v>
      </c>
      <c r="G93" s="133">
        <f t="shared" si="1"/>
        <v>2014500</v>
      </c>
    </row>
    <row r="94" spans="1:7" ht="15.75" customHeight="1">
      <c r="A94" s="136" t="s">
        <v>372</v>
      </c>
      <c r="B94" s="153">
        <v>6059</v>
      </c>
      <c r="C94" s="134" t="s">
        <v>385</v>
      </c>
      <c r="D94" s="140">
        <v>0</v>
      </c>
      <c r="E94" s="134">
        <v>355500</v>
      </c>
      <c r="F94" s="140">
        <v>0</v>
      </c>
      <c r="G94" s="134">
        <f t="shared" si="1"/>
        <v>355500</v>
      </c>
    </row>
    <row r="95" spans="1:7" ht="69" customHeight="1">
      <c r="A95" s="305" t="s">
        <v>372</v>
      </c>
      <c r="B95" s="309">
        <v>6209</v>
      </c>
      <c r="C95" s="307" t="s">
        <v>390</v>
      </c>
      <c r="D95" s="308">
        <v>9511758</v>
      </c>
      <c r="E95" s="307">
        <v>100000</v>
      </c>
      <c r="F95" s="308">
        <v>0</v>
      </c>
      <c r="G95" s="307">
        <f t="shared" si="1"/>
        <v>9611758</v>
      </c>
    </row>
    <row r="96" spans="1:7" s="145" customFormat="1" ht="15.75" customHeight="1">
      <c r="A96" s="141">
        <v>85119</v>
      </c>
      <c r="B96" s="152" t="s">
        <v>372</v>
      </c>
      <c r="C96" s="143" t="s">
        <v>371</v>
      </c>
      <c r="D96" s="144">
        <v>0</v>
      </c>
      <c r="E96" s="143">
        <f>E97</f>
        <v>1395000</v>
      </c>
      <c r="F96" s="143">
        <f>F97</f>
        <v>0</v>
      </c>
      <c r="G96" s="143">
        <f t="shared" si="1"/>
        <v>1395000</v>
      </c>
    </row>
    <row r="97" spans="1:7" ht="15.75" customHeight="1">
      <c r="A97" s="135" t="s">
        <v>372</v>
      </c>
      <c r="B97" s="150">
        <v>6010</v>
      </c>
      <c r="C97" s="133" t="s">
        <v>397</v>
      </c>
      <c r="D97" s="138">
        <v>0</v>
      </c>
      <c r="E97" s="133">
        <v>1395000</v>
      </c>
      <c r="F97" s="138">
        <v>0</v>
      </c>
      <c r="G97" s="133">
        <f t="shared" si="1"/>
        <v>1395000</v>
      </c>
    </row>
    <row r="98" spans="1:7" s="145" customFormat="1" ht="15.75" customHeight="1">
      <c r="A98" s="141">
        <v>85148</v>
      </c>
      <c r="B98" s="152" t="s">
        <v>372</v>
      </c>
      <c r="C98" s="143" t="s">
        <v>164</v>
      </c>
      <c r="D98" s="144">
        <v>3435114</v>
      </c>
      <c r="E98" s="143">
        <f>SUM(E99:E100)</f>
        <v>781147</v>
      </c>
      <c r="F98" s="143">
        <f>SUM(F99:F100)</f>
        <v>0</v>
      </c>
      <c r="G98" s="143">
        <f t="shared" si="1"/>
        <v>4216261</v>
      </c>
    </row>
    <row r="99" spans="1:7" ht="15.75" customHeight="1">
      <c r="A99" s="135" t="s">
        <v>372</v>
      </c>
      <c r="B99" s="150">
        <v>4280</v>
      </c>
      <c r="C99" s="133" t="s">
        <v>378</v>
      </c>
      <c r="D99" s="138">
        <v>3435114</v>
      </c>
      <c r="E99" s="133">
        <v>582575</v>
      </c>
      <c r="F99" s="138">
        <v>0</v>
      </c>
      <c r="G99" s="133">
        <f t="shared" si="1"/>
        <v>4017689</v>
      </c>
    </row>
    <row r="100" spans="1:7" ht="44.25" customHeight="1">
      <c r="A100" s="135" t="s">
        <v>372</v>
      </c>
      <c r="B100" s="150">
        <v>6220</v>
      </c>
      <c r="C100" s="133" t="s">
        <v>391</v>
      </c>
      <c r="D100" s="138">
        <v>0</v>
      </c>
      <c r="E100" s="133">
        <v>198572</v>
      </c>
      <c r="F100" s="138">
        <v>0</v>
      </c>
      <c r="G100" s="133">
        <f t="shared" si="1"/>
        <v>198572</v>
      </c>
    </row>
    <row r="101" spans="1:7" s="145" customFormat="1" ht="15.75" customHeight="1">
      <c r="A101" s="141">
        <v>85149</v>
      </c>
      <c r="B101" s="152" t="s">
        <v>372</v>
      </c>
      <c r="C101" s="143" t="s">
        <v>165</v>
      </c>
      <c r="D101" s="144">
        <v>2685000</v>
      </c>
      <c r="E101" s="143">
        <f>E102</f>
        <v>0</v>
      </c>
      <c r="F101" s="143">
        <f>F102</f>
        <v>700000</v>
      </c>
      <c r="G101" s="143">
        <f t="shared" si="1"/>
        <v>1985000</v>
      </c>
    </row>
    <row r="102" spans="1:7" ht="69" customHeight="1">
      <c r="A102" s="135" t="s">
        <v>372</v>
      </c>
      <c r="B102" s="150">
        <v>2009</v>
      </c>
      <c r="C102" s="133" t="s">
        <v>373</v>
      </c>
      <c r="D102" s="138">
        <v>1510000</v>
      </c>
      <c r="E102" s="133">
        <v>0</v>
      </c>
      <c r="F102" s="138">
        <v>700000</v>
      </c>
      <c r="G102" s="133">
        <f t="shared" si="1"/>
        <v>810000</v>
      </c>
    </row>
    <row r="103" spans="1:7" s="145" customFormat="1" ht="15.75" customHeight="1">
      <c r="A103" s="141">
        <v>85195</v>
      </c>
      <c r="B103" s="152" t="s">
        <v>372</v>
      </c>
      <c r="C103" s="143" t="s">
        <v>52</v>
      </c>
      <c r="D103" s="144">
        <v>17807569</v>
      </c>
      <c r="E103" s="143">
        <f>SUM(E104:E111)</f>
        <v>3867942</v>
      </c>
      <c r="F103" s="143">
        <f>SUM(F104:F111)</f>
        <v>0</v>
      </c>
      <c r="G103" s="143">
        <f t="shared" si="1"/>
        <v>21675511</v>
      </c>
    </row>
    <row r="104" spans="1:7" ht="15.75" customHeight="1">
      <c r="A104" s="135" t="s">
        <v>372</v>
      </c>
      <c r="B104" s="150">
        <v>4017</v>
      </c>
      <c r="C104" s="133" t="s">
        <v>394</v>
      </c>
      <c r="D104" s="138">
        <v>53824</v>
      </c>
      <c r="E104" s="133">
        <v>37632</v>
      </c>
      <c r="F104" s="138">
        <v>0</v>
      </c>
      <c r="G104" s="133">
        <f t="shared" si="1"/>
        <v>91456</v>
      </c>
    </row>
    <row r="105" spans="1:7" ht="15.75" customHeight="1">
      <c r="A105" s="135" t="s">
        <v>372</v>
      </c>
      <c r="B105" s="150">
        <v>4019</v>
      </c>
      <c r="C105" s="133" t="s">
        <v>394</v>
      </c>
      <c r="D105" s="138">
        <v>9498</v>
      </c>
      <c r="E105" s="133">
        <v>6641</v>
      </c>
      <c r="F105" s="138">
        <v>0</v>
      </c>
      <c r="G105" s="133">
        <f t="shared" si="1"/>
        <v>16139</v>
      </c>
    </row>
    <row r="106" spans="1:7" ht="15.75" customHeight="1">
      <c r="A106" s="135" t="s">
        <v>372</v>
      </c>
      <c r="B106" s="150">
        <v>4117</v>
      </c>
      <c r="C106" s="133" t="s">
        <v>395</v>
      </c>
      <c r="D106" s="138">
        <v>9252</v>
      </c>
      <c r="E106" s="133">
        <v>6469</v>
      </c>
      <c r="F106" s="138">
        <v>0</v>
      </c>
      <c r="G106" s="133">
        <f t="shared" si="1"/>
        <v>15721</v>
      </c>
    </row>
    <row r="107" spans="1:7" ht="15.75" customHeight="1">
      <c r="A107" s="135" t="s">
        <v>372</v>
      </c>
      <c r="B107" s="150">
        <v>4119</v>
      </c>
      <c r="C107" s="133" t="s">
        <v>395</v>
      </c>
      <c r="D107" s="138">
        <v>1633</v>
      </c>
      <c r="E107" s="133">
        <v>1142</v>
      </c>
      <c r="F107" s="138">
        <v>0</v>
      </c>
      <c r="G107" s="133">
        <f t="shared" si="1"/>
        <v>2775</v>
      </c>
    </row>
    <row r="108" spans="1:7" ht="28.5" customHeight="1">
      <c r="A108" s="135" t="s">
        <v>372</v>
      </c>
      <c r="B108" s="150">
        <v>4127</v>
      </c>
      <c r="C108" s="133" t="s">
        <v>396</v>
      </c>
      <c r="D108" s="138">
        <v>1319</v>
      </c>
      <c r="E108" s="133">
        <v>923</v>
      </c>
      <c r="F108" s="138">
        <v>0</v>
      </c>
      <c r="G108" s="133">
        <f t="shared" si="1"/>
        <v>2242</v>
      </c>
    </row>
    <row r="109" spans="1:7" ht="28.5" customHeight="1">
      <c r="A109" s="135" t="s">
        <v>372</v>
      </c>
      <c r="B109" s="150">
        <v>4129</v>
      </c>
      <c r="C109" s="133" t="s">
        <v>396</v>
      </c>
      <c r="D109" s="138">
        <v>233</v>
      </c>
      <c r="E109" s="133">
        <v>163</v>
      </c>
      <c r="F109" s="138">
        <v>0</v>
      </c>
      <c r="G109" s="133">
        <f t="shared" si="1"/>
        <v>396</v>
      </c>
    </row>
    <row r="110" spans="1:7" ht="15.75" customHeight="1">
      <c r="A110" s="135" t="s">
        <v>372</v>
      </c>
      <c r="B110" s="150">
        <v>4307</v>
      </c>
      <c r="C110" s="133" t="s">
        <v>379</v>
      </c>
      <c r="D110" s="138">
        <v>310939</v>
      </c>
      <c r="E110" s="133">
        <v>1954976</v>
      </c>
      <c r="F110" s="138">
        <v>0</v>
      </c>
      <c r="G110" s="133">
        <f t="shared" si="1"/>
        <v>2265915</v>
      </c>
    </row>
    <row r="111" spans="1:7" ht="15.75" customHeight="1">
      <c r="A111" s="135" t="s">
        <v>372</v>
      </c>
      <c r="B111" s="150">
        <v>4309</v>
      </c>
      <c r="C111" s="133" t="s">
        <v>379</v>
      </c>
      <c r="D111" s="138">
        <v>54871</v>
      </c>
      <c r="E111" s="133">
        <v>1859996</v>
      </c>
      <c r="F111" s="138">
        <v>0</v>
      </c>
      <c r="G111" s="133">
        <f t="shared" si="1"/>
        <v>1914867</v>
      </c>
    </row>
    <row r="112" spans="1:7" s="145" customFormat="1" ht="15.75" customHeight="1">
      <c r="A112" s="146" t="s">
        <v>220</v>
      </c>
      <c r="B112" s="151" t="s">
        <v>372</v>
      </c>
      <c r="C112" s="148" t="s">
        <v>36</v>
      </c>
      <c r="D112" s="149">
        <v>27013329</v>
      </c>
      <c r="E112" s="148">
        <f>E113</f>
        <v>5684937</v>
      </c>
      <c r="F112" s="148">
        <f>F113</f>
        <v>0</v>
      </c>
      <c r="G112" s="148">
        <f t="shared" si="1"/>
        <v>32698266</v>
      </c>
    </row>
    <row r="113" spans="1:7" s="145" customFormat="1" ht="15.75" customHeight="1">
      <c r="A113" s="141">
        <v>85295</v>
      </c>
      <c r="B113" s="152" t="s">
        <v>372</v>
      </c>
      <c r="C113" s="143" t="s">
        <v>52</v>
      </c>
      <c r="D113" s="144">
        <v>21617502</v>
      </c>
      <c r="E113" s="143">
        <f>SUM(E114:E141)</f>
        <v>5684937</v>
      </c>
      <c r="F113" s="143">
        <f>SUM(F114:F141)</f>
        <v>0</v>
      </c>
      <c r="G113" s="143">
        <f t="shared" si="1"/>
        <v>27302439</v>
      </c>
    </row>
    <row r="114" spans="1:7" ht="69" customHeight="1">
      <c r="A114" s="135" t="s">
        <v>372</v>
      </c>
      <c r="B114" s="150">
        <v>2007</v>
      </c>
      <c r="C114" s="133" t="s">
        <v>373</v>
      </c>
      <c r="D114" s="138">
        <v>2130460</v>
      </c>
      <c r="E114" s="133">
        <v>699442</v>
      </c>
      <c r="F114" s="138">
        <v>0</v>
      </c>
      <c r="G114" s="133">
        <f t="shared" si="1"/>
        <v>2829902</v>
      </c>
    </row>
    <row r="115" spans="1:7" ht="69" customHeight="1">
      <c r="A115" s="135" t="s">
        <v>372</v>
      </c>
      <c r="B115" s="150">
        <v>2009</v>
      </c>
      <c r="C115" s="133" t="s">
        <v>373</v>
      </c>
      <c r="D115" s="138">
        <v>3586022</v>
      </c>
      <c r="E115" s="133">
        <v>52493</v>
      </c>
      <c r="F115" s="138">
        <v>0</v>
      </c>
      <c r="G115" s="133">
        <f t="shared" si="1"/>
        <v>3638515</v>
      </c>
    </row>
    <row r="116" spans="1:7" ht="69" customHeight="1">
      <c r="A116" s="135" t="s">
        <v>372</v>
      </c>
      <c r="B116" s="150">
        <v>2057</v>
      </c>
      <c r="C116" s="133" t="s">
        <v>408</v>
      </c>
      <c r="D116" s="138">
        <v>7001638</v>
      </c>
      <c r="E116" s="133">
        <v>2647986</v>
      </c>
      <c r="F116" s="138">
        <v>0</v>
      </c>
      <c r="G116" s="133">
        <f t="shared" si="1"/>
        <v>9649624</v>
      </c>
    </row>
    <row r="117" spans="1:7" ht="69" customHeight="1">
      <c r="A117" s="135" t="s">
        <v>372</v>
      </c>
      <c r="B117" s="150">
        <v>2059</v>
      </c>
      <c r="C117" s="133" t="s">
        <v>408</v>
      </c>
      <c r="D117" s="138">
        <v>2020392</v>
      </c>
      <c r="E117" s="133">
        <v>381312</v>
      </c>
      <c r="F117" s="138">
        <v>0</v>
      </c>
      <c r="G117" s="133">
        <f t="shared" si="1"/>
        <v>2401704</v>
      </c>
    </row>
    <row r="118" spans="1:7" ht="15.75" customHeight="1">
      <c r="A118" s="135" t="s">
        <v>372</v>
      </c>
      <c r="B118" s="150">
        <v>4017</v>
      </c>
      <c r="C118" s="133" t="s">
        <v>394</v>
      </c>
      <c r="D118" s="138">
        <v>1151825</v>
      </c>
      <c r="E118" s="133">
        <v>384298</v>
      </c>
      <c r="F118" s="138">
        <v>0</v>
      </c>
      <c r="G118" s="133">
        <f t="shared" si="1"/>
        <v>1536123</v>
      </c>
    </row>
    <row r="119" spans="1:7" ht="15.75" customHeight="1">
      <c r="A119" s="135" t="s">
        <v>372</v>
      </c>
      <c r="B119" s="150">
        <v>4019</v>
      </c>
      <c r="C119" s="133" t="s">
        <v>394</v>
      </c>
      <c r="D119" s="138">
        <v>166696</v>
      </c>
      <c r="E119" s="133">
        <v>37796</v>
      </c>
      <c r="F119" s="138">
        <v>0</v>
      </c>
      <c r="G119" s="133">
        <f t="shared" si="1"/>
        <v>204492</v>
      </c>
    </row>
    <row r="120" spans="1:7" ht="15.75" customHeight="1">
      <c r="A120" s="135" t="s">
        <v>372</v>
      </c>
      <c r="B120" s="150">
        <v>4117</v>
      </c>
      <c r="C120" s="133" t="s">
        <v>395</v>
      </c>
      <c r="D120" s="138">
        <v>217356</v>
      </c>
      <c r="E120" s="133">
        <v>64725</v>
      </c>
      <c r="F120" s="138">
        <v>0</v>
      </c>
      <c r="G120" s="133">
        <f t="shared" si="1"/>
        <v>282081</v>
      </c>
    </row>
    <row r="121" spans="1:7" ht="15.75" customHeight="1">
      <c r="A121" s="135" t="s">
        <v>372</v>
      </c>
      <c r="B121" s="150">
        <v>4119</v>
      </c>
      <c r="C121" s="133" t="s">
        <v>395</v>
      </c>
      <c r="D121" s="138">
        <v>31225</v>
      </c>
      <c r="E121" s="133">
        <v>6144</v>
      </c>
      <c r="F121" s="138">
        <v>0</v>
      </c>
      <c r="G121" s="133">
        <f t="shared" si="1"/>
        <v>37369</v>
      </c>
    </row>
    <row r="122" spans="1:7" ht="28.5" customHeight="1">
      <c r="A122" s="135" t="s">
        <v>372</v>
      </c>
      <c r="B122" s="150">
        <v>4127</v>
      </c>
      <c r="C122" s="133" t="s">
        <v>396</v>
      </c>
      <c r="D122" s="138">
        <v>31055</v>
      </c>
      <c r="E122" s="133">
        <v>8293</v>
      </c>
      <c r="F122" s="138">
        <v>0</v>
      </c>
      <c r="G122" s="133">
        <f t="shared" si="1"/>
        <v>39348</v>
      </c>
    </row>
    <row r="123" spans="1:7" ht="28.5" customHeight="1">
      <c r="A123" s="135" t="s">
        <v>372</v>
      </c>
      <c r="B123" s="150">
        <v>4129</v>
      </c>
      <c r="C123" s="133" t="s">
        <v>396</v>
      </c>
      <c r="D123" s="138">
        <v>4463</v>
      </c>
      <c r="E123" s="133">
        <v>707</v>
      </c>
      <c r="F123" s="138">
        <v>0</v>
      </c>
      <c r="G123" s="133">
        <f t="shared" si="1"/>
        <v>5170</v>
      </c>
    </row>
    <row r="124" spans="1:7" ht="15.75" customHeight="1">
      <c r="A124" s="135" t="s">
        <v>372</v>
      </c>
      <c r="B124" s="150">
        <v>4177</v>
      </c>
      <c r="C124" s="133" t="s">
        <v>398</v>
      </c>
      <c r="D124" s="138">
        <v>1112685</v>
      </c>
      <c r="E124" s="133">
        <v>156131</v>
      </c>
      <c r="F124" s="138">
        <v>0</v>
      </c>
      <c r="G124" s="133">
        <f t="shared" si="1"/>
        <v>1268816</v>
      </c>
    </row>
    <row r="125" spans="1:7" ht="15.75" customHeight="1">
      <c r="A125" s="135" t="s">
        <v>372</v>
      </c>
      <c r="B125" s="150">
        <v>4179</v>
      </c>
      <c r="C125" s="133" t="s">
        <v>398</v>
      </c>
      <c r="D125" s="138">
        <v>137814</v>
      </c>
      <c r="E125" s="133">
        <v>18447</v>
      </c>
      <c r="F125" s="138">
        <v>0</v>
      </c>
      <c r="G125" s="133">
        <f t="shared" si="1"/>
        <v>156261</v>
      </c>
    </row>
    <row r="126" spans="1:7" ht="15.75" customHeight="1">
      <c r="A126" s="135" t="s">
        <v>372</v>
      </c>
      <c r="B126" s="150">
        <v>4217</v>
      </c>
      <c r="C126" s="133" t="s">
        <v>376</v>
      </c>
      <c r="D126" s="138">
        <v>42184</v>
      </c>
      <c r="E126" s="133">
        <v>48156</v>
      </c>
      <c r="F126" s="138">
        <v>0</v>
      </c>
      <c r="G126" s="133">
        <f t="shared" si="1"/>
        <v>90340</v>
      </c>
    </row>
    <row r="127" spans="1:7" ht="15.75" customHeight="1">
      <c r="A127" s="135" t="s">
        <v>372</v>
      </c>
      <c r="B127" s="150">
        <v>4219</v>
      </c>
      <c r="C127" s="133" t="s">
        <v>376</v>
      </c>
      <c r="D127" s="138">
        <v>5614</v>
      </c>
      <c r="E127" s="133">
        <v>4091</v>
      </c>
      <c r="F127" s="138">
        <v>0</v>
      </c>
      <c r="G127" s="133">
        <f t="shared" si="1"/>
        <v>9705</v>
      </c>
    </row>
    <row r="128" spans="1:7" s="310" customFormat="1" ht="15.75" customHeight="1">
      <c r="A128" s="135" t="s">
        <v>372</v>
      </c>
      <c r="B128" s="150">
        <v>4227</v>
      </c>
      <c r="C128" s="133" t="s">
        <v>399</v>
      </c>
      <c r="D128" s="138">
        <v>8840</v>
      </c>
      <c r="E128" s="133">
        <v>4608</v>
      </c>
      <c r="F128" s="138">
        <v>0</v>
      </c>
      <c r="G128" s="133">
        <f t="shared" si="1"/>
        <v>13448</v>
      </c>
    </row>
    <row r="129" spans="1:7" ht="15.75" customHeight="1">
      <c r="A129" s="135" t="s">
        <v>372</v>
      </c>
      <c r="B129" s="137">
        <v>4229</v>
      </c>
      <c r="C129" s="133" t="s">
        <v>399</v>
      </c>
      <c r="D129" s="138">
        <v>1370</v>
      </c>
      <c r="E129" s="133">
        <v>392</v>
      </c>
      <c r="F129" s="138">
        <v>0</v>
      </c>
      <c r="G129" s="133">
        <f t="shared" si="1"/>
        <v>1762</v>
      </c>
    </row>
    <row r="130" spans="1:7" ht="15.75" customHeight="1">
      <c r="A130" s="135" t="s">
        <v>372</v>
      </c>
      <c r="B130" s="137">
        <v>4267</v>
      </c>
      <c r="C130" s="133" t="s">
        <v>377</v>
      </c>
      <c r="D130" s="138">
        <v>24130</v>
      </c>
      <c r="E130" s="133">
        <v>4148</v>
      </c>
      <c r="F130" s="138">
        <v>0</v>
      </c>
      <c r="G130" s="133">
        <f t="shared" si="1"/>
        <v>28278</v>
      </c>
    </row>
    <row r="131" spans="1:7" ht="15.75" customHeight="1">
      <c r="A131" s="136" t="s">
        <v>372</v>
      </c>
      <c r="B131" s="139">
        <v>4269</v>
      </c>
      <c r="C131" s="134" t="s">
        <v>377</v>
      </c>
      <c r="D131" s="140">
        <v>3070</v>
      </c>
      <c r="E131" s="134">
        <v>352</v>
      </c>
      <c r="F131" s="140">
        <v>0</v>
      </c>
      <c r="G131" s="134">
        <f t="shared" si="1"/>
        <v>3422</v>
      </c>
    </row>
    <row r="132" spans="1:7" ht="15.75" customHeight="1">
      <c r="A132" s="305" t="s">
        <v>372</v>
      </c>
      <c r="B132" s="306">
        <v>4287</v>
      </c>
      <c r="C132" s="307" t="s">
        <v>378</v>
      </c>
      <c r="D132" s="308">
        <v>0</v>
      </c>
      <c r="E132" s="307">
        <v>737</v>
      </c>
      <c r="F132" s="308">
        <v>0</v>
      </c>
      <c r="G132" s="307">
        <f t="shared" si="1"/>
        <v>737</v>
      </c>
    </row>
    <row r="133" spans="1:7" ht="15.75" customHeight="1">
      <c r="A133" s="135" t="s">
        <v>372</v>
      </c>
      <c r="B133" s="137">
        <v>4289</v>
      </c>
      <c r="C133" s="133" t="s">
        <v>378</v>
      </c>
      <c r="D133" s="138">
        <v>0</v>
      </c>
      <c r="E133" s="133">
        <v>63</v>
      </c>
      <c r="F133" s="138">
        <v>0</v>
      </c>
      <c r="G133" s="133">
        <f t="shared" si="1"/>
        <v>63</v>
      </c>
    </row>
    <row r="134" spans="1:7" ht="15.75" customHeight="1">
      <c r="A134" s="135" t="s">
        <v>372</v>
      </c>
      <c r="B134" s="137">
        <v>4307</v>
      </c>
      <c r="C134" s="133" t="s">
        <v>379</v>
      </c>
      <c r="D134" s="138">
        <v>1757181</v>
      </c>
      <c r="E134" s="133">
        <v>1024661</v>
      </c>
      <c r="F134" s="138">
        <v>0</v>
      </c>
      <c r="G134" s="133">
        <f t="shared" si="1"/>
        <v>2781842</v>
      </c>
    </row>
    <row r="135" spans="1:7" ht="15.75" customHeight="1">
      <c r="A135" s="135" t="s">
        <v>372</v>
      </c>
      <c r="B135" s="137">
        <v>4309</v>
      </c>
      <c r="C135" s="133" t="s">
        <v>379</v>
      </c>
      <c r="D135" s="138">
        <v>229576</v>
      </c>
      <c r="E135" s="133">
        <v>122569</v>
      </c>
      <c r="F135" s="138">
        <v>0</v>
      </c>
      <c r="G135" s="133">
        <f t="shared" si="1"/>
        <v>352145</v>
      </c>
    </row>
    <row r="136" spans="1:7" ht="15.75" customHeight="1">
      <c r="A136" s="135" t="s">
        <v>372</v>
      </c>
      <c r="B136" s="137">
        <v>4367</v>
      </c>
      <c r="C136" s="133" t="s">
        <v>400</v>
      </c>
      <c r="D136" s="138">
        <v>4976</v>
      </c>
      <c r="E136" s="133">
        <v>1342</v>
      </c>
      <c r="F136" s="138">
        <v>0</v>
      </c>
      <c r="G136" s="133">
        <f t="shared" si="1"/>
        <v>6318</v>
      </c>
    </row>
    <row r="137" spans="1:7" ht="15.75" customHeight="1">
      <c r="A137" s="135" t="s">
        <v>372</v>
      </c>
      <c r="B137" s="137">
        <v>4369</v>
      </c>
      <c r="C137" s="133" t="s">
        <v>400</v>
      </c>
      <c r="D137" s="138">
        <v>674</v>
      </c>
      <c r="E137" s="133">
        <v>114</v>
      </c>
      <c r="F137" s="138">
        <v>0</v>
      </c>
      <c r="G137" s="133">
        <f t="shared" si="1"/>
        <v>788</v>
      </c>
    </row>
    <row r="138" spans="1:7" ht="15.75" customHeight="1">
      <c r="A138" s="135" t="s">
        <v>372</v>
      </c>
      <c r="B138" s="137">
        <v>4417</v>
      </c>
      <c r="C138" s="133" t="s">
        <v>401</v>
      </c>
      <c r="D138" s="138">
        <v>48884</v>
      </c>
      <c r="E138" s="133">
        <v>6452</v>
      </c>
      <c r="F138" s="138">
        <v>0</v>
      </c>
      <c r="G138" s="133">
        <f t="shared" si="1"/>
        <v>55336</v>
      </c>
    </row>
    <row r="139" spans="1:7" ht="15.75" customHeight="1">
      <c r="A139" s="135" t="s">
        <v>372</v>
      </c>
      <c r="B139" s="137">
        <v>4419</v>
      </c>
      <c r="C139" s="133" t="s">
        <v>401</v>
      </c>
      <c r="D139" s="138">
        <v>6515</v>
      </c>
      <c r="E139" s="133">
        <v>548</v>
      </c>
      <c r="F139" s="138">
        <v>0</v>
      </c>
      <c r="G139" s="133">
        <f t="shared" si="1"/>
        <v>7063</v>
      </c>
    </row>
    <row r="140" spans="1:7" ht="15.75" customHeight="1">
      <c r="A140" s="135" t="s">
        <v>372</v>
      </c>
      <c r="B140" s="137">
        <v>4447</v>
      </c>
      <c r="C140" s="133" t="s">
        <v>381</v>
      </c>
      <c r="D140" s="138">
        <v>15803</v>
      </c>
      <c r="E140" s="133">
        <v>8231</v>
      </c>
      <c r="F140" s="138">
        <v>0</v>
      </c>
      <c r="G140" s="133">
        <f aca="true" t="shared" si="2" ref="G140:G203">D140+E140-F140</f>
        <v>24034</v>
      </c>
    </row>
    <row r="141" spans="1:7" ht="15.75" customHeight="1">
      <c r="A141" s="135" t="s">
        <v>372</v>
      </c>
      <c r="B141" s="137">
        <v>4449</v>
      </c>
      <c r="C141" s="133" t="s">
        <v>381</v>
      </c>
      <c r="D141" s="138">
        <v>2010</v>
      </c>
      <c r="E141" s="133">
        <v>699</v>
      </c>
      <c r="F141" s="138">
        <v>0</v>
      </c>
      <c r="G141" s="133">
        <f t="shared" si="2"/>
        <v>2709</v>
      </c>
    </row>
    <row r="142" spans="1:7" s="145" customFormat="1" ht="28.5" customHeight="1">
      <c r="A142" s="146" t="s">
        <v>76</v>
      </c>
      <c r="B142" s="147" t="s">
        <v>372</v>
      </c>
      <c r="C142" s="148" t="s">
        <v>37</v>
      </c>
      <c r="D142" s="149">
        <v>22695716</v>
      </c>
      <c r="E142" s="148">
        <f>E143+E148+E153+E164</f>
        <v>39920791</v>
      </c>
      <c r="F142" s="148">
        <f>F143+F148+F153+F164</f>
        <v>14411</v>
      </c>
      <c r="G142" s="148">
        <f t="shared" si="2"/>
        <v>62602096</v>
      </c>
    </row>
    <row r="143" spans="1:7" s="145" customFormat="1" ht="28.5" customHeight="1">
      <c r="A143" s="141">
        <v>85324</v>
      </c>
      <c r="B143" s="142" t="s">
        <v>372</v>
      </c>
      <c r="C143" s="143" t="s">
        <v>173</v>
      </c>
      <c r="D143" s="144">
        <v>256150</v>
      </c>
      <c r="E143" s="143">
        <f>SUM(E144:E147)</f>
        <v>116732</v>
      </c>
      <c r="F143" s="143">
        <f>SUM(F144:F147)</f>
        <v>0</v>
      </c>
      <c r="G143" s="143">
        <f t="shared" si="2"/>
        <v>372882</v>
      </c>
    </row>
    <row r="144" spans="1:7" ht="15.75" customHeight="1">
      <c r="A144" s="135" t="s">
        <v>372</v>
      </c>
      <c r="B144" s="137">
        <v>4010</v>
      </c>
      <c r="C144" s="133" t="s">
        <v>394</v>
      </c>
      <c r="D144" s="138">
        <v>182410</v>
      </c>
      <c r="E144" s="133">
        <v>64136</v>
      </c>
      <c r="F144" s="138">
        <v>0</v>
      </c>
      <c r="G144" s="133">
        <f t="shared" si="2"/>
        <v>246546</v>
      </c>
    </row>
    <row r="145" spans="1:7" ht="15.75" customHeight="1">
      <c r="A145" s="135" t="s">
        <v>372</v>
      </c>
      <c r="B145" s="137">
        <v>4110</v>
      </c>
      <c r="C145" s="133" t="s">
        <v>395</v>
      </c>
      <c r="D145" s="138">
        <v>31631</v>
      </c>
      <c r="E145" s="133">
        <v>11025</v>
      </c>
      <c r="F145" s="138">
        <v>0</v>
      </c>
      <c r="G145" s="133">
        <f t="shared" si="2"/>
        <v>42656</v>
      </c>
    </row>
    <row r="146" spans="1:7" ht="28.5" customHeight="1">
      <c r="A146" s="135" t="s">
        <v>372</v>
      </c>
      <c r="B146" s="137">
        <v>4120</v>
      </c>
      <c r="C146" s="133" t="s">
        <v>396</v>
      </c>
      <c r="D146" s="138">
        <v>4508</v>
      </c>
      <c r="E146" s="133">
        <v>1571</v>
      </c>
      <c r="F146" s="138">
        <v>0</v>
      </c>
      <c r="G146" s="133">
        <f t="shared" si="2"/>
        <v>6079</v>
      </c>
    </row>
    <row r="147" spans="1:7" ht="15.75" customHeight="1">
      <c r="A147" s="135" t="s">
        <v>372</v>
      </c>
      <c r="B147" s="137">
        <v>4210</v>
      </c>
      <c r="C147" s="133" t="s">
        <v>376</v>
      </c>
      <c r="D147" s="138">
        <v>5000</v>
      </c>
      <c r="E147" s="133">
        <v>40000</v>
      </c>
      <c r="F147" s="138">
        <v>0</v>
      </c>
      <c r="G147" s="133">
        <f t="shared" si="2"/>
        <v>45000</v>
      </c>
    </row>
    <row r="148" spans="1:7" s="145" customFormat="1" ht="15.75" customHeight="1">
      <c r="A148" s="141">
        <v>85325</v>
      </c>
      <c r="B148" s="142" t="s">
        <v>372</v>
      </c>
      <c r="C148" s="143" t="s">
        <v>174</v>
      </c>
      <c r="D148" s="144">
        <v>1300000</v>
      </c>
      <c r="E148" s="143">
        <f>SUM(E149:E152)</f>
        <v>632000</v>
      </c>
      <c r="F148" s="143">
        <f>SUM(F149:F152)</f>
        <v>0</v>
      </c>
      <c r="G148" s="143">
        <f t="shared" si="2"/>
        <v>1932000</v>
      </c>
    </row>
    <row r="149" spans="1:7" ht="15.75" customHeight="1">
      <c r="A149" s="135" t="s">
        <v>372</v>
      </c>
      <c r="B149" s="137">
        <v>4010</v>
      </c>
      <c r="C149" s="133" t="s">
        <v>394</v>
      </c>
      <c r="D149" s="138">
        <v>782000</v>
      </c>
      <c r="E149" s="133">
        <v>496000</v>
      </c>
      <c r="F149" s="138">
        <v>0</v>
      </c>
      <c r="G149" s="133">
        <f t="shared" si="2"/>
        <v>1278000</v>
      </c>
    </row>
    <row r="150" spans="1:7" ht="15.75" customHeight="1">
      <c r="A150" s="135" t="s">
        <v>372</v>
      </c>
      <c r="B150" s="137">
        <v>4110</v>
      </c>
      <c r="C150" s="133" t="s">
        <v>395</v>
      </c>
      <c r="D150" s="138">
        <v>147000</v>
      </c>
      <c r="E150" s="133">
        <v>85000</v>
      </c>
      <c r="F150" s="138">
        <v>0</v>
      </c>
      <c r="G150" s="133">
        <f t="shared" si="2"/>
        <v>232000</v>
      </c>
    </row>
    <row r="151" spans="1:7" ht="28.5" customHeight="1">
      <c r="A151" s="135" t="s">
        <v>372</v>
      </c>
      <c r="B151" s="137">
        <v>4120</v>
      </c>
      <c r="C151" s="133" t="s">
        <v>396</v>
      </c>
      <c r="D151" s="138">
        <v>21000</v>
      </c>
      <c r="E151" s="133">
        <v>11000</v>
      </c>
      <c r="F151" s="138">
        <v>0</v>
      </c>
      <c r="G151" s="133">
        <f t="shared" si="2"/>
        <v>32000</v>
      </c>
    </row>
    <row r="152" spans="1:7" ht="15.75" customHeight="1">
      <c r="A152" s="135" t="s">
        <v>372</v>
      </c>
      <c r="B152" s="137">
        <v>4210</v>
      </c>
      <c r="C152" s="133" t="s">
        <v>376</v>
      </c>
      <c r="D152" s="138">
        <v>35000</v>
      </c>
      <c r="E152" s="133">
        <v>40000</v>
      </c>
      <c r="F152" s="138">
        <v>0</v>
      </c>
      <c r="G152" s="133">
        <f t="shared" si="2"/>
        <v>75000</v>
      </c>
    </row>
    <row r="153" spans="1:7" s="145" customFormat="1" ht="15.75" customHeight="1">
      <c r="A153" s="141">
        <v>85332</v>
      </c>
      <c r="B153" s="142" t="s">
        <v>372</v>
      </c>
      <c r="C153" s="143" t="s">
        <v>62</v>
      </c>
      <c r="D153" s="144">
        <v>17333833</v>
      </c>
      <c r="E153" s="143">
        <f>SUM(E154:E163)</f>
        <v>54412</v>
      </c>
      <c r="F153" s="143">
        <f>SUM(F154:F163)</f>
        <v>14411</v>
      </c>
      <c r="G153" s="143">
        <f t="shared" si="2"/>
        <v>17373834</v>
      </c>
    </row>
    <row r="154" spans="1:7" ht="15.75" customHeight="1">
      <c r="A154" s="135" t="s">
        <v>372</v>
      </c>
      <c r="B154" s="137">
        <v>4018</v>
      </c>
      <c r="C154" s="133" t="s">
        <v>394</v>
      </c>
      <c r="D154" s="138">
        <v>2780738</v>
      </c>
      <c r="E154" s="133">
        <v>36713</v>
      </c>
      <c r="F154" s="138">
        <v>0</v>
      </c>
      <c r="G154" s="133">
        <f t="shared" si="2"/>
        <v>2817451</v>
      </c>
    </row>
    <row r="155" spans="1:7" ht="15.75" customHeight="1">
      <c r="A155" s="135" t="s">
        <v>372</v>
      </c>
      <c r="B155" s="137">
        <v>4019</v>
      </c>
      <c r="C155" s="133" t="s">
        <v>394</v>
      </c>
      <c r="D155" s="138">
        <v>512887</v>
      </c>
      <c r="E155" s="133">
        <v>6478</v>
      </c>
      <c r="F155" s="138">
        <v>0</v>
      </c>
      <c r="G155" s="133">
        <f t="shared" si="2"/>
        <v>519365</v>
      </c>
    </row>
    <row r="156" spans="1:7" ht="15.75" customHeight="1">
      <c r="A156" s="135" t="s">
        <v>372</v>
      </c>
      <c r="B156" s="137">
        <v>4048</v>
      </c>
      <c r="C156" s="133" t="s">
        <v>402</v>
      </c>
      <c r="D156" s="138">
        <v>237791</v>
      </c>
      <c r="E156" s="133">
        <v>0</v>
      </c>
      <c r="F156" s="138">
        <v>12250</v>
      </c>
      <c r="G156" s="133">
        <f t="shared" si="2"/>
        <v>225541</v>
      </c>
    </row>
    <row r="157" spans="1:7" ht="15.75" customHeight="1">
      <c r="A157" s="135" t="s">
        <v>372</v>
      </c>
      <c r="B157" s="137">
        <v>4049</v>
      </c>
      <c r="C157" s="133" t="s">
        <v>402</v>
      </c>
      <c r="D157" s="138">
        <v>43411</v>
      </c>
      <c r="E157" s="133">
        <v>0</v>
      </c>
      <c r="F157" s="138">
        <v>2161</v>
      </c>
      <c r="G157" s="133">
        <f t="shared" si="2"/>
        <v>41250</v>
      </c>
    </row>
    <row r="158" spans="1:7" ht="15.75" customHeight="1">
      <c r="A158" s="135" t="s">
        <v>372</v>
      </c>
      <c r="B158" s="137">
        <v>4118</v>
      </c>
      <c r="C158" s="133" t="s">
        <v>395</v>
      </c>
      <c r="D158" s="138">
        <v>519794</v>
      </c>
      <c r="E158" s="133">
        <v>4204</v>
      </c>
      <c r="F158" s="138">
        <v>0</v>
      </c>
      <c r="G158" s="133">
        <f t="shared" si="2"/>
        <v>523998</v>
      </c>
    </row>
    <row r="159" spans="1:7" ht="15.75" customHeight="1">
      <c r="A159" s="135" t="s">
        <v>372</v>
      </c>
      <c r="B159" s="137">
        <v>4119</v>
      </c>
      <c r="C159" s="133" t="s">
        <v>395</v>
      </c>
      <c r="D159" s="138">
        <v>95799</v>
      </c>
      <c r="E159" s="133">
        <v>741</v>
      </c>
      <c r="F159" s="138">
        <v>0</v>
      </c>
      <c r="G159" s="133">
        <f t="shared" si="2"/>
        <v>96540</v>
      </c>
    </row>
    <row r="160" spans="1:7" ht="28.5" customHeight="1">
      <c r="A160" s="135" t="s">
        <v>372</v>
      </c>
      <c r="B160" s="137">
        <v>4128</v>
      </c>
      <c r="C160" s="133" t="s">
        <v>396</v>
      </c>
      <c r="D160" s="138">
        <v>74082</v>
      </c>
      <c r="E160" s="133">
        <v>600</v>
      </c>
      <c r="F160" s="138">
        <v>0</v>
      </c>
      <c r="G160" s="133">
        <f t="shared" si="2"/>
        <v>74682</v>
      </c>
    </row>
    <row r="161" spans="1:7" ht="28.5" customHeight="1">
      <c r="A161" s="135" t="s">
        <v>372</v>
      </c>
      <c r="B161" s="137">
        <v>4129</v>
      </c>
      <c r="C161" s="133" t="s">
        <v>396</v>
      </c>
      <c r="D161" s="138">
        <v>13652</v>
      </c>
      <c r="E161" s="133">
        <v>106</v>
      </c>
      <c r="F161" s="138">
        <v>0</v>
      </c>
      <c r="G161" s="133">
        <f t="shared" si="2"/>
        <v>13758</v>
      </c>
    </row>
    <row r="162" spans="1:7" ht="15.75" customHeight="1">
      <c r="A162" s="135" t="s">
        <v>372</v>
      </c>
      <c r="B162" s="137">
        <v>4308</v>
      </c>
      <c r="C162" s="133" t="s">
        <v>379</v>
      </c>
      <c r="D162" s="138">
        <v>233587</v>
      </c>
      <c r="E162" s="133">
        <v>4734</v>
      </c>
      <c r="F162" s="138">
        <v>0</v>
      </c>
      <c r="G162" s="133">
        <f t="shared" si="2"/>
        <v>238321</v>
      </c>
    </row>
    <row r="163" spans="1:7" ht="15.75" customHeight="1">
      <c r="A163" s="135" t="s">
        <v>372</v>
      </c>
      <c r="B163" s="137">
        <v>4309</v>
      </c>
      <c r="C163" s="133" t="s">
        <v>379</v>
      </c>
      <c r="D163" s="138">
        <v>46899</v>
      </c>
      <c r="E163" s="133">
        <v>836</v>
      </c>
      <c r="F163" s="138">
        <v>0</v>
      </c>
      <c r="G163" s="133">
        <f t="shared" si="2"/>
        <v>47735</v>
      </c>
    </row>
    <row r="164" spans="1:7" s="145" customFormat="1" ht="15.75" customHeight="1">
      <c r="A164" s="141">
        <v>85395</v>
      </c>
      <c r="B164" s="142" t="s">
        <v>372</v>
      </c>
      <c r="C164" s="143" t="s">
        <v>52</v>
      </c>
      <c r="D164" s="144">
        <v>3361733</v>
      </c>
      <c r="E164" s="143">
        <f>SUM(E165:E186)</f>
        <v>39117647</v>
      </c>
      <c r="F164" s="143">
        <f>SUM(F165:F186)</f>
        <v>0</v>
      </c>
      <c r="G164" s="143">
        <f t="shared" si="2"/>
        <v>42479380</v>
      </c>
    </row>
    <row r="165" spans="1:7" ht="69" customHeight="1">
      <c r="A165" s="135" t="s">
        <v>372</v>
      </c>
      <c r="B165" s="137">
        <v>2007</v>
      </c>
      <c r="C165" s="133" t="s">
        <v>373</v>
      </c>
      <c r="D165" s="138">
        <v>0</v>
      </c>
      <c r="E165" s="133">
        <v>17001190</v>
      </c>
      <c r="F165" s="138">
        <v>0</v>
      </c>
      <c r="G165" s="133">
        <f t="shared" si="2"/>
        <v>17001190</v>
      </c>
    </row>
    <row r="166" spans="1:7" ht="69" customHeight="1">
      <c r="A166" s="135" t="s">
        <v>372</v>
      </c>
      <c r="B166" s="137">
        <v>2009</v>
      </c>
      <c r="C166" s="133" t="s">
        <v>373</v>
      </c>
      <c r="D166" s="138">
        <v>2928464</v>
      </c>
      <c r="E166" s="133">
        <v>2000141</v>
      </c>
      <c r="F166" s="138">
        <v>0</v>
      </c>
      <c r="G166" s="133">
        <f t="shared" si="2"/>
        <v>4928605</v>
      </c>
    </row>
    <row r="167" spans="1:7" ht="69" customHeight="1">
      <c r="A167" s="135" t="s">
        <v>372</v>
      </c>
      <c r="B167" s="137">
        <v>2057</v>
      </c>
      <c r="C167" s="133" t="s">
        <v>408</v>
      </c>
      <c r="D167" s="138">
        <v>0</v>
      </c>
      <c r="E167" s="133">
        <v>10810855</v>
      </c>
      <c r="F167" s="138">
        <v>0</v>
      </c>
      <c r="G167" s="133">
        <f t="shared" si="2"/>
        <v>10810855</v>
      </c>
    </row>
    <row r="168" spans="1:7" ht="69" customHeight="1">
      <c r="A168" s="135" t="s">
        <v>372</v>
      </c>
      <c r="B168" s="137">
        <v>2059</v>
      </c>
      <c r="C168" s="133" t="s">
        <v>408</v>
      </c>
      <c r="D168" s="138">
        <v>78536</v>
      </c>
      <c r="E168" s="133">
        <v>1270866</v>
      </c>
      <c r="F168" s="138">
        <v>0</v>
      </c>
      <c r="G168" s="133">
        <f t="shared" si="2"/>
        <v>1349402</v>
      </c>
    </row>
    <row r="169" spans="1:7" ht="15.75" customHeight="1">
      <c r="A169" s="135" t="s">
        <v>372</v>
      </c>
      <c r="B169" s="137">
        <v>4017</v>
      </c>
      <c r="C169" s="133" t="s">
        <v>394</v>
      </c>
      <c r="D169" s="138">
        <v>0</v>
      </c>
      <c r="E169" s="133">
        <v>783647</v>
      </c>
      <c r="F169" s="138">
        <v>0</v>
      </c>
      <c r="G169" s="133">
        <f t="shared" si="2"/>
        <v>783647</v>
      </c>
    </row>
    <row r="170" spans="1:7" ht="15.75" customHeight="1">
      <c r="A170" s="135" t="s">
        <v>372</v>
      </c>
      <c r="B170" s="137">
        <v>4019</v>
      </c>
      <c r="C170" s="133" t="s">
        <v>394</v>
      </c>
      <c r="D170" s="138">
        <v>0</v>
      </c>
      <c r="E170" s="133">
        <v>92194</v>
      </c>
      <c r="F170" s="138">
        <v>0</v>
      </c>
      <c r="G170" s="133">
        <f t="shared" si="2"/>
        <v>92194</v>
      </c>
    </row>
    <row r="171" spans="1:7" ht="15.75" customHeight="1">
      <c r="A171" s="135" t="s">
        <v>372</v>
      </c>
      <c r="B171" s="137">
        <v>4117</v>
      </c>
      <c r="C171" s="133" t="s">
        <v>395</v>
      </c>
      <c r="D171" s="138">
        <v>0</v>
      </c>
      <c r="E171" s="133">
        <v>134709</v>
      </c>
      <c r="F171" s="138">
        <v>0</v>
      </c>
      <c r="G171" s="133">
        <f t="shared" si="2"/>
        <v>134709</v>
      </c>
    </row>
    <row r="172" spans="1:7" ht="15.75" customHeight="1">
      <c r="A172" s="135" t="s">
        <v>372</v>
      </c>
      <c r="B172" s="137">
        <v>4119</v>
      </c>
      <c r="C172" s="133" t="s">
        <v>395</v>
      </c>
      <c r="D172" s="138">
        <v>0</v>
      </c>
      <c r="E172" s="133">
        <v>15848</v>
      </c>
      <c r="F172" s="138">
        <v>0</v>
      </c>
      <c r="G172" s="133">
        <f t="shared" si="2"/>
        <v>15848</v>
      </c>
    </row>
    <row r="173" spans="1:7" ht="28.5" customHeight="1">
      <c r="A173" s="136" t="s">
        <v>372</v>
      </c>
      <c r="B173" s="139">
        <v>4127</v>
      </c>
      <c r="C173" s="134" t="s">
        <v>396</v>
      </c>
      <c r="D173" s="140">
        <v>0</v>
      </c>
      <c r="E173" s="134">
        <v>19199</v>
      </c>
      <c r="F173" s="140">
        <v>0</v>
      </c>
      <c r="G173" s="134">
        <f t="shared" si="2"/>
        <v>19199</v>
      </c>
    </row>
    <row r="174" spans="1:7" ht="28.5" customHeight="1">
      <c r="A174" s="305" t="s">
        <v>372</v>
      </c>
      <c r="B174" s="306">
        <v>4129</v>
      </c>
      <c r="C174" s="307" t="s">
        <v>396</v>
      </c>
      <c r="D174" s="308">
        <v>0</v>
      </c>
      <c r="E174" s="307">
        <v>2259</v>
      </c>
      <c r="F174" s="308">
        <v>0</v>
      </c>
      <c r="G174" s="307">
        <f t="shared" si="2"/>
        <v>2259</v>
      </c>
    </row>
    <row r="175" spans="1:7" ht="15.75" customHeight="1">
      <c r="A175" s="135" t="s">
        <v>372</v>
      </c>
      <c r="B175" s="137">
        <v>4217</v>
      </c>
      <c r="C175" s="133" t="s">
        <v>376</v>
      </c>
      <c r="D175" s="138">
        <v>0</v>
      </c>
      <c r="E175" s="133">
        <v>2386566</v>
      </c>
      <c r="F175" s="138">
        <v>0</v>
      </c>
      <c r="G175" s="133">
        <f t="shared" si="2"/>
        <v>2386566</v>
      </c>
    </row>
    <row r="176" spans="1:7" ht="15.75" customHeight="1">
      <c r="A176" s="135" t="s">
        <v>372</v>
      </c>
      <c r="B176" s="137">
        <v>4219</v>
      </c>
      <c r="C176" s="133" t="s">
        <v>376</v>
      </c>
      <c r="D176" s="138">
        <v>0</v>
      </c>
      <c r="E176" s="133">
        <v>280773</v>
      </c>
      <c r="F176" s="138">
        <v>0</v>
      </c>
      <c r="G176" s="133">
        <f t="shared" si="2"/>
        <v>280773</v>
      </c>
    </row>
    <row r="177" spans="1:7" ht="15.75" customHeight="1">
      <c r="A177" s="135" t="s">
        <v>372</v>
      </c>
      <c r="B177" s="137">
        <v>4267</v>
      </c>
      <c r="C177" s="133" t="s">
        <v>377</v>
      </c>
      <c r="D177" s="138">
        <v>0</v>
      </c>
      <c r="E177" s="133">
        <v>21474</v>
      </c>
      <c r="F177" s="138">
        <v>0</v>
      </c>
      <c r="G177" s="133">
        <f t="shared" si="2"/>
        <v>21474</v>
      </c>
    </row>
    <row r="178" spans="1:7" ht="15.75" customHeight="1">
      <c r="A178" s="135" t="s">
        <v>372</v>
      </c>
      <c r="B178" s="137">
        <v>4269</v>
      </c>
      <c r="C178" s="133" t="s">
        <v>377</v>
      </c>
      <c r="D178" s="138">
        <v>0</v>
      </c>
      <c r="E178" s="133">
        <v>2526</v>
      </c>
      <c r="F178" s="138">
        <v>0</v>
      </c>
      <c r="G178" s="133">
        <f t="shared" si="2"/>
        <v>2526</v>
      </c>
    </row>
    <row r="179" spans="1:7" ht="15.75" customHeight="1">
      <c r="A179" s="135" t="s">
        <v>372</v>
      </c>
      <c r="B179" s="137">
        <v>4307</v>
      </c>
      <c r="C179" s="133" t="s">
        <v>379</v>
      </c>
      <c r="D179" s="138">
        <v>0</v>
      </c>
      <c r="E179" s="133">
        <v>3762370</v>
      </c>
      <c r="F179" s="138">
        <v>0</v>
      </c>
      <c r="G179" s="133">
        <f t="shared" si="2"/>
        <v>3762370</v>
      </c>
    </row>
    <row r="180" spans="1:7" ht="15.75" customHeight="1">
      <c r="A180" s="135" t="s">
        <v>372</v>
      </c>
      <c r="B180" s="137">
        <v>4309</v>
      </c>
      <c r="C180" s="133" t="s">
        <v>379</v>
      </c>
      <c r="D180" s="138">
        <v>0</v>
      </c>
      <c r="E180" s="133">
        <v>443630</v>
      </c>
      <c r="F180" s="138">
        <v>0</v>
      </c>
      <c r="G180" s="133">
        <f t="shared" si="2"/>
        <v>443630</v>
      </c>
    </row>
    <row r="181" spans="1:7" ht="15.75" customHeight="1">
      <c r="A181" s="135" t="s">
        <v>372</v>
      </c>
      <c r="B181" s="137">
        <v>4367</v>
      </c>
      <c r="C181" s="133" t="s">
        <v>400</v>
      </c>
      <c r="D181" s="138">
        <v>0</v>
      </c>
      <c r="E181" s="133">
        <v>7516</v>
      </c>
      <c r="F181" s="138">
        <v>0</v>
      </c>
      <c r="G181" s="133">
        <f t="shared" si="2"/>
        <v>7516</v>
      </c>
    </row>
    <row r="182" spans="1:7" ht="15.75" customHeight="1">
      <c r="A182" s="135" t="s">
        <v>372</v>
      </c>
      <c r="B182" s="137">
        <v>4369</v>
      </c>
      <c r="C182" s="133" t="s">
        <v>400</v>
      </c>
      <c r="D182" s="138">
        <v>0</v>
      </c>
      <c r="E182" s="133">
        <v>884</v>
      </c>
      <c r="F182" s="138">
        <v>0</v>
      </c>
      <c r="G182" s="133">
        <f t="shared" si="2"/>
        <v>884</v>
      </c>
    </row>
    <row r="183" spans="1:7" ht="15.75" customHeight="1">
      <c r="A183" s="135" t="s">
        <v>372</v>
      </c>
      <c r="B183" s="137">
        <v>4417</v>
      </c>
      <c r="C183" s="133" t="s">
        <v>401</v>
      </c>
      <c r="D183" s="138">
        <v>0</v>
      </c>
      <c r="E183" s="133">
        <v>44737</v>
      </c>
      <c r="F183" s="138">
        <v>0</v>
      </c>
      <c r="G183" s="133">
        <f t="shared" si="2"/>
        <v>44737</v>
      </c>
    </row>
    <row r="184" spans="1:7" ht="15.75" customHeight="1">
      <c r="A184" s="135" t="s">
        <v>372</v>
      </c>
      <c r="B184" s="137">
        <v>4419</v>
      </c>
      <c r="C184" s="133" t="s">
        <v>401</v>
      </c>
      <c r="D184" s="138">
        <v>0</v>
      </c>
      <c r="E184" s="133">
        <v>5263</v>
      </c>
      <c r="F184" s="138">
        <v>0</v>
      </c>
      <c r="G184" s="133">
        <f t="shared" si="2"/>
        <v>5263</v>
      </c>
    </row>
    <row r="185" spans="1:7" ht="15.75" customHeight="1">
      <c r="A185" s="135" t="s">
        <v>372</v>
      </c>
      <c r="B185" s="137">
        <v>4447</v>
      </c>
      <c r="C185" s="133" t="s">
        <v>381</v>
      </c>
      <c r="D185" s="138">
        <v>0</v>
      </c>
      <c r="E185" s="133">
        <v>27737</v>
      </c>
      <c r="F185" s="138">
        <v>0</v>
      </c>
      <c r="G185" s="133">
        <f t="shared" si="2"/>
        <v>27737</v>
      </c>
    </row>
    <row r="186" spans="1:7" ht="15.75" customHeight="1">
      <c r="A186" s="135" t="s">
        <v>372</v>
      </c>
      <c r="B186" s="137">
        <v>4449</v>
      </c>
      <c r="C186" s="133" t="s">
        <v>381</v>
      </c>
      <c r="D186" s="138">
        <v>0</v>
      </c>
      <c r="E186" s="133">
        <v>3263</v>
      </c>
      <c r="F186" s="138">
        <v>0</v>
      </c>
      <c r="G186" s="133">
        <f t="shared" si="2"/>
        <v>3263</v>
      </c>
    </row>
    <row r="187" spans="1:7" s="145" customFormat="1" ht="15.75" customHeight="1">
      <c r="A187" s="146" t="s">
        <v>221</v>
      </c>
      <c r="B187" s="147" t="s">
        <v>372</v>
      </c>
      <c r="C187" s="148" t="s">
        <v>224</v>
      </c>
      <c r="D187" s="149">
        <v>62156689</v>
      </c>
      <c r="E187" s="148">
        <f>E188+E204</f>
        <v>2956454</v>
      </c>
      <c r="F187" s="148">
        <f>F188+F204</f>
        <v>2931549</v>
      </c>
      <c r="G187" s="148">
        <f t="shared" si="2"/>
        <v>62181594</v>
      </c>
    </row>
    <row r="188" spans="1:7" s="145" customFormat="1" ht="15.75" customHeight="1">
      <c r="A188" s="141">
        <v>85403</v>
      </c>
      <c r="B188" s="142" t="s">
        <v>372</v>
      </c>
      <c r="C188" s="143" t="s">
        <v>176</v>
      </c>
      <c r="D188" s="144">
        <v>48612124</v>
      </c>
      <c r="E188" s="143">
        <f>SUM(E189:E203)</f>
        <v>2956454</v>
      </c>
      <c r="F188" s="143">
        <f>SUM(F189:F203)</f>
        <v>2354399</v>
      </c>
      <c r="G188" s="143">
        <f t="shared" si="2"/>
        <v>49214179</v>
      </c>
    </row>
    <row r="189" spans="1:7" ht="15.75" customHeight="1">
      <c r="A189" s="135" t="s">
        <v>372</v>
      </c>
      <c r="B189" s="137">
        <v>4017</v>
      </c>
      <c r="C189" s="133" t="s">
        <v>394</v>
      </c>
      <c r="D189" s="138">
        <v>471503</v>
      </c>
      <c r="E189" s="133">
        <v>0</v>
      </c>
      <c r="F189" s="138">
        <v>89691</v>
      </c>
      <c r="G189" s="133">
        <f t="shared" si="2"/>
        <v>381812</v>
      </c>
    </row>
    <row r="190" spans="1:7" ht="15.75" customHeight="1">
      <c r="A190" s="135" t="s">
        <v>372</v>
      </c>
      <c r="B190" s="137">
        <v>4019</v>
      </c>
      <c r="C190" s="133" t="s">
        <v>394</v>
      </c>
      <c r="D190" s="138">
        <v>79964</v>
      </c>
      <c r="E190" s="133">
        <v>33502</v>
      </c>
      <c r="F190" s="138">
        <v>0</v>
      </c>
      <c r="G190" s="133">
        <f t="shared" si="2"/>
        <v>113466</v>
      </c>
    </row>
    <row r="191" spans="1:7" ht="15.75" customHeight="1">
      <c r="A191" s="135" t="s">
        <v>372</v>
      </c>
      <c r="B191" s="137">
        <v>4117</v>
      </c>
      <c r="C191" s="133" t="s">
        <v>395</v>
      </c>
      <c r="D191" s="138">
        <v>85078</v>
      </c>
      <c r="E191" s="133">
        <v>0</v>
      </c>
      <c r="F191" s="138">
        <v>15579</v>
      </c>
      <c r="G191" s="133">
        <f t="shared" si="2"/>
        <v>69499</v>
      </c>
    </row>
    <row r="192" spans="1:7" ht="15.75" customHeight="1">
      <c r="A192" s="135" t="s">
        <v>372</v>
      </c>
      <c r="B192" s="137">
        <v>4119</v>
      </c>
      <c r="C192" s="133" t="s">
        <v>395</v>
      </c>
      <c r="D192" s="138">
        <v>15014</v>
      </c>
      <c r="E192" s="133">
        <v>5663</v>
      </c>
      <c r="F192" s="138">
        <v>0</v>
      </c>
      <c r="G192" s="133">
        <f t="shared" si="2"/>
        <v>20677</v>
      </c>
    </row>
    <row r="193" spans="1:7" ht="28.5" customHeight="1">
      <c r="A193" s="135" t="s">
        <v>372</v>
      </c>
      <c r="B193" s="137">
        <v>4127</v>
      </c>
      <c r="C193" s="133" t="s">
        <v>396</v>
      </c>
      <c r="D193" s="138">
        <v>11816</v>
      </c>
      <c r="E193" s="133">
        <v>0</v>
      </c>
      <c r="F193" s="138">
        <v>2347</v>
      </c>
      <c r="G193" s="133">
        <f t="shared" si="2"/>
        <v>9469</v>
      </c>
    </row>
    <row r="194" spans="1:7" ht="28.5" customHeight="1">
      <c r="A194" s="135" t="s">
        <v>372</v>
      </c>
      <c r="B194" s="137">
        <v>4129</v>
      </c>
      <c r="C194" s="133" t="s">
        <v>396</v>
      </c>
      <c r="D194" s="138">
        <v>2084</v>
      </c>
      <c r="E194" s="133">
        <v>732</v>
      </c>
      <c r="F194" s="138">
        <v>0</v>
      </c>
      <c r="G194" s="133">
        <f t="shared" si="2"/>
        <v>2816</v>
      </c>
    </row>
    <row r="195" spans="1:7" ht="15.75" customHeight="1">
      <c r="A195" s="135" t="s">
        <v>372</v>
      </c>
      <c r="B195" s="137">
        <v>4217</v>
      </c>
      <c r="C195" s="133" t="s">
        <v>376</v>
      </c>
      <c r="D195" s="138">
        <v>32415</v>
      </c>
      <c r="E195" s="133">
        <v>0</v>
      </c>
      <c r="F195" s="138">
        <v>563</v>
      </c>
      <c r="G195" s="133">
        <f t="shared" si="2"/>
        <v>31852</v>
      </c>
    </row>
    <row r="196" spans="1:7" ht="15.75" customHeight="1">
      <c r="A196" s="135" t="s">
        <v>372</v>
      </c>
      <c r="B196" s="137">
        <v>4219</v>
      </c>
      <c r="C196" s="133" t="s">
        <v>376</v>
      </c>
      <c r="D196" s="138">
        <v>5720</v>
      </c>
      <c r="E196" s="133">
        <v>8370</v>
      </c>
      <c r="F196" s="138">
        <v>0</v>
      </c>
      <c r="G196" s="133">
        <f t="shared" si="2"/>
        <v>14090</v>
      </c>
    </row>
    <row r="197" spans="1:7" ht="15.75" customHeight="1">
      <c r="A197" s="135" t="s">
        <v>372</v>
      </c>
      <c r="B197" s="137">
        <v>4267</v>
      </c>
      <c r="C197" s="133" t="s">
        <v>377</v>
      </c>
      <c r="D197" s="138">
        <v>23553</v>
      </c>
      <c r="E197" s="133">
        <v>0</v>
      </c>
      <c r="F197" s="138">
        <v>2054</v>
      </c>
      <c r="G197" s="133">
        <f t="shared" si="2"/>
        <v>21499</v>
      </c>
    </row>
    <row r="198" spans="1:7" ht="15.75" customHeight="1">
      <c r="A198" s="135" t="s">
        <v>372</v>
      </c>
      <c r="B198" s="137">
        <v>4269</v>
      </c>
      <c r="C198" s="133" t="s">
        <v>377</v>
      </c>
      <c r="D198" s="138">
        <v>4157</v>
      </c>
      <c r="E198" s="133">
        <v>159</v>
      </c>
      <c r="F198" s="138">
        <v>0</v>
      </c>
      <c r="G198" s="133">
        <f t="shared" si="2"/>
        <v>4316</v>
      </c>
    </row>
    <row r="199" spans="1:7" ht="15.75" customHeight="1">
      <c r="A199" s="135" t="s">
        <v>372</v>
      </c>
      <c r="B199" s="137">
        <v>4307</v>
      </c>
      <c r="C199" s="133" t="s">
        <v>379</v>
      </c>
      <c r="D199" s="138">
        <v>224969</v>
      </c>
      <c r="E199" s="133">
        <v>0</v>
      </c>
      <c r="F199" s="138">
        <v>54169</v>
      </c>
      <c r="G199" s="133">
        <f t="shared" si="2"/>
        <v>170800</v>
      </c>
    </row>
    <row r="200" spans="1:7" ht="15.75" customHeight="1">
      <c r="A200" s="135" t="s">
        <v>372</v>
      </c>
      <c r="B200" s="137">
        <v>4309</v>
      </c>
      <c r="C200" s="133" t="s">
        <v>379</v>
      </c>
      <c r="D200" s="138">
        <v>39700</v>
      </c>
      <c r="E200" s="133">
        <v>3494</v>
      </c>
      <c r="F200" s="138">
        <v>0</v>
      </c>
      <c r="G200" s="133">
        <f t="shared" si="2"/>
        <v>43194</v>
      </c>
    </row>
    <row r="201" spans="1:7" ht="15.75" customHeight="1">
      <c r="A201" s="135" t="s">
        <v>372</v>
      </c>
      <c r="B201" s="137">
        <v>6050</v>
      </c>
      <c r="C201" s="133" t="s">
        <v>385</v>
      </c>
      <c r="D201" s="138">
        <v>13802230</v>
      </c>
      <c r="E201" s="133">
        <v>0</v>
      </c>
      <c r="F201" s="138">
        <v>2189996</v>
      </c>
      <c r="G201" s="133">
        <f t="shared" si="2"/>
        <v>11612234</v>
      </c>
    </row>
    <row r="202" spans="1:7" ht="15.75" customHeight="1">
      <c r="A202" s="135" t="s">
        <v>372</v>
      </c>
      <c r="B202" s="137">
        <v>6057</v>
      </c>
      <c r="C202" s="133" t="s">
        <v>385</v>
      </c>
      <c r="D202" s="138">
        <v>12502634</v>
      </c>
      <c r="E202" s="133">
        <v>838675</v>
      </c>
      <c r="F202" s="138">
        <v>0</v>
      </c>
      <c r="G202" s="133">
        <f t="shared" si="2"/>
        <v>13341309</v>
      </c>
    </row>
    <row r="203" spans="1:7" ht="15.75" customHeight="1">
      <c r="A203" s="135" t="s">
        <v>372</v>
      </c>
      <c r="B203" s="137">
        <v>6059</v>
      </c>
      <c r="C203" s="133" t="s">
        <v>385</v>
      </c>
      <c r="D203" s="138">
        <v>2206346</v>
      </c>
      <c r="E203" s="133">
        <v>2065859</v>
      </c>
      <c r="F203" s="138">
        <v>0</v>
      </c>
      <c r="G203" s="133">
        <f t="shared" si="2"/>
        <v>4272205</v>
      </c>
    </row>
    <row r="204" spans="1:7" s="145" customFormat="1" ht="28.5" customHeight="1">
      <c r="A204" s="141">
        <v>85416</v>
      </c>
      <c r="B204" s="142" t="s">
        <v>372</v>
      </c>
      <c r="C204" s="143" t="s">
        <v>180</v>
      </c>
      <c r="D204" s="144">
        <v>5867450</v>
      </c>
      <c r="E204" s="143">
        <f>SUM(E205:E218)</f>
        <v>0</v>
      </c>
      <c r="F204" s="143">
        <f>SUM(F205:F218)</f>
        <v>577150</v>
      </c>
      <c r="G204" s="143">
        <f aca="true" t="shared" si="3" ref="G204:G267">D204+E204-F204</f>
        <v>5290300</v>
      </c>
    </row>
    <row r="205" spans="1:7" ht="15.75" customHeight="1">
      <c r="A205" s="135" t="s">
        <v>372</v>
      </c>
      <c r="B205" s="137">
        <v>3247</v>
      </c>
      <c r="C205" s="133" t="s">
        <v>403</v>
      </c>
      <c r="D205" s="138">
        <v>4520725</v>
      </c>
      <c r="E205" s="133">
        <v>0</v>
      </c>
      <c r="F205" s="138">
        <v>383775</v>
      </c>
      <c r="G205" s="133">
        <f t="shared" si="3"/>
        <v>4136950</v>
      </c>
    </row>
    <row r="206" spans="1:7" ht="15.75" customHeight="1">
      <c r="A206" s="135" t="s">
        <v>372</v>
      </c>
      <c r="B206" s="137">
        <v>3249</v>
      </c>
      <c r="C206" s="133" t="s">
        <v>403</v>
      </c>
      <c r="D206" s="138">
        <v>797775</v>
      </c>
      <c r="E206" s="133">
        <v>0</v>
      </c>
      <c r="F206" s="138">
        <v>67725</v>
      </c>
      <c r="G206" s="133">
        <f t="shared" si="3"/>
        <v>730050</v>
      </c>
    </row>
    <row r="207" spans="1:7" ht="15.75" customHeight="1">
      <c r="A207" s="135" t="s">
        <v>372</v>
      </c>
      <c r="B207" s="137">
        <v>4017</v>
      </c>
      <c r="C207" s="133" t="s">
        <v>394</v>
      </c>
      <c r="D207" s="138">
        <v>275834</v>
      </c>
      <c r="E207" s="133">
        <v>0</v>
      </c>
      <c r="F207" s="138">
        <v>18247</v>
      </c>
      <c r="G207" s="133">
        <f t="shared" si="3"/>
        <v>257587</v>
      </c>
    </row>
    <row r="208" spans="1:7" ht="15.75" customHeight="1">
      <c r="A208" s="135" t="s">
        <v>372</v>
      </c>
      <c r="B208" s="137">
        <v>4019</v>
      </c>
      <c r="C208" s="133" t="s">
        <v>394</v>
      </c>
      <c r="D208" s="138">
        <v>48676</v>
      </c>
      <c r="E208" s="133">
        <v>0</v>
      </c>
      <c r="F208" s="138">
        <v>3220</v>
      </c>
      <c r="G208" s="133">
        <f t="shared" si="3"/>
        <v>45456</v>
      </c>
    </row>
    <row r="209" spans="1:7" ht="15.75" customHeight="1">
      <c r="A209" s="135" t="s">
        <v>372</v>
      </c>
      <c r="B209" s="137">
        <v>4117</v>
      </c>
      <c r="C209" s="133" t="s">
        <v>395</v>
      </c>
      <c r="D209" s="138">
        <v>48586</v>
      </c>
      <c r="E209" s="133">
        <v>0</v>
      </c>
      <c r="F209" s="138">
        <v>3137</v>
      </c>
      <c r="G209" s="133">
        <f t="shared" si="3"/>
        <v>45449</v>
      </c>
    </row>
    <row r="210" spans="1:7" ht="15.75" customHeight="1">
      <c r="A210" s="135" t="s">
        <v>372</v>
      </c>
      <c r="B210" s="137">
        <v>4119</v>
      </c>
      <c r="C210" s="133" t="s">
        <v>395</v>
      </c>
      <c r="D210" s="138">
        <v>8575</v>
      </c>
      <c r="E210" s="133">
        <v>0</v>
      </c>
      <c r="F210" s="138">
        <v>553</v>
      </c>
      <c r="G210" s="133">
        <f t="shared" si="3"/>
        <v>8022</v>
      </c>
    </row>
    <row r="211" spans="1:7" ht="28.5" customHeight="1">
      <c r="A211" s="135" t="s">
        <v>372</v>
      </c>
      <c r="B211" s="137">
        <v>4127</v>
      </c>
      <c r="C211" s="133" t="s">
        <v>396</v>
      </c>
      <c r="D211" s="138">
        <v>6925</v>
      </c>
      <c r="E211" s="133">
        <v>0</v>
      </c>
      <c r="F211" s="138">
        <v>625</v>
      </c>
      <c r="G211" s="133">
        <f t="shared" si="3"/>
        <v>6300</v>
      </c>
    </row>
    <row r="212" spans="1:7" ht="28.5" customHeight="1">
      <c r="A212" s="135" t="s">
        <v>372</v>
      </c>
      <c r="B212" s="137">
        <v>4129</v>
      </c>
      <c r="C212" s="133" t="s">
        <v>396</v>
      </c>
      <c r="D212" s="138">
        <v>1222</v>
      </c>
      <c r="E212" s="133">
        <v>0</v>
      </c>
      <c r="F212" s="138">
        <v>110</v>
      </c>
      <c r="G212" s="133">
        <f t="shared" si="3"/>
        <v>1112</v>
      </c>
    </row>
    <row r="213" spans="1:7" ht="15.75" customHeight="1">
      <c r="A213" s="135" t="s">
        <v>372</v>
      </c>
      <c r="B213" s="137">
        <v>4217</v>
      </c>
      <c r="C213" s="133" t="s">
        <v>376</v>
      </c>
      <c r="D213" s="138">
        <v>55150</v>
      </c>
      <c r="E213" s="133">
        <v>0</v>
      </c>
      <c r="F213" s="138">
        <v>50305</v>
      </c>
      <c r="G213" s="133">
        <f t="shared" si="3"/>
        <v>4845</v>
      </c>
    </row>
    <row r="214" spans="1:7" ht="15.75" customHeight="1">
      <c r="A214" s="135" t="s">
        <v>372</v>
      </c>
      <c r="B214" s="137">
        <v>4219</v>
      </c>
      <c r="C214" s="133" t="s">
        <v>376</v>
      </c>
      <c r="D214" s="138">
        <v>9732</v>
      </c>
      <c r="E214" s="133">
        <v>0</v>
      </c>
      <c r="F214" s="138">
        <v>8877</v>
      </c>
      <c r="G214" s="133">
        <f t="shared" si="3"/>
        <v>855</v>
      </c>
    </row>
    <row r="215" spans="1:7" ht="15.75" customHeight="1">
      <c r="A215" s="135" t="s">
        <v>372</v>
      </c>
      <c r="B215" s="137">
        <v>4267</v>
      </c>
      <c r="C215" s="133" t="s">
        <v>377</v>
      </c>
      <c r="D215" s="138">
        <v>3613</v>
      </c>
      <c r="E215" s="133">
        <v>0</v>
      </c>
      <c r="F215" s="138">
        <v>1700</v>
      </c>
      <c r="G215" s="133">
        <f t="shared" si="3"/>
        <v>1913</v>
      </c>
    </row>
    <row r="216" spans="1:7" ht="15.75" customHeight="1">
      <c r="A216" s="135" t="s">
        <v>372</v>
      </c>
      <c r="B216" s="137">
        <v>4269</v>
      </c>
      <c r="C216" s="133" t="s">
        <v>377</v>
      </c>
      <c r="D216" s="138">
        <v>637</v>
      </c>
      <c r="E216" s="133">
        <v>0</v>
      </c>
      <c r="F216" s="138">
        <v>300</v>
      </c>
      <c r="G216" s="133">
        <f t="shared" si="3"/>
        <v>337</v>
      </c>
    </row>
    <row r="217" spans="1:7" ht="15.75" customHeight="1">
      <c r="A217" s="135" t="s">
        <v>372</v>
      </c>
      <c r="B217" s="137">
        <v>4307</v>
      </c>
      <c r="C217" s="133" t="s">
        <v>379</v>
      </c>
      <c r="D217" s="138">
        <v>69700</v>
      </c>
      <c r="E217" s="133">
        <v>0</v>
      </c>
      <c r="F217" s="138">
        <v>32789</v>
      </c>
      <c r="G217" s="133">
        <f t="shared" si="3"/>
        <v>36911</v>
      </c>
    </row>
    <row r="218" spans="1:7" ht="15.75" customHeight="1">
      <c r="A218" s="135" t="s">
        <v>372</v>
      </c>
      <c r="B218" s="137">
        <v>4309</v>
      </c>
      <c r="C218" s="133" t="s">
        <v>379</v>
      </c>
      <c r="D218" s="138">
        <v>12300</v>
      </c>
      <c r="E218" s="133">
        <v>0</v>
      </c>
      <c r="F218" s="138">
        <v>5787</v>
      </c>
      <c r="G218" s="133">
        <f t="shared" si="3"/>
        <v>6513</v>
      </c>
    </row>
    <row r="219" spans="1:7" s="145" customFormat="1" ht="15.75" customHeight="1">
      <c r="A219" s="146" t="s">
        <v>351</v>
      </c>
      <c r="B219" s="147" t="s">
        <v>372</v>
      </c>
      <c r="C219" s="148" t="s">
        <v>63</v>
      </c>
      <c r="D219" s="149">
        <v>6078936</v>
      </c>
      <c r="E219" s="148">
        <f>E220</f>
        <v>704218</v>
      </c>
      <c r="F219" s="148">
        <f>F220</f>
        <v>0</v>
      </c>
      <c r="G219" s="148">
        <f t="shared" si="3"/>
        <v>6783154</v>
      </c>
    </row>
    <row r="220" spans="1:7" s="145" customFormat="1" ht="15.75" customHeight="1">
      <c r="A220" s="141">
        <v>85595</v>
      </c>
      <c r="B220" s="142" t="s">
        <v>372</v>
      </c>
      <c r="C220" s="143" t="s">
        <v>52</v>
      </c>
      <c r="D220" s="144">
        <v>4226936</v>
      </c>
      <c r="E220" s="143">
        <f>SUM(E221:E228)</f>
        <v>704218</v>
      </c>
      <c r="F220" s="143">
        <f>SUM(F221:F228)</f>
        <v>0</v>
      </c>
      <c r="G220" s="143">
        <f t="shared" si="3"/>
        <v>4931154</v>
      </c>
    </row>
    <row r="221" spans="1:7" ht="69" customHeight="1">
      <c r="A221" s="135" t="s">
        <v>372</v>
      </c>
      <c r="B221" s="137">
        <v>2057</v>
      </c>
      <c r="C221" s="133" t="s">
        <v>408</v>
      </c>
      <c r="D221" s="138">
        <v>2381375</v>
      </c>
      <c r="E221" s="133">
        <v>405407</v>
      </c>
      <c r="F221" s="138">
        <v>0</v>
      </c>
      <c r="G221" s="133">
        <f t="shared" si="3"/>
        <v>2786782</v>
      </c>
    </row>
    <row r="222" spans="1:7" ht="69" customHeight="1">
      <c r="A222" s="135" t="s">
        <v>372</v>
      </c>
      <c r="B222" s="137">
        <v>2059</v>
      </c>
      <c r="C222" s="133" t="s">
        <v>408</v>
      </c>
      <c r="D222" s="138">
        <v>196113</v>
      </c>
      <c r="E222" s="133">
        <v>33387</v>
      </c>
      <c r="F222" s="138">
        <v>0</v>
      </c>
      <c r="G222" s="133">
        <f t="shared" si="3"/>
        <v>229500</v>
      </c>
    </row>
    <row r="223" spans="1:7" ht="15.75" customHeight="1">
      <c r="A223" s="136" t="s">
        <v>372</v>
      </c>
      <c r="B223" s="139">
        <v>4017</v>
      </c>
      <c r="C223" s="134" t="s">
        <v>394</v>
      </c>
      <c r="D223" s="140">
        <v>143018</v>
      </c>
      <c r="E223" s="134">
        <v>6304</v>
      </c>
      <c r="F223" s="140">
        <v>0</v>
      </c>
      <c r="G223" s="134">
        <f t="shared" si="3"/>
        <v>149322</v>
      </c>
    </row>
    <row r="224" spans="1:7" ht="15.75" customHeight="1">
      <c r="A224" s="305" t="s">
        <v>372</v>
      </c>
      <c r="B224" s="306">
        <v>4019</v>
      </c>
      <c r="C224" s="307" t="s">
        <v>394</v>
      </c>
      <c r="D224" s="308">
        <v>11778</v>
      </c>
      <c r="E224" s="307">
        <v>519</v>
      </c>
      <c r="F224" s="308">
        <v>0</v>
      </c>
      <c r="G224" s="307">
        <f t="shared" si="3"/>
        <v>12297</v>
      </c>
    </row>
    <row r="225" spans="1:7" ht="15.75" customHeight="1">
      <c r="A225" s="135" t="s">
        <v>372</v>
      </c>
      <c r="B225" s="137">
        <v>4307</v>
      </c>
      <c r="C225" s="133" t="s">
        <v>379</v>
      </c>
      <c r="D225" s="138">
        <v>173091</v>
      </c>
      <c r="E225" s="133">
        <v>238001</v>
      </c>
      <c r="F225" s="138">
        <v>0</v>
      </c>
      <c r="G225" s="133">
        <f t="shared" si="3"/>
        <v>411092</v>
      </c>
    </row>
    <row r="226" spans="1:7" ht="15.75" customHeight="1">
      <c r="A226" s="135" t="s">
        <v>372</v>
      </c>
      <c r="B226" s="137">
        <v>4309</v>
      </c>
      <c r="C226" s="133" t="s">
        <v>379</v>
      </c>
      <c r="D226" s="138">
        <v>14257</v>
      </c>
      <c r="E226" s="133">
        <v>19600</v>
      </c>
      <c r="F226" s="138">
        <v>0</v>
      </c>
      <c r="G226" s="133">
        <f t="shared" si="3"/>
        <v>33857</v>
      </c>
    </row>
    <row r="227" spans="1:7" ht="28.5" customHeight="1">
      <c r="A227" s="135" t="s">
        <v>372</v>
      </c>
      <c r="B227" s="137">
        <v>4707</v>
      </c>
      <c r="C227" s="133" t="s">
        <v>384</v>
      </c>
      <c r="D227" s="138">
        <v>924</v>
      </c>
      <c r="E227" s="133">
        <v>924</v>
      </c>
      <c r="F227" s="138">
        <v>0</v>
      </c>
      <c r="G227" s="133">
        <f t="shared" si="3"/>
        <v>1848</v>
      </c>
    </row>
    <row r="228" spans="1:7" ht="28.5" customHeight="1">
      <c r="A228" s="135" t="s">
        <v>372</v>
      </c>
      <c r="B228" s="137">
        <v>4709</v>
      </c>
      <c r="C228" s="133" t="s">
        <v>384</v>
      </c>
      <c r="D228" s="138">
        <v>76</v>
      </c>
      <c r="E228" s="133">
        <v>76</v>
      </c>
      <c r="F228" s="138">
        <v>0</v>
      </c>
      <c r="G228" s="133">
        <f t="shared" si="3"/>
        <v>152</v>
      </c>
    </row>
    <row r="229" spans="1:7" s="145" customFormat="1" ht="28.5" customHeight="1">
      <c r="A229" s="146" t="s">
        <v>352</v>
      </c>
      <c r="B229" s="147" t="s">
        <v>372</v>
      </c>
      <c r="C229" s="148" t="s">
        <v>38</v>
      </c>
      <c r="D229" s="149">
        <v>25296393</v>
      </c>
      <c r="E229" s="148">
        <f>E230</f>
        <v>25457</v>
      </c>
      <c r="F229" s="148">
        <f>F230</f>
        <v>124619</v>
      </c>
      <c r="G229" s="148">
        <f t="shared" si="3"/>
        <v>25197231</v>
      </c>
    </row>
    <row r="230" spans="1:7" s="145" customFormat="1" ht="16.5" customHeight="1">
      <c r="A230" s="141">
        <v>90095</v>
      </c>
      <c r="B230" s="142" t="s">
        <v>372</v>
      </c>
      <c r="C230" s="143" t="s">
        <v>52</v>
      </c>
      <c r="D230" s="144">
        <v>10722116</v>
      </c>
      <c r="E230" s="143">
        <f>SUM(E231:E248)</f>
        <v>25457</v>
      </c>
      <c r="F230" s="143">
        <f>SUM(F231:F248)</f>
        <v>124619</v>
      </c>
      <c r="G230" s="143">
        <f t="shared" si="3"/>
        <v>10622954</v>
      </c>
    </row>
    <row r="231" spans="1:7" ht="16.5" customHeight="1">
      <c r="A231" s="135" t="s">
        <v>372</v>
      </c>
      <c r="B231" s="137">
        <v>4018</v>
      </c>
      <c r="C231" s="133" t="s">
        <v>394</v>
      </c>
      <c r="D231" s="138">
        <v>83291</v>
      </c>
      <c r="E231" s="133">
        <v>16881</v>
      </c>
      <c r="F231" s="138">
        <v>0</v>
      </c>
      <c r="G231" s="133">
        <f t="shared" si="3"/>
        <v>100172</v>
      </c>
    </row>
    <row r="232" spans="1:7" ht="16.5" customHeight="1">
      <c r="A232" s="135" t="s">
        <v>372</v>
      </c>
      <c r="B232" s="137">
        <v>4019</v>
      </c>
      <c r="C232" s="133" t="s">
        <v>394</v>
      </c>
      <c r="D232" s="138">
        <v>270724</v>
      </c>
      <c r="E232" s="133">
        <v>2978</v>
      </c>
      <c r="F232" s="138">
        <v>0</v>
      </c>
      <c r="G232" s="133">
        <f t="shared" si="3"/>
        <v>273702</v>
      </c>
    </row>
    <row r="233" spans="1:7" ht="16.5" customHeight="1">
      <c r="A233" s="135" t="s">
        <v>372</v>
      </c>
      <c r="B233" s="137">
        <v>4048</v>
      </c>
      <c r="C233" s="133" t="s">
        <v>402</v>
      </c>
      <c r="D233" s="138">
        <v>7959</v>
      </c>
      <c r="E233" s="133">
        <v>0</v>
      </c>
      <c r="F233" s="138">
        <v>1308</v>
      </c>
      <c r="G233" s="133">
        <f t="shared" si="3"/>
        <v>6651</v>
      </c>
    </row>
    <row r="234" spans="1:7" ht="16.5" customHeight="1">
      <c r="A234" s="135" t="s">
        <v>372</v>
      </c>
      <c r="B234" s="137">
        <v>4049</v>
      </c>
      <c r="C234" s="133" t="s">
        <v>402</v>
      </c>
      <c r="D234" s="138">
        <v>21204</v>
      </c>
      <c r="E234" s="133">
        <v>0</v>
      </c>
      <c r="F234" s="138">
        <v>230</v>
      </c>
      <c r="G234" s="133">
        <f t="shared" si="3"/>
        <v>20974</v>
      </c>
    </row>
    <row r="235" spans="1:7" ht="16.5" customHeight="1">
      <c r="A235" s="135" t="s">
        <v>372</v>
      </c>
      <c r="B235" s="137">
        <v>4118</v>
      </c>
      <c r="C235" s="133" t="s">
        <v>395</v>
      </c>
      <c r="D235" s="138">
        <v>15686</v>
      </c>
      <c r="E235" s="133">
        <v>2677</v>
      </c>
      <c r="F235" s="138">
        <v>0</v>
      </c>
      <c r="G235" s="133">
        <f t="shared" si="3"/>
        <v>18363</v>
      </c>
    </row>
    <row r="236" spans="1:7" ht="16.5" customHeight="1">
      <c r="A236" s="135" t="s">
        <v>372</v>
      </c>
      <c r="B236" s="137">
        <v>4119</v>
      </c>
      <c r="C236" s="133" t="s">
        <v>395</v>
      </c>
      <c r="D236" s="138">
        <v>57768</v>
      </c>
      <c r="E236" s="133">
        <v>473</v>
      </c>
      <c r="F236" s="138">
        <v>0</v>
      </c>
      <c r="G236" s="133">
        <f t="shared" si="3"/>
        <v>58241</v>
      </c>
    </row>
    <row r="237" spans="1:7" ht="28.5" customHeight="1">
      <c r="A237" s="135" t="s">
        <v>372</v>
      </c>
      <c r="B237" s="137">
        <v>4128</v>
      </c>
      <c r="C237" s="133" t="s">
        <v>396</v>
      </c>
      <c r="D237" s="138">
        <v>2236</v>
      </c>
      <c r="E237" s="133">
        <v>381</v>
      </c>
      <c r="F237" s="138">
        <v>0</v>
      </c>
      <c r="G237" s="133">
        <f t="shared" si="3"/>
        <v>2617</v>
      </c>
    </row>
    <row r="238" spans="1:7" ht="28.5" customHeight="1">
      <c r="A238" s="135" t="s">
        <v>372</v>
      </c>
      <c r="B238" s="137">
        <v>4129</v>
      </c>
      <c r="C238" s="133" t="s">
        <v>396</v>
      </c>
      <c r="D238" s="138">
        <v>7380</v>
      </c>
      <c r="E238" s="133">
        <v>67</v>
      </c>
      <c r="F238" s="138">
        <v>0</v>
      </c>
      <c r="G238" s="133">
        <f t="shared" si="3"/>
        <v>7447</v>
      </c>
    </row>
    <row r="239" spans="1:7" ht="16.5" customHeight="1">
      <c r="A239" s="135" t="s">
        <v>372</v>
      </c>
      <c r="B239" s="137">
        <v>4218</v>
      </c>
      <c r="C239" s="133" t="s">
        <v>376</v>
      </c>
      <c r="D239" s="138">
        <v>2550</v>
      </c>
      <c r="E239" s="133">
        <v>1700</v>
      </c>
      <c r="F239" s="138">
        <v>0</v>
      </c>
      <c r="G239" s="133">
        <f t="shared" si="3"/>
        <v>4250</v>
      </c>
    </row>
    <row r="240" spans="1:7" ht="16.5" customHeight="1">
      <c r="A240" s="135" t="s">
        <v>372</v>
      </c>
      <c r="B240" s="137">
        <v>4219</v>
      </c>
      <c r="C240" s="133" t="s">
        <v>376</v>
      </c>
      <c r="D240" s="138">
        <v>6225</v>
      </c>
      <c r="E240" s="133">
        <v>300</v>
      </c>
      <c r="F240" s="138">
        <v>0</v>
      </c>
      <c r="G240" s="133">
        <f t="shared" si="3"/>
        <v>6525</v>
      </c>
    </row>
    <row r="241" spans="1:7" ht="16.5" customHeight="1">
      <c r="A241" s="135" t="s">
        <v>372</v>
      </c>
      <c r="B241" s="137">
        <v>4308</v>
      </c>
      <c r="C241" s="133" t="s">
        <v>379</v>
      </c>
      <c r="D241" s="138">
        <v>162743</v>
      </c>
      <c r="E241" s="133">
        <v>0</v>
      </c>
      <c r="F241" s="138">
        <v>68735</v>
      </c>
      <c r="G241" s="133">
        <f t="shared" si="3"/>
        <v>94008</v>
      </c>
    </row>
    <row r="242" spans="1:7" ht="16.5" customHeight="1">
      <c r="A242" s="135" t="s">
        <v>372</v>
      </c>
      <c r="B242" s="137">
        <v>4309</v>
      </c>
      <c r="C242" s="133" t="s">
        <v>379</v>
      </c>
      <c r="D242" s="138">
        <v>338802</v>
      </c>
      <c r="E242" s="133">
        <v>0</v>
      </c>
      <c r="F242" s="138">
        <v>12130</v>
      </c>
      <c r="G242" s="133">
        <f t="shared" si="3"/>
        <v>326672</v>
      </c>
    </row>
    <row r="243" spans="1:7" ht="16.5" customHeight="1">
      <c r="A243" s="135" t="s">
        <v>372</v>
      </c>
      <c r="B243" s="137">
        <v>4418</v>
      </c>
      <c r="C243" s="133" t="s">
        <v>401</v>
      </c>
      <c r="D243" s="138">
        <v>850</v>
      </c>
      <c r="E243" s="133">
        <v>0</v>
      </c>
      <c r="F243" s="138">
        <v>850</v>
      </c>
      <c r="G243" s="133">
        <f t="shared" si="3"/>
        <v>0</v>
      </c>
    </row>
    <row r="244" spans="1:7" ht="16.5" customHeight="1">
      <c r="A244" s="135" t="s">
        <v>372</v>
      </c>
      <c r="B244" s="137">
        <v>4419</v>
      </c>
      <c r="C244" s="133" t="s">
        <v>401</v>
      </c>
      <c r="D244" s="138">
        <v>28200</v>
      </c>
      <c r="E244" s="133">
        <v>0</v>
      </c>
      <c r="F244" s="138">
        <v>150</v>
      </c>
      <c r="G244" s="133">
        <f t="shared" si="3"/>
        <v>28050</v>
      </c>
    </row>
    <row r="245" spans="1:7" ht="16.5" customHeight="1">
      <c r="A245" s="135" t="s">
        <v>372</v>
      </c>
      <c r="B245" s="137">
        <v>4428</v>
      </c>
      <c r="C245" s="133" t="s">
        <v>404</v>
      </c>
      <c r="D245" s="138">
        <v>34609</v>
      </c>
      <c r="E245" s="133">
        <v>0</v>
      </c>
      <c r="F245" s="138">
        <v>34609</v>
      </c>
      <c r="G245" s="133">
        <f t="shared" si="3"/>
        <v>0</v>
      </c>
    </row>
    <row r="246" spans="1:7" ht="16.5" customHeight="1">
      <c r="A246" s="135" t="s">
        <v>372</v>
      </c>
      <c r="B246" s="137">
        <v>4429</v>
      </c>
      <c r="C246" s="133" t="s">
        <v>404</v>
      </c>
      <c r="D246" s="138">
        <v>6107</v>
      </c>
      <c r="E246" s="133">
        <v>0</v>
      </c>
      <c r="F246" s="138">
        <v>6107</v>
      </c>
      <c r="G246" s="133">
        <f t="shared" si="3"/>
        <v>0</v>
      </c>
    </row>
    <row r="247" spans="1:7" ht="16.5" customHeight="1">
      <c r="A247" s="135" t="s">
        <v>372</v>
      </c>
      <c r="B247" s="137">
        <v>4438</v>
      </c>
      <c r="C247" s="133" t="s">
        <v>389</v>
      </c>
      <c r="D247" s="138">
        <v>425</v>
      </c>
      <c r="E247" s="133">
        <v>0</v>
      </c>
      <c r="F247" s="138">
        <v>425</v>
      </c>
      <c r="G247" s="133">
        <f t="shared" si="3"/>
        <v>0</v>
      </c>
    </row>
    <row r="248" spans="1:7" ht="16.5" customHeight="1">
      <c r="A248" s="135" t="s">
        <v>372</v>
      </c>
      <c r="B248" s="137">
        <v>4439</v>
      </c>
      <c r="C248" s="133" t="s">
        <v>389</v>
      </c>
      <c r="D248" s="138">
        <v>1175</v>
      </c>
      <c r="E248" s="133">
        <v>0</v>
      </c>
      <c r="F248" s="138">
        <v>75</v>
      </c>
      <c r="G248" s="133">
        <f t="shared" si="3"/>
        <v>1100</v>
      </c>
    </row>
    <row r="249" spans="1:7" s="145" customFormat="1" ht="28.5" customHeight="1">
      <c r="A249" s="146" t="s">
        <v>222</v>
      </c>
      <c r="B249" s="147" t="s">
        <v>372</v>
      </c>
      <c r="C249" s="148" t="s">
        <v>39</v>
      </c>
      <c r="D249" s="149">
        <v>137624662</v>
      </c>
      <c r="E249" s="148">
        <f>E250+E252+E255+E257+E260+E263</f>
        <v>1073612</v>
      </c>
      <c r="F249" s="148">
        <f>F250+F252+F255+F257+F260+F263</f>
        <v>1380000</v>
      </c>
      <c r="G249" s="148">
        <f t="shared" si="3"/>
        <v>137318274</v>
      </c>
    </row>
    <row r="250" spans="1:7" s="145" customFormat="1" ht="15.75" customHeight="1">
      <c r="A250" s="141">
        <v>92105</v>
      </c>
      <c r="B250" s="142" t="s">
        <v>372</v>
      </c>
      <c r="C250" s="143" t="s">
        <v>197</v>
      </c>
      <c r="D250" s="144">
        <v>470000</v>
      </c>
      <c r="E250" s="143">
        <f>E251</f>
        <v>0</v>
      </c>
      <c r="F250" s="143">
        <f>F251</f>
        <v>240000</v>
      </c>
      <c r="G250" s="143">
        <f t="shared" si="3"/>
        <v>230000</v>
      </c>
    </row>
    <row r="251" spans="1:7" ht="28.5" customHeight="1">
      <c r="A251" s="135" t="s">
        <v>372</v>
      </c>
      <c r="B251" s="137">
        <v>2800</v>
      </c>
      <c r="C251" s="133" t="s">
        <v>405</v>
      </c>
      <c r="D251" s="138">
        <v>470000</v>
      </c>
      <c r="E251" s="133">
        <v>0</v>
      </c>
      <c r="F251" s="138">
        <v>240000</v>
      </c>
      <c r="G251" s="133">
        <f t="shared" si="3"/>
        <v>230000</v>
      </c>
    </row>
    <row r="252" spans="1:7" s="145" customFormat="1" ht="15.75" customHeight="1">
      <c r="A252" s="141">
        <v>92106</v>
      </c>
      <c r="B252" s="142" t="s">
        <v>372</v>
      </c>
      <c r="C252" s="143" t="s">
        <v>184</v>
      </c>
      <c r="D252" s="144">
        <v>41538825</v>
      </c>
      <c r="E252" s="143">
        <f>SUM(E253:E254)</f>
        <v>68519</v>
      </c>
      <c r="F252" s="143">
        <f>SUM(F253:F254)</f>
        <v>0</v>
      </c>
      <c r="G252" s="143">
        <f t="shared" si="3"/>
        <v>41607344</v>
      </c>
    </row>
    <row r="253" spans="1:7" ht="28.5" customHeight="1">
      <c r="A253" s="135" t="s">
        <v>372</v>
      </c>
      <c r="B253" s="137">
        <v>2800</v>
      </c>
      <c r="C253" s="133" t="s">
        <v>405</v>
      </c>
      <c r="D253" s="138">
        <v>0</v>
      </c>
      <c r="E253" s="133">
        <v>47457</v>
      </c>
      <c r="F253" s="138">
        <v>0</v>
      </c>
      <c r="G253" s="133">
        <f t="shared" si="3"/>
        <v>47457</v>
      </c>
    </row>
    <row r="254" spans="1:7" ht="42" customHeight="1">
      <c r="A254" s="135" t="s">
        <v>372</v>
      </c>
      <c r="B254" s="137">
        <v>6220</v>
      </c>
      <c r="C254" s="133" t="s">
        <v>391</v>
      </c>
      <c r="D254" s="138">
        <v>11488825</v>
      </c>
      <c r="E254" s="133">
        <v>21062</v>
      </c>
      <c r="F254" s="138">
        <v>0</v>
      </c>
      <c r="G254" s="133">
        <f t="shared" si="3"/>
        <v>11509887</v>
      </c>
    </row>
    <row r="255" spans="1:7" s="145" customFormat="1" ht="15.75" customHeight="1">
      <c r="A255" s="141">
        <v>92109</v>
      </c>
      <c r="B255" s="142" t="s">
        <v>372</v>
      </c>
      <c r="C255" s="143" t="s">
        <v>186</v>
      </c>
      <c r="D255" s="144">
        <v>7246474</v>
      </c>
      <c r="E255" s="143">
        <f>E256</f>
        <v>20000</v>
      </c>
      <c r="F255" s="143">
        <f>F256</f>
        <v>0</v>
      </c>
      <c r="G255" s="143">
        <f t="shared" si="3"/>
        <v>7266474</v>
      </c>
    </row>
    <row r="256" spans="1:7" ht="28.5" customHeight="1">
      <c r="A256" s="135" t="s">
        <v>372</v>
      </c>
      <c r="B256" s="137">
        <v>2800</v>
      </c>
      <c r="C256" s="133" t="s">
        <v>405</v>
      </c>
      <c r="D256" s="138">
        <v>51000</v>
      </c>
      <c r="E256" s="133">
        <v>20000</v>
      </c>
      <c r="F256" s="138">
        <v>0</v>
      </c>
      <c r="G256" s="133">
        <f t="shared" si="3"/>
        <v>71000</v>
      </c>
    </row>
    <row r="257" spans="1:7" s="145" customFormat="1" ht="15" customHeight="1">
      <c r="A257" s="141">
        <v>92116</v>
      </c>
      <c r="B257" s="142" t="s">
        <v>372</v>
      </c>
      <c r="C257" s="143" t="s">
        <v>189</v>
      </c>
      <c r="D257" s="144">
        <v>21532300</v>
      </c>
      <c r="E257" s="143">
        <f>SUM(E258:E259)</f>
        <v>96930</v>
      </c>
      <c r="F257" s="143">
        <f>SUM(F258:F259)</f>
        <v>0</v>
      </c>
      <c r="G257" s="143">
        <f t="shared" si="3"/>
        <v>21629230</v>
      </c>
    </row>
    <row r="258" spans="1:7" ht="28.5" customHeight="1">
      <c r="A258" s="135" t="s">
        <v>372</v>
      </c>
      <c r="B258" s="137">
        <v>2800</v>
      </c>
      <c r="C258" s="133" t="s">
        <v>405</v>
      </c>
      <c r="D258" s="138">
        <v>45000</v>
      </c>
      <c r="E258" s="133">
        <v>68930</v>
      </c>
      <c r="F258" s="138">
        <v>0</v>
      </c>
      <c r="G258" s="133">
        <f t="shared" si="3"/>
        <v>113930</v>
      </c>
    </row>
    <row r="259" spans="1:7" ht="42.75" customHeight="1">
      <c r="A259" s="135" t="s">
        <v>372</v>
      </c>
      <c r="B259" s="137">
        <v>6220</v>
      </c>
      <c r="C259" s="133" t="s">
        <v>391</v>
      </c>
      <c r="D259" s="138">
        <v>260000</v>
      </c>
      <c r="E259" s="133">
        <v>28000</v>
      </c>
      <c r="F259" s="138">
        <v>0</v>
      </c>
      <c r="G259" s="133">
        <f t="shared" si="3"/>
        <v>288000</v>
      </c>
    </row>
    <row r="260" spans="1:7" s="145" customFormat="1" ht="15.75" customHeight="1">
      <c r="A260" s="141">
        <v>92118</v>
      </c>
      <c r="B260" s="142" t="s">
        <v>372</v>
      </c>
      <c r="C260" s="143" t="s">
        <v>190</v>
      </c>
      <c r="D260" s="144">
        <v>15821280</v>
      </c>
      <c r="E260" s="143">
        <f>SUM(E261:E262)</f>
        <v>136287</v>
      </c>
      <c r="F260" s="143">
        <f>SUM(F261:F262)</f>
        <v>0</v>
      </c>
      <c r="G260" s="143">
        <f t="shared" si="3"/>
        <v>15957567</v>
      </c>
    </row>
    <row r="261" spans="1:7" ht="28.5" customHeight="1">
      <c r="A261" s="135" t="s">
        <v>372</v>
      </c>
      <c r="B261" s="137">
        <v>2480</v>
      </c>
      <c r="C261" s="133" t="s">
        <v>406</v>
      </c>
      <c r="D261" s="138">
        <v>14480632</v>
      </c>
      <c r="E261" s="133">
        <v>31145</v>
      </c>
      <c r="F261" s="138">
        <v>0</v>
      </c>
      <c r="G261" s="133">
        <f t="shared" si="3"/>
        <v>14511777</v>
      </c>
    </row>
    <row r="262" spans="1:7" ht="30" customHeight="1">
      <c r="A262" s="135" t="s">
        <v>372</v>
      </c>
      <c r="B262" s="137">
        <v>2800</v>
      </c>
      <c r="C262" s="133" t="s">
        <v>405</v>
      </c>
      <c r="D262" s="138">
        <v>0</v>
      </c>
      <c r="E262" s="133">
        <v>105142</v>
      </c>
      <c r="F262" s="138">
        <v>0</v>
      </c>
      <c r="G262" s="133">
        <f t="shared" si="3"/>
        <v>105142</v>
      </c>
    </row>
    <row r="263" spans="1:7" s="145" customFormat="1" ht="15.75" customHeight="1">
      <c r="A263" s="141">
        <v>92195</v>
      </c>
      <c r="B263" s="142" t="s">
        <v>372</v>
      </c>
      <c r="C263" s="143" t="s">
        <v>52</v>
      </c>
      <c r="D263" s="144">
        <v>30103847</v>
      </c>
      <c r="E263" s="143">
        <f>SUM(E264:E277)</f>
        <v>751876</v>
      </c>
      <c r="F263" s="143">
        <f>SUM(F264:F277)</f>
        <v>1140000</v>
      </c>
      <c r="G263" s="143">
        <f t="shared" si="3"/>
        <v>29715723</v>
      </c>
    </row>
    <row r="264" spans="1:7" ht="72" customHeight="1">
      <c r="A264" s="135" t="s">
        <v>372</v>
      </c>
      <c r="B264" s="137">
        <v>2007</v>
      </c>
      <c r="C264" s="133" t="s">
        <v>373</v>
      </c>
      <c r="D264" s="138">
        <v>0</v>
      </c>
      <c r="E264" s="133">
        <v>626720</v>
      </c>
      <c r="F264" s="138">
        <v>0</v>
      </c>
      <c r="G264" s="133">
        <f t="shared" si="3"/>
        <v>626720</v>
      </c>
    </row>
    <row r="265" spans="1:7" ht="28.5" customHeight="1">
      <c r="A265" s="135" t="s">
        <v>372</v>
      </c>
      <c r="B265" s="137">
        <v>2800</v>
      </c>
      <c r="C265" s="133" t="s">
        <v>405</v>
      </c>
      <c r="D265" s="138">
        <v>1870000</v>
      </c>
      <c r="E265" s="133">
        <v>0</v>
      </c>
      <c r="F265" s="138">
        <v>1120000</v>
      </c>
      <c r="G265" s="133">
        <f t="shared" si="3"/>
        <v>750000</v>
      </c>
    </row>
    <row r="266" spans="1:7" ht="15" customHeight="1">
      <c r="A266" s="135" t="s">
        <v>372</v>
      </c>
      <c r="B266" s="137">
        <v>4017</v>
      </c>
      <c r="C266" s="133" t="s">
        <v>394</v>
      </c>
      <c r="D266" s="138">
        <v>19720</v>
      </c>
      <c r="E266" s="133">
        <v>10945</v>
      </c>
      <c r="F266" s="138">
        <v>0</v>
      </c>
      <c r="G266" s="133">
        <f t="shared" si="3"/>
        <v>30665</v>
      </c>
    </row>
    <row r="267" spans="1:7" ht="15" customHeight="1">
      <c r="A267" s="136" t="s">
        <v>372</v>
      </c>
      <c r="B267" s="139">
        <v>4019</v>
      </c>
      <c r="C267" s="134" t="s">
        <v>394</v>
      </c>
      <c r="D267" s="140">
        <v>10560</v>
      </c>
      <c r="E267" s="134">
        <v>1931</v>
      </c>
      <c r="F267" s="140">
        <v>0</v>
      </c>
      <c r="G267" s="134">
        <f t="shared" si="3"/>
        <v>12491</v>
      </c>
    </row>
    <row r="268" spans="1:7" ht="15" customHeight="1">
      <c r="A268" s="305" t="s">
        <v>372</v>
      </c>
      <c r="B268" s="306">
        <v>4117</v>
      </c>
      <c r="C268" s="307" t="s">
        <v>395</v>
      </c>
      <c r="D268" s="308">
        <v>4420</v>
      </c>
      <c r="E268" s="307">
        <v>3246</v>
      </c>
      <c r="F268" s="308">
        <v>0</v>
      </c>
      <c r="G268" s="307">
        <f aca="true" t="shared" si="4" ref="G268:G301">D268+E268-F268</f>
        <v>7666</v>
      </c>
    </row>
    <row r="269" spans="1:7" ht="15" customHeight="1">
      <c r="A269" s="135" t="s">
        <v>372</v>
      </c>
      <c r="B269" s="137">
        <v>4119</v>
      </c>
      <c r="C269" s="133" t="s">
        <v>395</v>
      </c>
      <c r="D269" s="138">
        <v>2216</v>
      </c>
      <c r="E269" s="133">
        <v>573</v>
      </c>
      <c r="F269" s="138">
        <v>0</v>
      </c>
      <c r="G269" s="133">
        <f t="shared" si="4"/>
        <v>2789</v>
      </c>
    </row>
    <row r="270" spans="1:7" ht="28.5" customHeight="1">
      <c r="A270" s="135" t="s">
        <v>372</v>
      </c>
      <c r="B270" s="137">
        <v>4127</v>
      </c>
      <c r="C270" s="133" t="s">
        <v>396</v>
      </c>
      <c r="D270" s="138">
        <v>680</v>
      </c>
      <c r="E270" s="133">
        <v>562</v>
      </c>
      <c r="F270" s="138">
        <v>0</v>
      </c>
      <c r="G270" s="133">
        <f t="shared" si="4"/>
        <v>1242</v>
      </c>
    </row>
    <row r="271" spans="1:7" ht="28.5" customHeight="1">
      <c r="A271" s="135" t="s">
        <v>372</v>
      </c>
      <c r="B271" s="137">
        <v>4129</v>
      </c>
      <c r="C271" s="133" t="s">
        <v>396</v>
      </c>
      <c r="D271" s="138">
        <v>325</v>
      </c>
      <c r="E271" s="133">
        <v>99</v>
      </c>
      <c r="F271" s="138">
        <v>0</v>
      </c>
      <c r="G271" s="133">
        <f t="shared" si="4"/>
        <v>424</v>
      </c>
    </row>
    <row r="272" spans="1:7" ht="15.75" customHeight="1">
      <c r="A272" s="135" t="s">
        <v>372</v>
      </c>
      <c r="B272" s="137">
        <v>4177</v>
      </c>
      <c r="C272" s="133" t="s">
        <v>398</v>
      </c>
      <c r="D272" s="138">
        <v>5100</v>
      </c>
      <c r="E272" s="133">
        <v>5100</v>
      </c>
      <c r="F272" s="138">
        <v>0</v>
      </c>
      <c r="G272" s="133">
        <f t="shared" si="4"/>
        <v>10200</v>
      </c>
    </row>
    <row r="273" spans="1:7" ht="15.75" customHeight="1">
      <c r="A273" s="135" t="s">
        <v>372</v>
      </c>
      <c r="B273" s="137">
        <v>4179</v>
      </c>
      <c r="C273" s="133" t="s">
        <v>398</v>
      </c>
      <c r="D273" s="138">
        <v>900</v>
      </c>
      <c r="E273" s="133">
        <v>900</v>
      </c>
      <c r="F273" s="138">
        <v>0</v>
      </c>
      <c r="G273" s="133">
        <f t="shared" si="4"/>
        <v>1800</v>
      </c>
    </row>
    <row r="274" spans="1:7" ht="15.75" customHeight="1">
      <c r="A274" s="135" t="s">
        <v>372</v>
      </c>
      <c r="B274" s="137">
        <v>4267</v>
      </c>
      <c r="C274" s="133" t="s">
        <v>377</v>
      </c>
      <c r="D274" s="138">
        <v>1020</v>
      </c>
      <c r="E274" s="133">
        <v>1530</v>
      </c>
      <c r="F274" s="138">
        <v>0</v>
      </c>
      <c r="G274" s="133">
        <f t="shared" si="4"/>
        <v>2550</v>
      </c>
    </row>
    <row r="275" spans="1:7" ht="15.75" customHeight="1">
      <c r="A275" s="135" t="s">
        <v>372</v>
      </c>
      <c r="B275" s="137">
        <v>4269</v>
      </c>
      <c r="C275" s="133" t="s">
        <v>377</v>
      </c>
      <c r="D275" s="138">
        <v>180</v>
      </c>
      <c r="E275" s="133">
        <v>270</v>
      </c>
      <c r="F275" s="138">
        <v>0</v>
      </c>
      <c r="G275" s="133">
        <f t="shared" si="4"/>
        <v>450</v>
      </c>
    </row>
    <row r="276" spans="1:7" ht="15.75" customHeight="1">
      <c r="A276" s="135" t="s">
        <v>372</v>
      </c>
      <c r="B276" s="137">
        <v>4300</v>
      </c>
      <c r="C276" s="133" t="s">
        <v>379</v>
      </c>
      <c r="D276" s="138">
        <v>3187543</v>
      </c>
      <c r="E276" s="133">
        <v>0</v>
      </c>
      <c r="F276" s="138">
        <v>20000</v>
      </c>
      <c r="G276" s="133">
        <f t="shared" si="4"/>
        <v>3167543</v>
      </c>
    </row>
    <row r="277" spans="1:7" ht="42.75" customHeight="1">
      <c r="A277" s="135" t="s">
        <v>372</v>
      </c>
      <c r="B277" s="137">
        <v>6230</v>
      </c>
      <c r="C277" s="133" t="s">
        <v>407</v>
      </c>
      <c r="D277" s="138">
        <v>0</v>
      </c>
      <c r="E277" s="133">
        <v>100000</v>
      </c>
      <c r="F277" s="138">
        <v>0</v>
      </c>
      <c r="G277" s="133">
        <f t="shared" si="4"/>
        <v>100000</v>
      </c>
    </row>
    <row r="278" spans="1:7" s="145" customFormat="1" ht="39" customHeight="1">
      <c r="A278" s="146" t="s">
        <v>223</v>
      </c>
      <c r="B278" s="147" t="s">
        <v>372</v>
      </c>
      <c r="C278" s="148" t="s">
        <v>40</v>
      </c>
      <c r="D278" s="149">
        <v>10732858</v>
      </c>
      <c r="E278" s="148">
        <f>E279</f>
        <v>2996448</v>
      </c>
      <c r="F278" s="148">
        <f>F279</f>
        <v>337934</v>
      </c>
      <c r="G278" s="148">
        <f t="shared" si="4"/>
        <v>13391372</v>
      </c>
    </row>
    <row r="279" spans="1:7" s="145" customFormat="1" ht="15" customHeight="1">
      <c r="A279" s="141">
        <v>92502</v>
      </c>
      <c r="B279" s="142" t="s">
        <v>372</v>
      </c>
      <c r="C279" s="143" t="s">
        <v>192</v>
      </c>
      <c r="D279" s="144">
        <v>10732858</v>
      </c>
      <c r="E279" s="143">
        <f>SUM(E280:E297)</f>
        <v>2996448</v>
      </c>
      <c r="F279" s="143">
        <f>SUM(F280:F297)</f>
        <v>337934</v>
      </c>
      <c r="G279" s="143">
        <f t="shared" si="4"/>
        <v>13391372</v>
      </c>
    </row>
    <row r="280" spans="1:7" ht="15" customHeight="1">
      <c r="A280" s="135" t="s">
        <v>372</v>
      </c>
      <c r="B280" s="137">
        <v>4117</v>
      </c>
      <c r="C280" s="133" t="s">
        <v>395</v>
      </c>
      <c r="D280" s="138">
        <v>598</v>
      </c>
      <c r="E280" s="133">
        <v>3970</v>
      </c>
      <c r="F280" s="138">
        <v>0</v>
      </c>
      <c r="G280" s="133">
        <f t="shared" si="4"/>
        <v>4568</v>
      </c>
    </row>
    <row r="281" spans="1:7" ht="15" customHeight="1">
      <c r="A281" s="135" t="s">
        <v>372</v>
      </c>
      <c r="B281" s="137">
        <v>4119</v>
      </c>
      <c r="C281" s="133" t="s">
        <v>395</v>
      </c>
      <c r="D281" s="138">
        <v>742</v>
      </c>
      <c r="E281" s="133">
        <v>702</v>
      </c>
      <c r="F281" s="138">
        <v>0</v>
      </c>
      <c r="G281" s="133">
        <f t="shared" si="4"/>
        <v>1444</v>
      </c>
    </row>
    <row r="282" spans="1:7" ht="31.5" customHeight="1">
      <c r="A282" s="135" t="s">
        <v>372</v>
      </c>
      <c r="B282" s="137">
        <v>4127</v>
      </c>
      <c r="C282" s="133" t="s">
        <v>396</v>
      </c>
      <c r="D282" s="138">
        <v>82</v>
      </c>
      <c r="E282" s="133">
        <v>380</v>
      </c>
      <c r="F282" s="138">
        <v>0</v>
      </c>
      <c r="G282" s="133">
        <f t="shared" si="4"/>
        <v>462</v>
      </c>
    </row>
    <row r="283" spans="1:7" ht="31.5" customHeight="1">
      <c r="A283" s="135" t="s">
        <v>372</v>
      </c>
      <c r="B283" s="137">
        <v>4129</v>
      </c>
      <c r="C283" s="133" t="s">
        <v>396</v>
      </c>
      <c r="D283" s="138">
        <v>101</v>
      </c>
      <c r="E283" s="133">
        <v>68</v>
      </c>
      <c r="F283" s="138">
        <v>0</v>
      </c>
      <c r="G283" s="133">
        <f t="shared" si="4"/>
        <v>169</v>
      </c>
    </row>
    <row r="284" spans="1:7" ht="15" customHeight="1">
      <c r="A284" s="135" t="s">
        <v>372</v>
      </c>
      <c r="B284" s="137">
        <v>4177</v>
      </c>
      <c r="C284" s="133" t="s">
        <v>398</v>
      </c>
      <c r="D284" s="138">
        <v>47660</v>
      </c>
      <c r="E284" s="133">
        <v>23206</v>
      </c>
      <c r="F284" s="138">
        <v>0</v>
      </c>
      <c r="G284" s="133">
        <f t="shared" si="4"/>
        <v>70866</v>
      </c>
    </row>
    <row r="285" spans="1:7" ht="15" customHeight="1">
      <c r="A285" s="135" t="s">
        <v>372</v>
      </c>
      <c r="B285" s="137">
        <v>4179</v>
      </c>
      <c r="C285" s="133" t="s">
        <v>398</v>
      </c>
      <c r="D285" s="138">
        <v>8411</v>
      </c>
      <c r="E285" s="133">
        <v>4096</v>
      </c>
      <c r="F285" s="138">
        <v>0</v>
      </c>
      <c r="G285" s="133">
        <f t="shared" si="4"/>
        <v>12507</v>
      </c>
    </row>
    <row r="286" spans="1:7" ht="15" customHeight="1">
      <c r="A286" s="135" t="s">
        <v>372</v>
      </c>
      <c r="B286" s="137">
        <v>4210</v>
      </c>
      <c r="C286" s="133" t="s">
        <v>376</v>
      </c>
      <c r="D286" s="138">
        <v>247184</v>
      </c>
      <c r="E286" s="133">
        <v>25000</v>
      </c>
      <c r="F286" s="138">
        <v>0</v>
      </c>
      <c r="G286" s="133">
        <f t="shared" si="4"/>
        <v>272184</v>
      </c>
    </row>
    <row r="287" spans="1:7" ht="15" customHeight="1">
      <c r="A287" s="135" t="s">
        <v>372</v>
      </c>
      <c r="B287" s="137">
        <v>4217</v>
      </c>
      <c r="C287" s="133" t="s">
        <v>376</v>
      </c>
      <c r="D287" s="138">
        <v>36124</v>
      </c>
      <c r="E287" s="133">
        <v>87124</v>
      </c>
      <c r="F287" s="138">
        <v>0</v>
      </c>
      <c r="G287" s="133">
        <f t="shared" si="4"/>
        <v>123248</v>
      </c>
    </row>
    <row r="288" spans="1:7" ht="15" customHeight="1">
      <c r="A288" s="135" t="s">
        <v>372</v>
      </c>
      <c r="B288" s="137">
        <v>4219</v>
      </c>
      <c r="C288" s="133" t="s">
        <v>376</v>
      </c>
      <c r="D288" s="138">
        <v>6375</v>
      </c>
      <c r="E288" s="133">
        <v>15375</v>
      </c>
      <c r="F288" s="138">
        <v>0</v>
      </c>
      <c r="G288" s="133">
        <f t="shared" si="4"/>
        <v>21750</v>
      </c>
    </row>
    <row r="289" spans="1:7" ht="15" customHeight="1">
      <c r="A289" s="135" t="s">
        <v>372</v>
      </c>
      <c r="B289" s="137">
        <v>4300</v>
      </c>
      <c r="C289" s="133" t="s">
        <v>379</v>
      </c>
      <c r="D289" s="138">
        <v>282700</v>
      </c>
      <c r="E289" s="133">
        <v>13851</v>
      </c>
      <c r="F289" s="138">
        <v>0</v>
      </c>
      <c r="G289" s="133">
        <f t="shared" si="4"/>
        <v>296551</v>
      </c>
    </row>
    <row r="290" spans="1:7" ht="15" customHeight="1">
      <c r="A290" s="135" t="s">
        <v>372</v>
      </c>
      <c r="B290" s="137">
        <v>4307</v>
      </c>
      <c r="C290" s="133" t="s">
        <v>379</v>
      </c>
      <c r="D290" s="138">
        <v>342110</v>
      </c>
      <c r="E290" s="133">
        <v>134049</v>
      </c>
      <c r="F290" s="138">
        <v>0</v>
      </c>
      <c r="G290" s="133">
        <f t="shared" si="4"/>
        <v>476159</v>
      </c>
    </row>
    <row r="291" spans="1:7" ht="15" customHeight="1">
      <c r="A291" s="135" t="s">
        <v>372</v>
      </c>
      <c r="B291" s="137">
        <v>4309</v>
      </c>
      <c r="C291" s="133" t="s">
        <v>379</v>
      </c>
      <c r="D291" s="138">
        <v>124991</v>
      </c>
      <c r="E291" s="133">
        <v>5798</v>
      </c>
      <c r="F291" s="138">
        <v>0</v>
      </c>
      <c r="G291" s="133">
        <f t="shared" si="4"/>
        <v>130789</v>
      </c>
    </row>
    <row r="292" spans="1:7" ht="28.5" customHeight="1">
      <c r="A292" s="135" t="s">
        <v>372</v>
      </c>
      <c r="B292" s="137">
        <v>4400</v>
      </c>
      <c r="C292" s="133" t="s">
        <v>380</v>
      </c>
      <c r="D292" s="138">
        <v>50172</v>
      </c>
      <c r="E292" s="133">
        <v>1800</v>
      </c>
      <c r="F292" s="138">
        <v>0</v>
      </c>
      <c r="G292" s="133">
        <f t="shared" si="4"/>
        <v>51972</v>
      </c>
    </row>
    <row r="293" spans="1:7" ht="15.75" customHeight="1">
      <c r="A293" s="135" t="s">
        <v>372</v>
      </c>
      <c r="B293" s="137">
        <v>6050</v>
      </c>
      <c r="C293" s="133" t="s">
        <v>385</v>
      </c>
      <c r="D293" s="138">
        <v>452844</v>
      </c>
      <c r="E293" s="133">
        <v>0</v>
      </c>
      <c r="F293" s="138">
        <v>337934</v>
      </c>
      <c r="G293" s="133">
        <f t="shared" si="4"/>
        <v>114910</v>
      </c>
    </row>
    <row r="294" spans="1:7" ht="15.75" customHeight="1">
      <c r="A294" s="135" t="s">
        <v>372</v>
      </c>
      <c r="B294" s="137">
        <v>6057</v>
      </c>
      <c r="C294" s="133" t="s">
        <v>385</v>
      </c>
      <c r="D294" s="138">
        <v>3782390</v>
      </c>
      <c r="E294" s="133">
        <v>1291363</v>
      </c>
      <c r="F294" s="138">
        <v>0</v>
      </c>
      <c r="G294" s="133">
        <f t="shared" si="4"/>
        <v>5073753</v>
      </c>
    </row>
    <row r="295" spans="1:7" ht="15.75" customHeight="1">
      <c r="A295" s="135" t="s">
        <v>372</v>
      </c>
      <c r="B295" s="137">
        <v>6059</v>
      </c>
      <c r="C295" s="133" t="s">
        <v>385</v>
      </c>
      <c r="D295" s="138">
        <v>1243543</v>
      </c>
      <c r="E295" s="133">
        <v>969666</v>
      </c>
      <c r="F295" s="138">
        <v>0</v>
      </c>
      <c r="G295" s="133">
        <f t="shared" si="4"/>
        <v>2213209</v>
      </c>
    </row>
    <row r="296" spans="1:7" ht="15.75" customHeight="1">
      <c r="A296" s="135" t="s">
        <v>372</v>
      </c>
      <c r="B296" s="137">
        <v>6067</v>
      </c>
      <c r="C296" s="133" t="s">
        <v>386</v>
      </c>
      <c r="D296" s="138">
        <v>31535</v>
      </c>
      <c r="E296" s="133">
        <v>357000</v>
      </c>
      <c r="F296" s="138">
        <v>0</v>
      </c>
      <c r="G296" s="133">
        <f t="shared" si="4"/>
        <v>388535</v>
      </c>
    </row>
    <row r="297" spans="1:7" ht="18.75" customHeight="1">
      <c r="A297" s="135" t="s">
        <v>372</v>
      </c>
      <c r="B297" s="137">
        <v>6069</v>
      </c>
      <c r="C297" s="133" t="s">
        <v>386</v>
      </c>
      <c r="D297" s="138">
        <v>5565</v>
      </c>
      <c r="E297" s="133">
        <v>63000</v>
      </c>
      <c r="F297" s="138">
        <v>0</v>
      </c>
      <c r="G297" s="133">
        <f t="shared" si="4"/>
        <v>68565</v>
      </c>
    </row>
    <row r="298" spans="1:7" s="145" customFormat="1" ht="15.75" customHeight="1">
      <c r="A298" s="146" t="s">
        <v>294</v>
      </c>
      <c r="B298" s="147" t="s">
        <v>372</v>
      </c>
      <c r="C298" s="148" t="s">
        <v>295</v>
      </c>
      <c r="D298" s="149">
        <v>7421000</v>
      </c>
      <c r="E298" s="148">
        <f>E299</f>
        <v>50000</v>
      </c>
      <c r="F298" s="148">
        <f>F299</f>
        <v>50000</v>
      </c>
      <c r="G298" s="148">
        <f t="shared" si="4"/>
        <v>7421000</v>
      </c>
    </row>
    <row r="299" spans="1:7" s="145" customFormat="1" ht="15.75" customHeight="1">
      <c r="A299" s="141">
        <v>92605</v>
      </c>
      <c r="B299" s="142" t="s">
        <v>372</v>
      </c>
      <c r="C299" s="143" t="s">
        <v>194</v>
      </c>
      <c r="D299" s="144">
        <v>7421000</v>
      </c>
      <c r="E299" s="143">
        <f>SUM(E300:E301)</f>
        <v>50000</v>
      </c>
      <c r="F299" s="143">
        <f>SUM(F300:F301)</f>
        <v>50000</v>
      </c>
      <c r="G299" s="143">
        <f t="shared" si="4"/>
        <v>7421000</v>
      </c>
    </row>
    <row r="300" spans="1:7" ht="43.5" customHeight="1">
      <c r="A300" s="135" t="s">
        <v>372</v>
      </c>
      <c r="B300" s="137">
        <v>6230</v>
      </c>
      <c r="C300" s="133" t="s">
        <v>407</v>
      </c>
      <c r="D300" s="138">
        <v>50000</v>
      </c>
      <c r="E300" s="133">
        <v>0</v>
      </c>
      <c r="F300" s="138">
        <v>50000</v>
      </c>
      <c r="G300" s="133">
        <f t="shared" si="4"/>
        <v>0</v>
      </c>
    </row>
    <row r="301" spans="1:7" ht="42" customHeight="1">
      <c r="A301" s="136" t="s">
        <v>372</v>
      </c>
      <c r="B301" s="139">
        <v>6300</v>
      </c>
      <c r="C301" s="134" t="s">
        <v>388</v>
      </c>
      <c r="D301" s="140">
        <v>1950000</v>
      </c>
      <c r="E301" s="134">
        <v>50000</v>
      </c>
      <c r="F301" s="140">
        <v>0</v>
      </c>
      <c r="G301" s="134">
        <f t="shared" si="4"/>
        <v>2000000</v>
      </c>
    </row>
  </sheetData>
  <sheetProtection password="C25B" sheet="1"/>
  <mergeCells count="5">
    <mergeCell ref="A5:G5"/>
    <mergeCell ref="B7:B8"/>
    <mergeCell ref="C7:C8"/>
    <mergeCell ref="E7:E8"/>
    <mergeCell ref="F7:F8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SheetLayoutView="100" zoomScalePageLayoutView="0" workbookViewId="0" topLeftCell="A26">
      <selection activeCell="A45" sqref="A45:C45"/>
    </sheetView>
  </sheetViews>
  <sheetFormatPr defaultColWidth="16.796875" defaultRowHeight="14.25"/>
  <cols>
    <col min="1" max="1" width="5.69921875" style="311" customWidth="1"/>
    <col min="2" max="2" width="5.8984375" style="311" customWidth="1"/>
    <col min="3" max="3" width="47.09765625" style="311" customWidth="1"/>
    <col min="4" max="4" width="15" style="413" customWidth="1"/>
    <col min="5" max="5" width="13.3984375" style="311" customWidth="1"/>
    <col min="6" max="6" width="16.8984375" style="311" customWidth="1"/>
    <col min="7" max="250" width="10.3984375" style="311" customWidth="1"/>
    <col min="251" max="251" width="5.69921875" style="311" customWidth="1"/>
    <col min="252" max="252" width="5.8984375" style="311" customWidth="1"/>
    <col min="253" max="253" width="34.09765625" style="311" customWidth="1"/>
    <col min="254" max="254" width="16.19921875" style="311" customWidth="1"/>
    <col min="255" max="16384" width="16.69921875" style="311" customWidth="1"/>
  </cols>
  <sheetData>
    <row r="1" spans="4:6" ht="15" customHeight="1">
      <c r="D1" s="312"/>
      <c r="E1" s="157" t="s">
        <v>507</v>
      </c>
      <c r="F1" s="312"/>
    </row>
    <row r="2" spans="4:6" ht="15" customHeight="1">
      <c r="D2" s="313"/>
      <c r="E2" s="157" t="s">
        <v>560</v>
      </c>
      <c r="F2" s="313"/>
    </row>
    <row r="3" spans="1:6" ht="15" customHeight="1">
      <c r="A3" s="314"/>
      <c r="B3" s="314"/>
      <c r="C3" s="314"/>
      <c r="D3" s="313"/>
      <c r="E3" s="159" t="s">
        <v>411</v>
      </c>
      <c r="F3" s="313"/>
    </row>
    <row r="4" spans="1:6" ht="15" customHeight="1">
      <c r="A4" s="314"/>
      <c r="B4" s="314"/>
      <c r="C4" s="314"/>
      <c r="D4" s="313"/>
      <c r="E4" s="315"/>
      <c r="F4" s="315"/>
    </row>
    <row r="5" spans="1:6" s="316" customFormat="1" ht="29.25" customHeight="1">
      <c r="A5" s="821" t="s">
        <v>508</v>
      </c>
      <c r="B5" s="821"/>
      <c r="C5" s="821"/>
      <c r="D5" s="821"/>
      <c r="E5" s="821"/>
      <c r="F5" s="821"/>
    </row>
    <row r="6" spans="1:4" s="316" customFormat="1" ht="7.5" customHeight="1">
      <c r="A6" s="822"/>
      <c r="B6" s="822"/>
      <c r="C6" s="822"/>
      <c r="D6" s="317"/>
    </row>
    <row r="7" spans="1:6" s="318" customFormat="1" ht="18.75" customHeight="1">
      <c r="A7" s="823" t="s">
        <v>509</v>
      </c>
      <c r="B7" s="823" t="s">
        <v>2</v>
      </c>
      <c r="C7" s="823" t="s">
        <v>510</v>
      </c>
      <c r="D7" s="823" t="s">
        <v>459</v>
      </c>
      <c r="E7" s="824" t="s">
        <v>511</v>
      </c>
      <c r="F7" s="825" t="s">
        <v>461</v>
      </c>
    </row>
    <row r="8" spans="1:6" s="319" customFormat="1" ht="19.5" customHeight="1">
      <c r="A8" s="823"/>
      <c r="B8" s="823"/>
      <c r="C8" s="823"/>
      <c r="D8" s="823"/>
      <c r="E8" s="824"/>
      <c r="F8" s="825"/>
    </row>
    <row r="9" spans="1:6" s="323" customFormat="1" ht="12.75">
      <c r="A9" s="320">
        <v>1</v>
      </c>
      <c r="B9" s="320">
        <v>2</v>
      </c>
      <c r="C9" s="320">
        <v>3</v>
      </c>
      <c r="D9" s="320">
        <v>4</v>
      </c>
      <c r="E9" s="321">
        <v>5</v>
      </c>
      <c r="F9" s="322">
        <v>6</v>
      </c>
    </row>
    <row r="10" spans="1:6" s="323" customFormat="1" ht="15" customHeight="1">
      <c r="A10" s="324"/>
      <c r="B10" s="324"/>
      <c r="C10" s="324"/>
      <c r="D10" s="324"/>
      <c r="E10" s="325"/>
      <c r="F10" s="326"/>
    </row>
    <row r="11" spans="1:6" s="331" customFormat="1" ht="21.75" customHeight="1">
      <c r="A11" s="327">
        <v>1</v>
      </c>
      <c r="B11" s="327"/>
      <c r="C11" s="328" t="s">
        <v>512</v>
      </c>
      <c r="D11" s="329">
        <f>D13+D12</f>
        <v>1128320209.0700002</v>
      </c>
      <c r="E11" s="329">
        <f>E13+E12</f>
        <v>-4755892</v>
      </c>
      <c r="F11" s="330">
        <f>F12+F13</f>
        <v>1123564317.0700002</v>
      </c>
    </row>
    <row r="12" spans="1:6" s="336" customFormat="1" ht="21.75" customHeight="1">
      <c r="A12" s="332" t="s">
        <v>513</v>
      </c>
      <c r="B12" s="332"/>
      <c r="C12" s="333" t="s">
        <v>514</v>
      </c>
      <c r="D12" s="334">
        <v>850741531.07</v>
      </c>
      <c r="E12" s="334">
        <v>-1622386</v>
      </c>
      <c r="F12" s="335">
        <f>D12+E12</f>
        <v>849119145.07</v>
      </c>
    </row>
    <row r="13" spans="1:6" s="336" customFormat="1" ht="21.75" customHeight="1">
      <c r="A13" s="332" t="s">
        <v>515</v>
      </c>
      <c r="B13" s="332"/>
      <c r="C13" s="333" t="s">
        <v>516</v>
      </c>
      <c r="D13" s="334">
        <v>277578678</v>
      </c>
      <c r="E13" s="334">
        <v>-3133506</v>
      </c>
      <c r="F13" s="335">
        <f>D13+E13</f>
        <v>274445172</v>
      </c>
    </row>
    <row r="14" spans="1:6" s="331" customFormat="1" ht="21.75" customHeight="1">
      <c r="A14" s="327">
        <v>2</v>
      </c>
      <c r="B14" s="327"/>
      <c r="C14" s="328" t="s">
        <v>517</v>
      </c>
      <c r="D14" s="329">
        <f>D15+D18</f>
        <v>57980952</v>
      </c>
      <c r="E14" s="329">
        <f>E15+E18</f>
        <v>77000000</v>
      </c>
      <c r="F14" s="330">
        <f>F15+F18</f>
        <v>134980952</v>
      </c>
    </row>
    <row r="15" spans="1:6" s="342" customFormat="1" ht="21.75" customHeight="1">
      <c r="A15" s="337" t="s">
        <v>518</v>
      </c>
      <c r="B15" s="337">
        <v>952</v>
      </c>
      <c r="C15" s="338" t="s">
        <v>519</v>
      </c>
      <c r="D15" s="339">
        <f>D16+D17</f>
        <v>57980952</v>
      </c>
      <c r="E15" s="340">
        <f>E16+E17</f>
        <v>77000000</v>
      </c>
      <c r="F15" s="341">
        <f>F16+F17</f>
        <v>134980952</v>
      </c>
    </row>
    <row r="16" spans="1:6" s="323" customFormat="1" ht="21.75" customHeight="1">
      <c r="A16" s="320" t="s">
        <v>520</v>
      </c>
      <c r="B16" s="320"/>
      <c r="C16" s="343" t="s">
        <v>521</v>
      </c>
      <c r="D16" s="344">
        <v>35480952</v>
      </c>
      <c r="E16" s="345">
        <v>0</v>
      </c>
      <c r="F16" s="346">
        <f>D16+E16</f>
        <v>35480952</v>
      </c>
    </row>
    <row r="17" spans="1:6" s="323" customFormat="1" ht="23.25" customHeight="1">
      <c r="A17" s="320" t="s">
        <v>522</v>
      </c>
      <c r="B17" s="320"/>
      <c r="C17" s="343" t="s">
        <v>523</v>
      </c>
      <c r="D17" s="344">
        <v>22500000</v>
      </c>
      <c r="E17" s="344">
        <v>77000000</v>
      </c>
      <c r="F17" s="347">
        <f>D17+E17</f>
        <v>99500000</v>
      </c>
    </row>
    <row r="18" spans="1:6" s="342" customFormat="1" ht="21.75" customHeight="1" hidden="1">
      <c r="A18" s="337" t="s">
        <v>524</v>
      </c>
      <c r="B18" s="337">
        <v>950</v>
      </c>
      <c r="C18" s="338" t="s">
        <v>525</v>
      </c>
      <c r="D18" s="339">
        <v>0</v>
      </c>
      <c r="E18" s="340">
        <v>0</v>
      </c>
      <c r="F18" s="341">
        <f>D18+E18</f>
        <v>0</v>
      </c>
    </row>
    <row r="19" spans="1:6" s="353" customFormat="1" ht="21.75" customHeight="1">
      <c r="A19" s="348">
        <v>3</v>
      </c>
      <c r="B19" s="348"/>
      <c r="C19" s="349" t="s">
        <v>526</v>
      </c>
      <c r="D19" s="350">
        <f>D11+D14</f>
        <v>1186301161.0700002</v>
      </c>
      <c r="E19" s="351">
        <f>E11+E14</f>
        <v>72244108</v>
      </c>
      <c r="F19" s="352">
        <f>F11+F14</f>
        <v>1258545269.0700002</v>
      </c>
    </row>
    <row r="20" spans="1:6" ht="15" customHeight="1">
      <c r="A20" s="354"/>
      <c r="B20" s="355"/>
      <c r="C20" s="356"/>
      <c r="D20" s="357"/>
      <c r="E20" s="358"/>
      <c r="F20" s="359"/>
    </row>
    <row r="21" spans="1:6" s="362" customFormat="1" ht="21.75" customHeight="1">
      <c r="A21" s="360">
        <v>4</v>
      </c>
      <c r="B21" s="360"/>
      <c r="C21" s="361" t="s">
        <v>527</v>
      </c>
      <c r="D21" s="329">
        <f>D22+D25</f>
        <v>1150820209.0700002</v>
      </c>
      <c r="E21" s="329">
        <f>E22+E25</f>
        <v>72244108</v>
      </c>
      <c r="F21" s="330">
        <f>F22+F25</f>
        <v>1223064317.0700002</v>
      </c>
    </row>
    <row r="22" spans="1:6" s="336" customFormat="1" ht="21.75" customHeight="1">
      <c r="A22" s="332" t="s">
        <v>528</v>
      </c>
      <c r="B22" s="332"/>
      <c r="C22" s="333" t="s">
        <v>529</v>
      </c>
      <c r="D22" s="334">
        <f>D23+D24</f>
        <v>703124721.07</v>
      </c>
      <c r="E22" s="334">
        <f>E23+E24</f>
        <v>62978449</v>
      </c>
      <c r="F22" s="335">
        <f>F23+F24</f>
        <v>766103170.07</v>
      </c>
    </row>
    <row r="23" spans="1:6" s="367" customFormat="1" ht="21.75" customHeight="1">
      <c r="A23" s="363" t="s">
        <v>530</v>
      </c>
      <c r="B23" s="363"/>
      <c r="C23" s="364" t="s">
        <v>531</v>
      </c>
      <c r="D23" s="365">
        <v>660932563.07</v>
      </c>
      <c r="E23" s="365">
        <v>62978449</v>
      </c>
      <c r="F23" s="366">
        <f>D23+E23</f>
        <v>723911012.07</v>
      </c>
    </row>
    <row r="24" spans="1:6" s="367" customFormat="1" ht="23.25" customHeight="1">
      <c r="A24" s="363" t="s">
        <v>532</v>
      </c>
      <c r="B24" s="363"/>
      <c r="C24" s="364" t="s">
        <v>533</v>
      </c>
      <c r="D24" s="365">
        <v>42192158</v>
      </c>
      <c r="E24" s="365">
        <v>0</v>
      </c>
      <c r="F24" s="366">
        <f>D24+E24</f>
        <v>42192158</v>
      </c>
    </row>
    <row r="25" spans="1:6" s="336" customFormat="1" ht="21.75" customHeight="1">
      <c r="A25" s="332" t="s">
        <v>534</v>
      </c>
      <c r="B25" s="332"/>
      <c r="C25" s="333" t="s">
        <v>535</v>
      </c>
      <c r="D25" s="334">
        <v>447695488</v>
      </c>
      <c r="E25" s="334">
        <v>9265659</v>
      </c>
      <c r="F25" s="335">
        <f>D25+E25</f>
        <v>456961147</v>
      </c>
    </row>
    <row r="26" spans="1:6" s="331" customFormat="1" ht="21.75" customHeight="1">
      <c r="A26" s="327">
        <v>5</v>
      </c>
      <c r="B26" s="327"/>
      <c r="C26" s="328" t="s">
        <v>536</v>
      </c>
      <c r="D26" s="329">
        <f>D27</f>
        <v>35480952</v>
      </c>
      <c r="E26" s="368">
        <f>E27</f>
        <v>0</v>
      </c>
      <c r="F26" s="369">
        <f>F27</f>
        <v>35480952</v>
      </c>
    </row>
    <row r="27" spans="1:6" ht="21.75" customHeight="1">
      <c r="A27" s="370" t="s">
        <v>537</v>
      </c>
      <c r="B27" s="370">
        <v>992</v>
      </c>
      <c r="C27" s="371" t="s">
        <v>538</v>
      </c>
      <c r="D27" s="339">
        <v>35480952</v>
      </c>
      <c r="E27" s="340">
        <v>0</v>
      </c>
      <c r="F27" s="341">
        <f>D27+E27</f>
        <v>35480952</v>
      </c>
    </row>
    <row r="28" spans="1:6" s="353" customFormat="1" ht="21.75" customHeight="1">
      <c r="A28" s="348">
        <v>6</v>
      </c>
      <c r="B28" s="348"/>
      <c r="C28" s="349" t="s">
        <v>539</v>
      </c>
      <c r="D28" s="350">
        <f>D21+D26</f>
        <v>1186301161.0700002</v>
      </c>
      <c r="E28" s="351">
        <f>E21+E26</f>
        <v>72244108</v>
      </c>
      <c r="F28" s="352">
        <f>F21+F26</f>
        <v>1258545269.0700002</v>
      </c>
    </row>
    <row r="29" spans="1:6" s="353" customFormat="1" ht="15" customHeight="1">
      <c r="A29" s="372"/>
      <c r="B29" s="373"/>
      <c r="C29" s="374"/>
      <c r="D29" s="375"/>
      <c r="E29" s="351"/>
      <c r="F29" s="352"/>
    </row>
    <row r="30" spans="1:6" s="331" customFormat="1" ht="21.75" customHeight="1">
      <c r="A30" s="327">
        <v>7</v>
      </c>
      <c r="B30" s="327"/>
      <c r="C30" s="328" t="s">
        <v>540</v>
      </c>
      <c r="D30" s="350">
        <f>D19-D28</f>
        <v>0</v>
      </c>
      <c r="E30" s="351">
        <f>E19-E28</f>
        <v>0</v>
      </c>
      <c r="F30" s="352">
        <f>F19-F28</f>
        <v>0</v>
      </c>
    </row>
    <row r="31" spans="1:6" s="331" customFormat="1" ht="15" customHeight="1">
      <c r="A31" s="327"/>
      <c r="B31" s="327"/>
      <c r="C31" s="328"/>
      <c r="D31" s="376"/>
      <c r="E31" s="358"/>
      <c r="F31" s="359"/>
    </row>
    <row r="32" spans="1:6" s="331" customFormat="1" ht="21.75" customHeight="1">
      <c r="A32" s="327">
        <v>8</v>
      </c>
      <c r="B32" s="327"/>
      <c r="C32" s="328" t="s">
        <v>541</v>
      </c>
      <c r="D32" s="329">
        <f>D11-D21</f>
        <v>-22500000</v>
      </c>
      <c r="E32" s="368">
        <f>E11-E21</f>
        <v>-77000000</v>
      </c>
      <c r="F32" s="369">
        <f>F11-F21</f>
        <v>-99500000</v>
      </c>
    </row>
    <row r="33" spans="1:6" s="331" customFormat="1" ht="15" customHeight="1">
      <c r="A33" s="377"/>
      <c r="B33" s="377"/>
      <c r="C33" s="378"/>
      <c r="D33" s="379"/>
      <c r="E33" s="358"/>
      <c r="F33" s="359"/>
    </row>
    <row r="34" spans="1:6" s="331" customFormat="1" ht="21.75" customHeight="1">
      <c r="A34" s="327">
        <v>9</v>
      </c>
      <c r="B34" s="327"/>
      <c r="C34" s="328" t="s">
        <v>542</v>
      </c>
      <c r="D34" s="350">
        <f>D35+D36</f>
        <v>22500000</v>
      </c>
      <c r="E34" s="351">
        <f>E35+E36</f>
        <v>77000000</v>
      </c>
      <c r="F34" s="352">
        <f>F35+F36</f>
        <v>99500000</v>
      </c>
    </row>
    <row r="35" spans="1:6" ht="21.75" customHeight="1">
      <c r="A35" s="370" t="s">
        <v>543</v>
      </c>
      <c r="B35" s="370"/>
      <c r="C35" s="371" t="s">
        <v>544</v>
      </c>
      <c r="D35" s="344">
        <f>D17</f>
        <v>22500000</v>
      </c>
      <c r="E35" s="345">
        <f>E17</f>
        <v>77000000</v>
      </c>
      <c r="F35" s="346">
        <f>D35+E35</f>
        <v>99500000</v>
      </c>
    </row>
    <row r="36" spans="1:6" ht="21.75" customHeight="1" hidden="1">
      <c r="A36" s="380" t="s">
        <v>545</v>
      </c>
      <c r="B36" s="380"/>
      <c r="C36" s="381" t="s">
        <v>525</v>
      </c>
      <c r="D36" s="382">
        <v>0</v>
      </c>
      <c r="E36" s="383"/>
      <c r="F36" s="383"/>
    </row>
    <row r="37" spans="1:6" ht="5.25" customHeight="1">
      <c r="A37" s="384"/>
      <c r="B37" s="385"/>
      <c r="C37" s="386"/>
      <c r="D37" s="387"/>
      <c r="E37" s="383"/>
      <c r="F37" s="388"/>
    </row>
    <row r="38" spans="1:6" s="353" customFormat="1" ht="14.25" customHeight="1">
      <c r="A38" s="815" t="s">
        <v>546</v>
      </c>
      <c r="B38" s="816"/>
      <c r="C38" s="817"/>
      <c r="D38" s="389"/>
      <c r="E38" s="390"/>
      <c r="F38" s="391"/>
    </row>
    <row r="39" spans="1:6" ht="15" customHeight="1">
      <c r="A39" s="806" t="s">
        <v>547</v>
      </c>
      <c r="B39" s="807"/>
      <c r="C39" s="808"/>
      <c r="D39" s="392">
        <f>D12</f>
        <v>850741531.07</v>
      </c>
      <c r="E39" s="388">
        <f>E12</f>
        <v>-1622386</v>
      </c>
      <c r="F39" s="388">
        <f>F12</f>
        <v>849119145.07</v>
      </c>
    </row>
    <row r="40" spans="1:6" ht="15" customHeight="1">
      <c r="A40" s="806" t="s">
        <v>548</v>
      </c>
      <c r="B40" s="807"/>
      <c r="C40" s="808"/>
      <c r="D40" s="392">
        <f>D22</f>
        <v>703124721.07</v>
      </c>
      <c r="E40" s="388">
        <f>E22</f>
        <v>62978449</v>
      </c>
      <c r="F40" s="388">
        <f>F22</f>
        <v>766103170.07</v>
      </c>
    </row>
    <row r="41" spans="1:6" s="353" customFormat="1" ht="16.5" customHeight="1">
      <c r="A41" s="818" t="s">
        <v>549</v>
      </c>
      <c r="B41" s="819"/>
      <c r="C41" s="820"/>
      <c r="D41" s="389">
        <f>D39-D40</f>
        <v>147616810</v>
      </c>
      <c r="E41" s="390">
        <f>E39-E40</f>
        <v>-64600835</v>
      </c>
      <c r="F41" s="391">
        <f>F39-F40</f>
        <v>83015975</v>
      </c>
    </row>
    <row r="42" spans="1:6" s="353" customFormat="1" ht="9.75" customHeight="1">
      <c r="A42" s="393"/>
      <c r="B42" s="394"/>
      <c r="C42" s="394"/>
      <c r="D42" s="395"/>
      <c r="E42" s="396"/>
      <c r="F42" s="397"/>
    </row>
    <row r="43" spans="1:6" s="318" customFormat="1" ht="6" customHeight="1">
      <c r="A43" s="398"/>
      <c r="B43" s="399"/>
      <c r="C43" s="399"/>
      <c r="D43" s="400"/>
      <c r="E43" s="401"/>
      <c r="F43" s="402"/>
    </row>
    <row r="44" spans="1:6" s="318" customFormat="1" ht="15" customHeight="1">
      <c r="A44" s="812" t="s">
        <v>550</v>
      </c>
      <c r="B44" s="813"/>
      <c r="C44" s="814"/>
      <c r="D44" s="403">
        <f>D11</f>
        <v>1128320209.0700002</v>
      </c>
      <c r="E44" s="404">
        <f>E11</f>
        <v>-4755892</v>
      </c>
      <c r="F44" s="404">
        <f>F11</f>
        <v>1123564317.0700002</v>
      </c>
    </row>
    <row r="45" spans="1:6" ht="15" customHeight="1">
      <c r="A45" s="806" t="s">
        <v>551</v>
      </c>
      <c r="B45" s="807"/>
      <c r="C45" s="808"/>
      <c r="D45" s="392">
        <f>D23</f>
        <v>660932563.07</v>
      </c>
      <c r="E45" s="388">
        <f>E23</f>
        <v>62978449</v>
      </c>
      <c r="F45" s="388">
        <f>F23</f>
        <v>723911012.07</v>
      </c>
    </row>
    <row r="46" spans="1:6" ht="15" customHeight="1">
      <c r="A46" s="806" t="s">
        <v>552</v>
      </c>
      <c r="B46" s="807"/>
      <c r="C46" s="808"/>
      <c r="D46" s="392">
        <f>D18</f>
        <v>0</v>
      </c>
      <c r="E46" s="392">
        <f>E18</f>
        <v>0</v>
      </c>
      <c r="F46" s="392">
        <f>F18</f>
        <v>0</v>
      </c>
    </row>
    <row r="47" spans="1:6" ht="25.5" customHeight="1">
      <c r="A47" s="812" t="s">
        <v>553</v>
      </c>
      <c r="B47" s="813"/>
      <c r="C47" s="814"/>
      <c r="D47" s="392">
        <f>D44-D45+D46</f>
        <v>467387646.0000001</v>
      </c>
      <c r="E47" s="388">
        <f>E44-E45+E46</f>
        <v>-67734341</v>
      </c>
      <c r="F47" s="405">
        <f>F44-F45+F46</f>
        <v>399653305.0000001</v>
      </c>
    </row>
    <row r="48" spans="1:6" ht="25.5" customHeight="1">
      <c r="A48" s="806" t="s">
        <v>554</v>
      </c>
      <c r="B48" s="807"/>
      <c r="C48" s="808"/>
      <c r="D48" s="392">
        <f>D24+D27</f>
        <v>77673110</v>
      </c>
      <c r="E48" s="392">
        <f>E24+E27</f>
        <v>0</v>
      </c>
      <c r="F48" s="392">
        <f>F24+F27</f>
        <v>77673110</v>
      </c>
    </row>
    <row r="49" spans="1:6" ht="15" customHeight="1">
      <c r="A49" s="812" t="s">
        <v>555</v>
      </c>
      <c r="B49" s="813"/>
      <c r="C49" s="814"/>
      <c r="D49" s="392">
        <f>D47-D48</f>
        <v>389714536.0000001</v>
      </c>
      <c r="E49" s="388">
        <f>E47-E48</f>
        <v>-67734341</v>
      </c>
      <c r="F49" s="405">
        <f>F47-F48</f>
        <v>321980195.0000001</v>
      </c>
    </row>
    <row r="50" spans="1:6" ht="15" customHeight="1">
      <c r="A50" s="806" t="s">
        <v>556</v>
      </c>
      <c r="B50" s="807"/>
      <c r="C50" s="808"/>
      <c r="D50" s="392">
        <f>D25</f>
        <v>447695488</v>
      </c>
      <c r="E50" s="392">
        <f>E25</f>
        <v>9265659</v>
      </c>
      <c r="F50" s="392">
        <f>F25</f>
        <v>456961147</v>
      </c>
    </row>
    <row r="51" spans="1:6" ht="15" customHeight="1">
      <c r="A51" s="812" t="s">
        <v>557</v>
      </c>
      <c r="B51" s="813"/>
      <c r="C51" s="814"/>
      <c r="D51" s="392">
        <f>D49-D50</f>
        <v>-57980951.99999988</v>
      </c>
      <c r="E51" s="388">
        <f>E49-E50</f>
        <v>-77000000</v>
      </c>
      <c r="F51" s="405">
        <f>F49-F50</f>
        <v>-134980951.99999988</v>
      </c>
    </row>
    <row r="52" spans="1:6" ht="15" customHeight="1">
      <c r="A52" s="806" t="s">
        <v>558</v>
      </c>
      <c r="B52" s="807"/>
      <c r="C52" s="808"/>
      <c r="D52" s="392">
        <f>D15</f>
        <v>57980952</v>
      </c>
      <c r="E52" s="392">
        <f>E15</f>
        <v>77000000</v>
      </c>
      <c r="F52" s="392">
        <f>F15</f>
        <v>134980952</v>
      </c>
    </row>
    <row r="53" spans="1:6" ht="14.25" customHeight="1">
      <c r="A53" s="809" t="s">
        <v>559</v>
      </c>
      <c r="B53" s="810"/>
      <c r="C53" s="811"/>
      <c r="D53" s="406">
        <f>D51+D52</f>
        <v>1.1920928955078125E-07</v>
      </c>
      <c r="E53" s="407">
        <f>E51+E52</f>
        <v>0</v>
      </c>
      <c r="F53" s="408">
        <f>F51+F52</f>
        <v>0</v>
      </c>
    </row>
    <row r="54" spans="1:4" ht="6.75" customHeight="1" hidden="1" thickBot="1">
      <c r="A54" s="409"/>
      <c r="B54" s="410"/>
      <c r="C54" s="411"/>
      <c r="D54" s="412"/>
    </row>
  </sheetData>
  <sheetProtection password="C25B" sheet="1"/>
  <mergeCells count="22">
    <mergeCell ref="A5:F5"/>
    <mergeCell ref="A6:C6"/>
    <mergeCell ref="A7:A8"/>
    <mergeCell ref="B7:B8"/>
    <mergeCell ref="C7:C8"/>
    <mergeCell ref="D7:D8"/>
    <mergeCell ref="E7:E8"/>
    <mergeCell ref="F7:F8"/>
    <mergeCell ref="A38:C38"/>
    <mergeCell ref="A39:C39"/>
    <mergeCell ref="A40:C40"/>
    <mergeCell ref="A41:C41"/>
    <mergeCell ref="A44:C44"/>
    <mergeCell ref="A45:C45"/>
    <mergeCell ref="A52:C52"/>
    <mergeCell ref="A53:C53"/>
    <mergeCell ref="A46:C46"/>
    <mergeCell ref="A47:C47"/>
    <mergeCell ref="A48:C48"/>
    <mergeCell ref="A49:C49"/>
    <mergeCell ref="A50:C50"/>
    <mergeCell ref="A51:C51"/>
  </mergeCells>
  <printOptions horizontalCentered="1"/>
  <pageMargins left="0.5118110236220472" right="0.5118110236220472" top="0.984251968503937" bottom="0.7480314960629921" header="0.31496062992125984" footer="0.31496062992125984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82"/>
  <sheetViews>
    <sheetView view="pageBreakPreview" zoomScaleSheetLayoutView="100" zoomScalePageLayoutView="0" workbookViewId="0" topLeftCell="F414">
      <selection activeCell="I475" sqref="I475"/>
    </sheetView>
  </sheetViews>
  <sheetFormatPr defaultColWidth="8.796875" defaultRowHeight="14.25"/>
  <cols>
    <col min="1" max="1" width="5.3984375" style="436" customWidth="1"/>
    <col min="2" max="2" width="8.09765625" style="436" customWidth="1"/>
    <col min="3" max="3" width="9.3984375" style="436" customWidth="1"/>
    <col min="4" max="4" width="44.09765625" style="436" customWidth="1"/>
    <col min="5" max="5" width="11.19921875" style="436" customWidth="1"/>
    <col min="6" max="6" width="9.69921875" style="436" customWidth="1"/>
    <col min="7" max="7" width="11" style="436" customWidth="1"/>
    <col min="8" max="9" width="14.19921875" style="436" customWidth="1"/>
    <col min="10" max="10" width="11.3984375" style="436" customWidth="1"/>
    <col min="11" max="11" width="11.19921875" style="436" customWidth="1"/>
    <col min="12" max="12" width="10.69921875" style="436" customWidth="1"/>
    <col min="13" max="13" width="10.8984375" style="436" customWidth="1"/>
    <col min="14" max="14" width="11.19921875" style="436" customWidth="1"/>
    <col min="15" max="15" width="11.3984375" style="436" customWidth="1"/>
    <col min="16" max="20" width="11.09765625" style="436" customWidth="1"/>
    <col min="21" max="21" width="11.3984375" style="436" customWidth="1"/>
    <col min="22" max="22" width="11.19921875" style="436" customWidth="1"/>
    <col min="23" max="23" width="11.09765625" style="436" customWidth="1"/>
    <col min="24" max="16384" width="9" style="436" customWidth="1"/>
  </cols>
  <sheetData>
    <row r="1" spans="1:22" s="415" customFormat="1" ht="15.75">
      <c r="A1" s="414" t="s">
        <v>372</v>
      </c>
      <c r="U1" s="416" t="s">
        <v>561</v>
      </c>
      <c r="V1" s="416"/>
    </row>
    <row r="2" spans="1:22" s="415" customFormat="1" ht="15.75">
      <c r="A2" s="414"/>
      <c r="U2" s="416" t="s">
        <v>562</v>
      </c>
      <c r="V2" s="416"/>
    </row>
    <row r="3" spans="1:22" s="415" customFormat="1" ht="15.75">
      <c r="A3" s="414"/>
      <c r="U3" s="416" t="s">
        <v>811</v>
      </c>
      <c r="V3" s="416"/>
    </row>
    <row r="4" s="415" customFormat="1" ht="8.25" customHeight="1">
      <c r="A4" s="414"/>
    </row>
    <row r="5" spans="1:23" s="415" customFormat="1" ht="42.75" customHeight="1">
      <c r="A5" s="873" t="s">
        <v>563</v>
      </c>
      <c r="B5" s="873"/>
      <c r="C5" s="873"/>
      <c r="D5" s="873"/>
      <c r="E5" s="873"/>
      <c r="F5" s="873"/>
      <c r="G5" s="873"/>
      <c r="H5" s="873"/>
      <c r="I5" s="873"/>
      <c r="J5" s="873"/>
      <c r="K5" s="873"/>
      <c r="L5" s="873"/>
      <c r="M5" s="873"/>
      <c r="N5" s="873"/>
      <c r="O5" s="873"/>
      <c r="P5" s="873"/>
      <c r="Q5" s="873"/>
      <c r="R5" s="873"/>
      <c r="S5" s="873"/>
      <c r="T5" s="873"/>
      <c r="U5" s="873"/>
      <c r="V5" s="873"/>
      <c r="W5" s="873"/>
    </row>
    <row r="6" spans="1:22" s="415" customFormat="1" ht="14.25" customHeight="1">
      <c r="A6" s="417"/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8" t="s">
        <v>0</v>
      </c>
    </row>
    <row r="7" spans="1:23" s="415" customFormat="1" ht="19.5" customHeight="1">
      <c r="A7" s="874" t="s">
        <v>564</v>
      </c>
      <c r="B7" s="877" t="s">
        <v>565</v>
      </c>
      <c r="C7" s="877" t="s">
        <v>566</v>
      </c>
      <c r="D7" s="880" t="s">
        <v>567</v>
      </c>
      <c r="E7" s="880" t="s">
        <v>568</v>
      </c>
      <c r="F7" s="877" t="s">
        <v>569</v>
      </c>
      <c r="G7" s="880" t="s">
        <v>227</v>
      </c>
      <c r="H7" s="883" t="s">
        <v>570</v>
      </c>
      <c r="I7" s="884" t="s">
        <v>571</v>
      </c>
      <c r="J7" s="829" t="s">
        <v>572</v>
      </c>
      <c r="K7" s="829"/>
      <c r="L7" s="829"/>
      <c r="M7" s="829"/>
      <c r="N7" s="829"/>
      <c r="O7" s="829"/>
      <c r="P7" s="829"/>
      <c r="Q7" s="829"/>
      <c r="R7" s="829"/>
      <c r="S7" s="829"/>
      <c r="T7" s="829"/>
      <c r="U7" s="829"/>
      <c r="V7" s="829"/>
      <c r="W7" s="829"/>
    </row>
    <row r="8" spans="1:23" s="419" customFormat="1" ht="18.75" customHeight="1">
      <c r="A8" s="875"/>
      <c r="B8" s="878"/>
      <c r="C8" s="878"/>
      <c r="D8" s="881"/>
      <c r="E8" s="881"/>
      <c r="F8" s="878"/>
      <c r="G8" s="881"/>
      <c r="H8" s="883"/>
      <c r="I8" s="884"/>
      <c r="J8" s="829"/>
      <c r="K8" s="829"/>
      <c r="L8" s="829"/>
      <c r="M8" s="829"/>
      <c r="N8" s="829"/>
      <c r="O8" s="829"/>
      <c r="P8" s="829"/>
      <c r="Q8" s="829"/>
      <c r="R8" s="829"/>
      <c r="S8" s="829"/>
      <c r="T8" s="829"/>
      <c r="U8" s="829"/>
      <c r="V8" s="829"/>
      <c r="W8" s="829"/>
    </row>
    <row r="9" spans="1:23" s="419" customFormat="1" ht="15.75" customHeight="1">
      <c r="A9" s="875"/>
      <c r="B9" s="878"/>
      <c r="C9" s="878"/>
      <c r="D9" s="881"/>
      <c r="E9" s="881"/>
      <c r="F9" s="878"/>
      <c r="G9" s="881"/>
      <c r="H9" s="420" t="s">
        <v>573</v>
      </c>
      <c r="I9" s="420" t="s">
        <v>573</v>
      </c>
      <c r="J9" s="829" t="s">
        <v>574</v>
      </c>
      <c r="K9" s="872" t="s">
        <v>575</v>
      </c>
      <c r="L9" s="872"/>
      <c r="M9" s="872"/>
      <c r="N9" s="867" t="s">
        <v>576</v>
      </c>
      <c r="O9" s="872" t="s">
        <v>577</v>
      </c>
      <c r="P9" s="872"/>
      <c r="Q9" s="872"/>
      <c r="R9" s="872"/>
      <c r="S9" s="872"/>
      <c r="T9" s="872"/>
      <c r="U9" s="872"/>
      <c r="V9" s="872"/>
      <c r="W9" s="872"/>
    </row>
    <row r="10" spans="1:23" s="419" customFormat="1" ht="12.75" customHeight="1">
      <c r="A10" s="875"/>
      <c r="B10" s="878"/>
      <c r="C10" s="878"/>
      <c r="D10" s="881"/>
      <c r="E10" s="881"/>
      <c r="F10" s="878"/>
      <c r="G10" s="881"/>
      <c r="H10" s="420" t="s">
        <v>578</v>
      </c>
      <c r="I10" s="420" t="s">
        <v>578</v>
      </c>
      <c r="J10" s="829"/>
      <c r="K10" s="872"/>
      <c r="L10" s="872"/>
      <c r="M10" s="872"/>
      <c r="N10" s="867"/>
      <c r="O10" s="868" t="s">
        <v>579</v>
      </c>
      <c r="P10" s="868"/>
      <c r="Q10" s="868"/>
      <c r="R10" s="868" t="s">
        <v>580</v>
      </c>
      <c r="S10" s="868"/>
      <c r="T10" s="868"/>
      <c r="U10" s="867" t="s">
        <v>581</v>
      </c>
      <c r="V10" s="867"/>
      <c r="W10" s="867"/>
    </row>
    <row r="11" spans="1:23" s="419" customFormat="1" ht="12.75">
      <c r="A11" s="875"/>
      <c r="B11" s="878"/>
      <c r="C11" s="878"/>
      <c r="D11" s="881"/>
      <c r="E11" s="881"/>
      <c r="F11" s="878"/>
      <c r="G11" s="881"/>
      <c r="H11" s="420" t="s">
        <v>582</v>
      </c>
      <c r="I11" s="420" t="s">
        <v>582</v>
      </c>
      <c r="J11" s="829"/>
      <c r="K11" s="868" t="s">
        <v>84</v>
      </c>
      <c r="L11" s="868" t="s">
        <v>583</v>
      </c>
      <c r="M11" s="868" t="s">
        <v>584</v>
      </c>
      <c r="N11" s="867"/>
      <c r="O11" s="868" t="s">
        <v>84</v>
      </c>
      <c r="P11" s="868" t="s">
        <v>585</v>
      </c>
      <c r="Q11" s="871" t="s">
        <v>584</v>
      </c>
      <c r="R11" s="868" t="s">
        <v>84</v>
      </c>
      <c r="S11" s="868" t="s">
        <v>585</v>
      </c>
      <c r="T11" s="866" t="s">
        <v>584</v>
      </c>
      <c r="U11" s="867" t="s">
        <v>586</v>
      </c>
      <c r="V11" s="868" t="s">
        <v>585</v>
      </c>
      <c r="W11" s="866" t="s">
        <v>584</v>
      </c>
    </row>
    <row r="12" spans="1:23" s="419" customFormat="1" ht="12.75">
      <c r="A12" s="876"/>
      <c r="B12" s="879"/>
      <c r="C12" s="879"/>
      <c r="D12" s="882"/>
      <c r="E12" s="882"/>
      <c r="F12" s="879"/>
      <c r="G12" s="882"/>
      <c r="H12" s="420" t="s">
        <v>581</v>
      </c>
      <c r="I12" s="420" t="s">
        <v>581</v>
      </c>
      <c r="J12" s="829"/>
      <c r="K12" s="868"/>
      <c r="L12" s="868"/>
      <c r="M12" s="868"/>
      <c r="N12" s="867"/>
      <c r="O12" s="868"/>
      <c r="P12" s="868"/>
      <c r="Q12" s="871"/>
      <c r="R12" s="868"/>
      <c r="S12" s="868"/>
      <c r="T12" s="866"/>
      <c r="U12" s="867"/>
      <c r="V12" s="868"/>
      <c r="W12" s="866"/>
    </row>
    <row r="13" spans="1:23" s="422" customFormat="1" ht="11.25">
      <c r="A13" s="421">
        <v>1</v>
      </c>
      <c r="B13" s="421">
        <v>2</v>
      </c>
      <c r="C13" s="421">
        <v>3</v>
      </c>
      <c r="D13" s="421">
        <v>4</v>
      </c>
      <c r="E13" s="421">
        <v>5</v>
      </c>
      <c r="F13" s="421">
        <v>6</v>
      </c>
      <c r="G13" s="421">
        <v>7</v>
      </c>
      <c r="H13" s="421">
        <v>8</v>
      </c>
      <c r="I13" s="421" t="s">
        <v>587</v>
      </c>
      <c r="J13" s="421" t="s">
        <v>588</v>
      </c>
      <c r="K13" s="421" t="s">
        <v>589</v>
      </c>
      <c r="L13" s="421">
        <v>11</v>
      </c>
      <c r="M13" s="421">
        <v>12</v>
      </c>
      <c r="N13" s="421" t="s">
        <v>590</v>
      </c>
      <c r="O13" s="421" t="s">
        <v>591</v>
      </c>
      <c r="P13" s="421">
        <v>15</v>
      </c>
      <c r="Q13" s="421">
        <v>16</v>
      </c>
      <c r="R13" s="421" t="s">
        <v>592</v>
      </c>
      <c r="S13" s="421">
        <v>18</v>
      </c>
      <c r="T13" s="421">
        <v>19</v>
      </c>
      <c r="U13" s="421" t="s">
        <v>593</v>
      </c>
      <c r="V13" s="421">
        <v>21</v>
      </c>
      <c r="W13" s="421">
        <v>22</v>
      </c>
    </row>
    <row r="14" spans="1:23" s="422" customFormat="1" ht="5.25" customHeight="1">
      <c r="A14" s="869"/>
      <c r="B14" s="869"/>
      <c r="C14" s="869"/>
      <c r="D14" s="869"/>
      <c r="E14" s="869"/>
      <c r="F14" s="869"/>
      <c r="G14" s="869"/>
      <c r="H14" s="869"/>
      <c r="I14" s="869"/>
      <c r="J14" s="869"/>
      <c r="K14" s="869"/>
      <c r="L14" s="869"/>
      <c r="M14" s="869"/>
      <c r="N14" s="869"/>
      <c r="O14" s="869"/>
      <c r="P14" s="869"/>
      <c r="Q14" s="869"/>
      <c r="R14" s="869"/>
      <c r="S14" s="869"/>
      <c r="T14" s="869"/>
      <c r="U14" s="869"/>
      <c r="V14" s="869"/>
      <c r="W14" s="869"/>
    </row>
    <row r="15" spans="1:24" s="422" customFormat="1" ht="21.75" customHeight="1">
      <c r="A15" s="870" t="s">
        <v>594</v>
      </c>
      <c r="B15" s="870"/>
      <c r="C15" s="870"/>
      <c r="D15" s="870"/>
      <c r="E15" s="870"/>
      <c r="F15" s="870"/>
      <c r="G15" s="870"/>
      <c r="H15" s="870"/>
      <c r="I15" s="870"/>
      <c r="J15" s="870"/>
      <c r="K15" s="870"/>
      <c r="L15" s="870"/>
      <c r="M15" s="870"/>
      <c r="N15" s="870"/>
      <c r="O15" s="870"/>
      <c r="P15" s="870"/>
      <c r="Q15" s="870"/>
      <c r="R15" s="870"/>
      <c r="S15" s="870"/>
      <c r="T15" s="870"/>
      <c r="U15" s="870"/>
      <c r="V15" s="870"/>
      <c r="W15" s="870"/>
      <c r="X15" s="423"/>
    </row>
    <row r="16" spans="1:24" s="422" customFormat="1" ht="3.75" customHeight="1">
      <c r="A16" s="865"/>
      <c r="B16" s="865"/>
      <c r="C16" s="865"/>
      <c r="D16" s="865"/>
      <c r="E16" s="865"/>
      <c r="F16" s="865"/>
      <c r="G16" s="865"/>
      <c r="H16" s="865"/>
      <c r="I16" s="865"/>
      <c r="J16" s="865"/>
      <c r="K16" s="865"/>
      <c r="L16" s="865"/>
      <c r="M16" s="865"/>
      <c r="N16" s="865"/>
      <c r="O16" s="865"/>
      <c r="P16" s="865"/>
      <c r="Q16" s="865"/>
      <c r="R16" s="865"/>
      <c r="S16" s="865"/>
      <c r="T16" s="865"/>
      <c r="U16" s="865"/>
      <c r="V16" s="865"/>
      <c r="W16" s="865"/>
      <c r="X16" s="424"/>
    </row>
    <row r="17" spans="1:23" s="426" customFormat="1" ht="16.5" customHeight="1" hidden="1">
      <c r="A17" s="831">
        <v>1</v>
      </c>
      <c r="B17" s="832" t="s">
        <v>595</v>
      </c>
      <c r="C17" s="834" t="s">
        <v>596</v>
      </c>
      <c r="D17" s="862" t="s">
        <v>597</v>
      </c>
      <c r="E17" s="831" t="s">
        <v>598</v>
      </c>
      <c r="F17" s="831" t="s">
        <v>599</v>
      </c>
      <c r="G17" s="832" t="s">
        <v>600</v>
      </c>
      <c r="H17" s="425">
        <f>H18+H19+H20+H21</f>
        <v>23433538</v>
      </c>
      <c r="I17" s="425">
        <f>I18+I19+I20+I21</f>
        <v>12650559</v>
      </c>
      <c r="J17" s="830">
        <f>K17+N17</f>
        <v>4120160</v>
      </c>
      <c r="K17" s="830">
        <f>L17+M17</f>
        <v>3582405</v>
      </c>
      <c r="L17" s="828">
        <v>3582405</v>
      </c>
      <c r="M17" s="828">
        <v>0</v>
      </c>
      <c r="N17" s="830">
        <f>O17+R17+U17</f>
        <v>537755</v>
      </c>
      <c r="O17" s="830">
        <f>P17+Q17</f>
        <v>0</v>
      </c>
      <c r="P17" s="828">
        <v>0</v>
      </c>
      <c r="Q17" s="828">
        <v>0</v>
      </c>
      <c r="R17" s="830">
        <f>S17+T17</f>
        <v>275404</v>
      </c>
      <c r="S17" s="828">
        <v>275404</v>
      </c>
      <c r="T17" s="828">
        <v>0</v>
      </c>
      <c r="U17" s="830">
        <f>V17+W17</f>
        <v>262351</v>
      </c>
      <c r="V17" s="828">
        <v>262351</v>
      </c>
      <c r="W17" s="828">
        <v>0</v>
      </c>
    </row>
    <row r="18" spans="1:23" s="426" customFormat="1" ht="16.5" customHeight="1" hidden="1">
      <c r="A18" s="831"/>
      <c r="B18" s="832"/>
      <c r="C18" s="834"/>
      <c r="D18" s="862"/>
      <c r="E18" s="831"/>
      <c r="F18" s="831"/>
      <c r="G18" s="832"/>
      <c r="H18" s="425">
        <v>19913614</v>
      </c>
      <c r="I18" s="425">
        <v>10750313</v>
      </c>
      <c r="J18" s="830"/>
      <c r="K18" s="830"/>
      <c r="L18" s="828"/>
      <c r="M18" s="828"/>
      <c r="N18" s="830"/>
      <c r="O18" s="830"/>
      <c r="P18" s="828"/>
      <c r="Q18" s="828"/>
      <c r="R18" s="830"/>
      <c r="S18" s="828"/>
      <c r="T18" s="828"/>
      <c r="U18" s="830"/>
      <c r="V18" s="828"/>
      <c r="W18" s="828"/>
    </row>
    <row r="19" spans="1:23" s="426" customFormat="1" ht="16.5" customHeight="1" hidden="1">
      <c r="A19" s="831"/>
      <c r="B19" s="832"/>
      <c r="C19" s="834"/>
      <c r="D19" s="862"/>
      <c r="E19" s="831"/>
      <c r="F19" s="831"/>
      <c r="G19" s="832"/>
      <c r="H19" s="425">
        <v>0</v>
      </c>
      <c r="I19" s="425">
        <v>0</v>
      </c>
      <c r="J19" s="427">
        <f>K19+N19</f>
        <v>0</v>
      </c>
      <c r="K19" s="427">
        <f>L19+M19</f>
        <v>0</v>
      </c>
      <c r="L19" s="428">
        <v>0</v>
      </c>
      <c r="M19" s="428">
        <v>0</v>
      </c>
      <c r="N19" s="427">
        <f>O19+R19+U19</f>
        <v>0</v>
      </c>
      <c r="O19" s="427">
        <f>P19+Q19</f>
        <v>0</v>
      </c>
      <c r="P19" s="428">
        <v>0</v>
      </c>
      <c r="Q19" s="428">
        <v>0</v>
      </c>
      <c r="R19" s="427">
        <f>S19+T19</f>
        <v>0</v>
      </c>
      <c r="S19" s="428">
        <v>0</v>
      </c>
      <c r="T19" s="428">
        <v>0</v>
      </c>
      <c r="U19" s="427">
        <f>V19+W19</f>
        <v>0</v>
      </c>
      <c r="V19" s="428">
        <v>0</v>
      </c>
      <c r="W19" s="428">
        <v>0</v>
      </c>
    </row>
    <row r="20" spans="1:23" s="426" customFormat="1" ht="16.5" customHeight="1" hidden="1">
      <c r="A20" s="831"/>
      <c r="B20" s="832"/>
      <c r="C20" s="834"/>
      <c r="D20" s="862"/>
      <c r="E20" s="831"/>
      <c r="F20" s="831"/>
      <c r="G20" s="832"/>
      <c r="H20" s="425">
        <v>1953551</v>
      </c>
      <c r="I20" s="425">
        <v>1043500</v>
      </c>
      <c r="J20" s="830">
        <f>J17+J19</f>
        <v>4120160</v>
      </c>
      <c r="K20" s="830">
        <f aca="true" t="shared" si="0" ref="K20:W20">K17+K19</f>
        <v>3582405</v>
      </c>
      <c r="L20" s="828">
        <f t="shared" si="0"/>
        <v>3582405</v>
      </c>
      <c r="M20" s="828">
        <f t="shared" si="0"/>
        <v>0</v>
      </c>
      <c r="N20" s="830">
        <f t="shared" si="0"/>
        <v>537755</v>
      </c>
      <c r="O20" s="830">
        <f t="shared" si="0"/>
        <v>0</v>
      </c>
      <c r="P20" s="828">
        <f t="shared" si="0"/>
        <v>0</v>
      </c>
      <c r="Q20" s="828">
        <f t="shared" si="0"/>
        <v>0</v>
      </c>
      <c r="R20" s="830">
        <f t="shared" si="0"/>
        <v>275404</v>
      </c>
      <c r="S20" s="828">
        <f t="shared" si="0"/>
        <v>275404</v>
      </c>
      <c r="T20" s="828">
        <f t="shared" si="0"/>
        <v>0</v>
      </c>
      <c r="U20" s="830">
        <f t="shared" si="0"/>
        <v>262351</v>
      </c>
      <c r="V20" s="828">
        <f t="shared" si="0"/>
        <v>262351</v>
      </c>
      <c r="W20" s="828">
        <f t="shared" si="0"/>
        <v>0</v>
      </c>
    </row>
    <row r="21" spans="1:23" s="426" customFormat="1" ht="16.5" customHeight="1" hidden="1">
      <c r="A21" s="831"/>
      <c r="B21" s="832"/>
      <c r="C21" s="834"/>
      <c r="D21" s="862"/>
      <c r="E21" s="831"/>
      <c r="F21" s="831"/>
      <c r="G21" s="832"/>
      <c r="H21" s="425">
        <v>1566373</v>
      </c>
      <c r="I21" s="425">
        <v>856746</v>
      </c>
      <c r="J21" s="830"/>
      <c r="K21" s="830"/>
      <c r="L21" s="828"/>
      <c r="M21" s="828"/>
      <c r="N21" s="830"/>
      <c r="O21" s="830"/>
      <c r="P21" s="828"/>
      <c r="Q21" s="828"/>
      <c r="R21" s="830"/>
      <c r="S21" s="828"/>
      <c r="T21" s="828"/>
      <c r="U21" s="830"/>
      <c r="V21" s="828"/>
      <c r="W21" s="828"/>
    </row>
    <row r="22" spans="1:23" s="426" customFormat="1" ht="16.5" customHeight="1" hidden="1">
      <c r="A22" s="864">
        <v>1</v>
      </c>
      <c r="B22" s="832" t="s">
        <v>595</v>
      </c>
      <c r="C22" s="834" t="s">
        <v>596</v>
      </c>
      <c r="D22" s="862" t="s">
        <v>601</v>
      </c>
      <c r="E22" s="831" t="s">
        <v>598</v>
      </c>
      <c r="F22" s="831" t="s">
        <v>599</v>
      </c>
      <c r="G22" s="832" t="s">
        <v>600</v>
      </c>
      <c r="H22" s="425">
        <f>H23+H24+H25+H26</f>
        <v>8544937</v>
      </c>
      <c r="I22" s="425">
        <f>I23+I24+I25+I26</f>
        <v>1677214</v>
      </c>
      <c r="J22" s="830">
        <f>K22+N22</f>
        <v>2635231</v>
      </c>
      <c r="K22" s="830">
        <f>L22+M22</f>
        <v>2043397</v>
      </c>
      <c r="L22" s="828">
        <v>2043397</v>
      </c>
      <c r="M22" s="828">
        <v>0</v>
      </c>
      <c r="N22" s="830">
        <f>O22+R22+U22</f>
        <v>591834</v>
      </c>
      <c r="O22" s="830">
        <f>P22+Q22</f>
        <v>0</v>
      </c>
      <c r="P22" s="828">
        <v>0</v>
      </c>
      <c r="Q22" s="828">
        <v>0</v>
      </c>
      <c r="R22" s="830">
        <f>S22+T22</f>
        <v>91834</v>
      </c>
      <c r="S22" s="828">
        <v>91834</v>
      </c>
      <c r="T22" s="828">
        <v>0</v>
      </c>
      <c r="U22" s="830">
        <f>V22+W22</f>
        <v>500000</v>
      </c>
      <c r="V22" s="828">
        <v>500000</v>
      </c>
      <c r="W22" s="828">
        <v>0</v>
      </c>
    </row>
    <row r="23" spans="1:23" s="426" customFormat="1" ht="16.5" customHeight="1" hidden="1">
      <c r="A23" s="864"/>
      <c r="B23" s="832"/>
      <c r="C23" s="834"/>
      <c r="D23" s="862"/>
      <c r="E23" s="831"/>
      <c r="F23" s="831"/>
      <c r="G23" s="832"/>
      <c r="H23" s="425">
        <v>7231583</v>
      </c>
      <c r="I23" s="425">
        <v>1394107</v>
      </c>
      <c r="J23" s="830"/>
      <c r="K23" s="830"/>
      <c r="L23" s="828"/>
      <c r="M23" s="828"/>
      <c r="N23" s="830"/>
      <c r="O23" s="830"/>
      <c r="P23" s="828"/>
      <c r="Q23" s="828"/>
      <c r="R23" s="830"/>
      <c r="S23" s="828"/>
      <c r="T23" s="828"/>
      <c r="U23" s="830"/>
      <c r="V23" s="828"/>
      <c r="W23" s="828"/>
    </row>
    <row r="24" spans="1:23" s="426" customFormat="1" ht="16.5" customHeight="1" hidden="1">
      <c r="A24" s="864"/>
      <c r="B24" s="832"/>
      <c r="C24" s="834"/>
      <c r="D24" s="862"/>
      <c r="E24" s="831"/>
      <c r="F24" s="831"/>
      <c r="G24" s="832"/>
      <c r="H24" s="425">
        <v>0</v>
      </c>
      <c r="I24" s="425">
        <v>0</v>
      </c>
      <c r="J24" s="427">
        <f>K24+N24</f>
        <v>0</v>
      </c>
      <c r="K24" s="427">
        <f>L24+M24</f>
        <v>0</v>
      </c>
      <c r="L24" s="428">
        <v>0</v>
      </c>
      <c r="M24" s="428">
        <v>0</v>
      </c>
      <c r="N24" s="427">
        <f>O24+R24+U24</f>
        <v>0</v>
      </c>
      <c r="O24" s="427">
        <f>P24+Q24</f>
        <v>0</v>
      </c>
      <c r="P24" s="428">
        <v>0</v>
      </c>
      <c r="Q24" s="428">
        <v>0</v>
      </c>
      <c r="R24" s="427">
        <f>S24+T24</f>
        <v>0</v>
      </c>
      <c r="S24" s="428">
        <v>0</v>
      </c>
      <c r="T24" s="428">
        <v>0</v>
      </c>
      <c r="U24" s="427">
        <f>V24+W24</f>
        <v>0</v>
      </c>
      <c r="V24" s="428">
        <v>0</v>
      </c>
      <c r="W24" s="428">
        <v>0</v>
      </c>
    </row>
    <row r="25" spans="1:23" s="426" customFormat="1" ht="16.5" customHeight="1" hidden="1">
      <c r="A25" s="864"/>
      <c r="B25" s="832"/>
      <c r="C25" s="834"/>
      <c r="D25" s="862"/>
      <c r="E25" s="831"/>
      <c r="F25" s="831"/>
      <c r="G25" s="832"/>
      <c r="H25" s="425">
        <v>363602</v>
      </c>
      <c r="I25" s="425">
        <v>147660</v>
      </c>
      <c r="J25" s="830">
        <f aca="true" t="shared" si="1" ref="J25:W25">J22+J24</f>
        <v>2635231</v>
      </c>
      <c r="K25" s="830">
        <f t="shared" si="1"/>
        <v>2043397</v>
      </c>
      <c r="L25" s="828">
        <f t="shared" si="1"/>
        <v>2043397</v>
      </c>
      <c r="M25" s="828">
        <f t="shared" si="1"/>
        <v>0</v>
      </c>
      <c r="N25" s="830">
        <f t="shared" si="1"/>
        <v>591834</v>
      </c>
      <c r="O25" s="830">
        <f t="shared" si="1"/>
        <v>0</v>
      </c>
      <c r="P25" s="828">
        <f t="shared" si="1"/>
        <v>0</v>
      </c>
      <c r="Q25" s="828">
        <f t="shared" si="1"/>
        <v>0</v>
      </c>
      <c r="R25" s="830">
        <f t="shared" si="1"/>
        <v>91834</v>
      </c>
      <c r="S25" s="828">
        <f t="shared" si="1"/>
        <v>91834</v>
      </c>
      <c r="T25" s="828">
        <f t="shared" si="1"/>
        <v>0</v>
      </c>
      <c r="U25" s="830">
        <f t="shared" si="1"/>
        <v>500000</v>
      </c>
      <c r="V25" s="828">
        <f t="shared" si="1"/>
        <v>500000</v>
      </c>
      <c r="W25" s="828">
        <f t="shared" si="1"/>
        <v>0</v>
      </c>
    </row>
    <row r="26" spans="1:23" s="426" customFormat="1" ht="16.5" customHeight="1" hidden="1">
      <c r="A26" s="864"/>
      <c r="B26" s="832"/>
      <c r="C26" s="834"/>
      <c r="D26" s="862"/>
      <c r="E26" s="831"/>
      <c r="F26" s="831"/>
      <c r="G26" s="832"/>
      <c r="H26" s="425">
        <v>949752</v>
      </c>
      <c r="I26" s="425">
        <v>135447</v>
      </c>
      <c r="J26" s="830"/>
      <c r="K26" s="830"/>
      <c r="L26" s="828"/>
      <c r="M26" s="828"/>
      <c r="N26" s="830"/>
      <c r="O26" s="830"/>
      <c r="P26" s="828"/>
      <c r="Q26" s="828"/>
      <c r="R26" s="830"/>
      <c r="S26" s="828"/>
      <c r="T26" s="828"/>
      <c r="U26" s="830"/>
      <c r="V26" s="828"/>
      <c r="W26" s="828"/>
    </row>
    <row r="27" spans="1:23" s="426" customFormat="1" ht="15.75" customHeight="1">
      <c r="A27" s="831">
        <v>1</v>
      </c>
      <c r="B27" s="832" t="s">
        <v>595</v>
      </c>
      <c r="C27" s="834" t="s">
        <v>596</v>
      </c>
      <c r="D27" s="862" t="s">
        <v>602</v>
      </c>
      <c r="E27" s="831" t="s">
        <v>598</v>
      </c>
      <c r="F27" s="831" t="s">
        <v>599</v>
      </c>
      <c r="G27" s="832" t="s">
        <v>603</v>
      </c>
      <c r="H27" s="425">
        <f>H28+H29+H30+H31</f>
        <v>11360000</v>
      </c>
      <c r="I27" s="425">
        <f>I28+I29+I30+I31</f>
        <v>7458542</v>
      </c>
      <c r="J27" s="830">
        <f>K27+N27</f>
        <v>3631668</v>
      </c>
      <c r="K27" s="830">
        <f>L27+M27</f>
        <v>3086918</v>
      </c>
      <c r="L27" s="828">
        <v>3086918</v>
      </c>
      <c r="M27" s="828">
        <v>0</v>
      </c>
      <c r="N27" s="830">
        <f>O27+R27+U27</f>
        <v>544750</v>
      </c>
      <c r="O27" s="830">
        <f>P27+Q27</f>
        <v>0</v>
      </c>
      <c r="P27" s="828">
        <v>0</v>
      </c>
      <c r="Q27" s="828">
        <v>0</v>
      </c>
      <c r="R27" s="830">
        <f>S27+T27</f>
        <v>544750</v>
      </c>
      <c r="S27" s="828">
        <v>544750</v>
      </c>
      <c r="T27" s="828">
        <v>0</v>
      </c>
      <c r="U27" s="830">
        <f>V27+W27</f>
        <v>0</v>
      </c>
      <c r="V27" s="828">
        <v>0</v>
      </c>
      <c r="W27" s="828">
        <v>0</v>
      </c>
    </row>
    <row r="28" spans="1:23" s="426" customFormat="1" ht="15.75" customHeight="1">
      <c r="A28" s="831"/>
      <c r="B28" s="832"/>
      <c r="C28" s="834"/>
      <c r="D28" s="862"/>
      <c r="E28" s="831"/>
      <c r="F28" s="831"/>
      <c r="G28" s="832"/>
      <c r="H28" s="425">
        <v>9656000</v>
      </c>
      <c r="I28" s="425">
        <v>6339760</v>
      </c>
      <c r="J28" s="830"/>
      <c r="K28" s="830"/>
      <c r="L28" s="828"/>
      <c r="M28" s="828"/>
      <c r="N28" s="830"/>
      <c r="O28" s="830"/>
      <c r="P28" s="828"/>
      <c r="Q28" s="828"/>
      <c r="R28" s="830"/>
      <c r="S28" s="828"/>
      <c r="T28" s="828"/>
      <c r="U28" s="830"/>
      <c r="V28" s="828"/>
      <c r="W28" s="828"/>
    </row>
    <row r="29" spans="1:23" s="426" customFormat="1" ht="15.75" customHeight="1">
      <c r="A29" s="831"/>
      <c r="B29" s="832"/>
      <c r="C29" s="834"/>
      <c r="D29" s="862"/>
      <c r="E29" s="831"/>
      <c r="F29" s="831"/>
      <c r="G29" s="832"/>
      <c r="H29" s="425">
        <v>0</v>
      </c>
      <c r="I29" s="425">
        <v>0</v>
      </c>
      <c r="J29" s="427">
        <f>K29+N29</f>
        <v>269790</v>
      </c>
      <c r="K29" s="427">
        <f>L29+M29</f>
        <v>229322</v>
      </c>
      <c r="L29" s="428">
        <v>229322</v>
      </c>
      <c r="M29" s="428">
        <v>0</v>
      </c>
      <c r="N29" s="427">
        <f>O29+R29+U29</f>
        <v>40468</v>
      </c>
      <c r="O29" s="427">
        <f>P29+Q29</f>
        <v>0</v>
      </c>
      <c r="P29" s="428">
        <v>0</v>
      </c>
      <c r="Q29" s="428">
        <v>0</v>
      </c>
      <c r="R29" s="427">
        <f>S29+T29</f>
        <v>40468</v>
      </c>
      <c r="S29" s="428">
        <v>40468</v>
      </c>
      <c r="T29" s="428">
        <v>0</v>
      </c>
      <c r="U29" s="427">
        <f>V29+W29</f>
        <v>0</v>
      </c>
      <c r="V29" s="428">
        <v>0</v>
      </c>
      <c r="W29" s="428">
        <v>0</v>
      </c>
    </row>
    <row r="30" spans="1:23" s="426" customFormat="1" ht="15.75" customHeight="1">
      <c r="A30" s="831"/>
      <c r="B30" s="832"/>
      <c r="C30" s="834"/>
      <c r="D30" s="862"/>
      <c r="E30" s="831"/>
      <c r="F30" s="831"/>
      <c r="G30" s="832"/>
      <c r="H30" s="425">
        <v>1704000</v>
      </c>
      <c r="I30" s="425">
        <v>1118782</v>
      </c>
      <c r="J30" s="830">
        <f aca="true" t="shared" si="2" ref="J30:W30">J27+J29</f>
        <v>3901458</v>
      </c>
      <c r="K30" s="830">
        <f t="shared" si="2"/>
        <v>3316240</v>
      </c>
      <c r="L30" s="828">
        <f t="shared" si="2"/>
        <v>3316240</v>
      </c>
      <c r="M30" s="828">
        <f t="shared" si="2"/>
        <v>0</v>
      </c>
      <c r="N30" s="830">
        <f t="shared" si="2"/>
        <v>585218</v>
      </c>
      <c r="O30" s="830">
        <f t="shared" si="2"/>
        <v>0</v>
      </c>
      <c r="P30" s="828">
        <f t="shared" si="2"/>
        <v>0</v>
      </c>
      <c r="Q30" s="828">
        <f t="shared" si="2"/>
        <v>0</v>
      </c>
      <c r="R30" s="830">
        <f t="shared" si="2"/>
        <v>585218</v>
      </c>
      <c r="S30" s="828">
        <f t="shared" si="2"/>
        <v>585218</v>
      </c>
      <c r="T30" s="828">
        <f t="shared" si="2"/>
        <v>0</v>
      </c>
      <c r="U30" s="830">
        <f t="shared" si="2"/>
        <v>0</v>
      </c>
      <c r="V30" s="828">
        <f t="shared" si="2"/>
        <v>0</v>
      </c>
      <c r="W30" s="828">
        <f t="shared" si="2"/>
        <v>0</v>
      </c>
    </row>
    <row r="31" spans="1:23" s="426" customFormat="1" ht="15.75" customHeight="1">
      <c r="A31" s="831"/>
      <c r="B31" s="832"/>
      <c r="C31" s="834"/>
      <c r="D31" s="862"/>
      <c r="E31" s="831"/>
      <c r="F31" s="831"/>
      <c r="G31" s="832"/>
      <c r="H31" s="425">
        <v>0</v>
      </c>
      <c r="I31" s="425">
        <v>0</v>
      </c>
      <c r="J31" s="830"/>
      <c r="K31" s="830"/>
      <c r="L31" s="828"/>
      <c r="M31" s="828"/>
      <c r="N31" s="830"/>
      <c r="O31" s="830"/>
      <c r="P31" s="828"/>
      <c r="Q31" s="828"/>
      <c r="R31" s="830"/>
      <c r="S31" s="828"/>
      <c r="T31" s="828"/>
      <c r="U31" s="830"/>
      <c r="V31" s="828"/>
      <c r="W31" s="828"/>
    </row>
    <row r="32" spans="1:23" s="426" customFormat="1" ht="15.75" customHeight="1" hidden="1">
      <c r="A32" s="831">
        <v>4</v>
      </c>
      <c r="B32" s="832" t="s">
        <v>595</v>
      </c>
      <c r="C32" s="834" t="s">
        <v>596</v>
      </c>
      <c r="D32" s="862" t="s">
        <v>604</v>
      </c>
      <c r="E32" s="831" t="s">
        <v>598</v>
      </c>
      <c r="F32" s="831" t="s">
        <v>599</v>
      </c>
      <c r="G32" s="832" t="s">
        <v>603</v>
      </c>
      <c r="H32" s="425">
        <f>H33+H34+H35+H36</f>
        <v>9743979</v>
      </c>
      <c r="I32" s="425">
        <f>I33+I34+I35+I36</f>
        <v>2612960</v>
      </c>
      <c r="J32" s="830">
        <f>K32+N32</f>
        <v>7131019</v>
      </c>
      <c r="K32" s="830">
        <f>L32+M32</f>
        <v>6207691</v>
      </c>
      <c r="L32" s="828">
        <v>6207691</v>
      </c>
      <c r="M32" s="828">
        <v>0</v>
      </c>
      <c r="N32" s="830">
        <f>O32+R32+U32</f>
        <v>923328</v>
      </c>
      <c r="O32" s="830">
        <f>P32+Q32</f>
        <v>0</v>
      </c>
      <c r="P32" s="828">
        <v>0</v>
      </c>
      <c r="Q32" s="828">
        <v>0</v>
      </c>
      <c r="R32" s="830">
        <f>S32+T32</f>
        <v>923328</v>
      </c>
      <c r="S32" s="828">
        <v>923328</v>
      </c>
      <c r="T32" s="828">
        <v>0</v>
      </c>
      <c r="U32" s="830">
        <f>V32+W32</f>
        <v>0</v>
      </c>
      <c r="V32" s="828">
        <v>0</v>
      </c>
      <c r="W32" s="828">
        <v>0</v>
      </c>
    </row>
    <row r="33" spans="1:23" s="426" customFormat="1" ht="15.75" customHeight="1" hidden="1">
      <c r="A33" s="831"/>
      <c r="B33" s="832"/>
      <c r="C33" s="834"/>
      <c r="D33" s="862"/>
      <c r="E33" s="831"/>
      <c r="F33" s="831"/>
      <c r="G33" s="832"/>
      <c r="H33" s="425">
        <v>8267301</v>
      </c>
      <c r="I33" s="425">
        <v>2059610</v>
      </c>
      <c r="J33" s="830"/>
      <c r="K33" s="830"/>
      <c r="L33" s="828"/>
      <c r="M33" s="828"/>
      <c r="N33" s="830"/>
      <c r="O33" s="830"/>
      <c r="P33" s="828"/>
      <c r="Q33" s="828"/>
      <c r="R33" s="830"/>
      <c r="S33" s="828"/>
      <c r="T33" s="828"/>
      <c r="U33" s="830"/>
      <c r="V33" s="828"/>
      <c r="W33" s="828"/>
    </row>
    <row r="34" spans="1:23" s="426" customFormat="1" ht="15.75" customHeight="1" hidden="1">
      <c r="A34" s="831"/>
      <c r="B34" s="832"/>
      <c r="C34" s="834"/>
      <c r="D34" s="862"/>
      <c r="E34" s="831"/>
      <c r="F34" s="831"/>
      <c r="G34" s="832"/>
      <c r="H34" s="425">
        <v>0</v>
      </c>
      <c r="I34" s="425">
        <v>0</v>
      </c>
      <c r="J34" s="427">
        <f>K34+N34</f>
        <v>0</v>
      </c>
      <c r="K34" s="427">
        <f>L34+M34</f>
        <v>0</v>
      </c>
      <c r="L34" s="428">
        <v>0</v>
      </c>
      <c r="M34" s="428">
        <v>0</v>
      </c>
      <c r="N34" s="427">
        <f>O34+R34+U34</f>
        <v>0</v>
      </c>
      <c r="O34" s="427">
        <f>P34+Q34</f>
        <v>0</v>
      </c>
      <c r="P34" s="428">
        <v>0</v>
      </c>
      <c r="Q34" s="428">
        <v>0</v>
      </c>
      <c r="R34" s="427">
        <f>S34+T34</f>
        <v>0</v>
      </c>
      <c r="S34" s="428">
        <v>0</v>
      </c>
      <c r="T34" s="428">
        <v>0</v>
      </c>
      <c r="U34" s="427">
        <f>V34+W34</f>
        <v>0</v>
      </c>
      <c r="V34" s="428">
        <v>0</v>
      </c>
      <c r="W34" s="428">
        <v>0</v>
      </c>
    </row>
    <row r="35" spans="1:23" s="426" customFormat="1" ht="15.75" customHeight="1" hidden="1">
      <c r="A35" s="831"/>
      <c r="B35" s="832"/>
      <c r="C35" s="834"/>
      <c r="D35" s="862"/>
      <c r="E35" s="831"/>
      <c r="F35" s="831"/>
      <c r="G35" s="832"/>
      <c r="H35" s="425">
        <v>1476678</v>
      </c>
      <c r="I35" s="425">
        <v>553350</v>
      </c>
      <c r="J35" s="830">
        <f aca="true" t="shared" si="3" ref="J35:W35">J32+J34</f>
        <v>7131019</v>
      </c>
      <c r="K35" s="830">
        <f t="shared" si="3"/>
        <v>6207691</v>
      </c>
      <c r="L35" s="828">
        <f t="shared" si="3"/>
        <v>6207691</v>
      </c>
      <c r="M35" s="828">
        <f t="shared" si="3"/>
        <v>0</v>
      </c>
      <c r="N35" s="830">
        <f t="shared" si="3"/>
        <v>923328</v>
      </c>
      <c r="O35" s="830">
        <f t="shared" si="3"/>
        <v>0</v>
      </c>
      <c r="P35" s="828">
        <f t="shared" si="3"/>
        <v>0</v>
      </c>
      <c r="Q35" s="828">
        <f t="shared" si="3"/>
        <v>0</v>
      </c>
      <c r="R35" s="830">
        <f t="shared" si="3"/>
        <v>923328</v>
      </c>
      <c r="S35" s="828">
        <f t="shared" si="3"/>
        <v>923328</v>
      </c>
      <c r="T35" s="828">
        <f t="shared" si="3"/>
        <v>0</v>
      </c>
      <c r="U35" s="830">
        <f t="shared" si="3"/>
        <v>0</v>
      </c>
      <c r="V35" s="828">
        <f t="shared" si="3"/>
        <v>0</v>
      </c>
      <c r="W35" s="828">
        <f t="shared" si="3"/>
        <v>0</v>
      </c>
    </row>
    <row r="36" spans="1:23" s="426" customFormat="1" ht="15.75" customHeight="1" hidden="1">
      <c r="A36" s="831"/>
      <c r="B36" s="832"/>
      <c r="C36" s="834"/>
      <c r="D36" s="862"/>
      <c r="E36" s="831"/>
      <c r="F36" s="831"/>
      <c r="G36" s="832"/>
      <c r="H36" s="425">
        <v>0</v>
      </c>
      <c r="I36" s="425">
        <v>0</v>
      </c>
      <c r="J36" s="830"/>
      <c r="K36" s="830"/>
      <c r="L36" s="828"/>
      <c r="M36" s="828"/>
      <c r="N36" s="830"/>
      <c r="O36" s="830"/>
      <c r="P36" s="828"/>
      <c r="Q36" s="828"/>
      <c r="R36" s="830"/>
      <c r="S36" s="828"/>
      <c r="T36" s="828"/>
      <c r="U36" s="830"/>
      <c r="V36" s="828"/>
      <c r="W36" s="828"/>
    </row>
    <row r="37" spans="1:23" s="426" customFormat="1" ht="15.75" customHeight="1">
      <c r="A37" s="831">
        <v>2</v>
      </c>
      <c r="B37" s="839" t="s">
        <v>518</v>
      </c>
      <c r="C37" s="845" t="s">
        <v>605</v>
      </c>
      <c r="D37" s="859" t="s">
        <v>606</v>
      </c>
      <c r="E37" s="831" t="s">
        <v>598</v>
      </c>
      <c r="F37" s="836" t="s">
        <v>607</v>
      </c>
      <c r="G37" s="839" t="s">
        <v>600</v>
      </c>
      <c r="H37" s="425">
        <f>H38+H39+H40+H41</f>
        <v>113069501</v>
      </c>
      <c r="I37" s="425">
        <f>I38+I39+I40+I41</f>
        <v>19599689</v>
      </c>
      <c r="J37" s="830">
        <f>K37+N37</f>
        <v>49230046</v>
      </c>
      <c r="K37" s="830">
        <f>L37+M37</f>
        <v>48246133</v>
      </c>
      <c r="L37" s="828">
        <v>1072322</v>
      </c>
      <c r="M37" s="828">
        <v>47173811</v>
      </c>
      <c r="N37" s="830">
        <f>O37+R37+U37</f>
        <v>983913</v>
      </c>
      <c r="O37" s="830">
        <f>P37+Q37</f>
        <v>0</v>
      </c>
      <c r="P37" s="828">
        <v>0</v>
      </c>
      <c r="Q37" s="828">
        <v>0</v>
      </c>
      <c r="R37" s="830">
        <f>S37+T37</f>
        <v>925913</v>
      </c>
      <c r="S37" s="828">
        <v>131235</v>
      </c>
      <c r="T37" s="828">
        <v>794678</v>
      </c>
      <c r="U37" s="830">
        <f>V37+W37</f>
        <v>58000</v>
      </c>
      <c r="V37" s="828">
        <v>58000</v>
      </c>
      <c r="W37" s="828">
        <v>0</v>
      </c>
    </row>
    <row r="38" spans="1:23" s="426" customFormat="1" ht="15.75" customHeight="1">
      <c r="A38" s="831"/>
      <c r="B38" s="840"/>
      <c r="C38" s="846"/>
      <c r="D38" s="860"/>
      <c r="E38" s="831"/>
      <c r="F38" s="837"/>
      <c r="G38" s="840"/>
      <c r="H38" s="425">
        <v>109055000</v>
      </c>
      <c r="I38" s="425">
        <v>18217323</v>
      </c>
      <c r="J38" s="830"/>
      <c r="K38" s="830"/>
      <c r="L38" s="828"/>
      <c r="M38" s="828"/>
      <c r="N38" s="830"/>
      <c r="O38" s="830"/>
      <c r="P38" s="828"/>
      <c r="Q38" s="828"/>
      <c r="R38" s="830"/>
      <c r="S38" s="828"/>
      <c r="T38" s="828"/>
      <c r="U38" s="830"/>
      <c r="V38" s="828"/>
      <c r="W38" s="828"/>
    </row>
    <row r="39" spans="1:23" s="426" customFormat="1" ht="15.75" customHeight="1">
      <c r="A39" s="831"/>
      <c r="B39" s="840"/>
      <c r="C39" s="846"/>
      <c r="D39" s="860"/>
      <c r="E39" s="831"/>
      <c r="F39" s="837"/>
      <c r="G39" s="840"/>
      <c r="H39" s="425">
        <v>0</v>
      </c>
      <c r="I39" s="425">
        <v>0</v>
      </c>
      <c r="J39" s="427">
        <f>K39+N39</f>
        <v>-810851</v>
      </c>
      <c r="K39" s="427">
        <f>L39+M39</f>
        <v>-780322</v>
      </c>
      <c r="L39" s="428">
        <v>0</v>
      </c>
      <c r="M39" s="428">
        <v>-780322</v>
      </c>
      <c r="N39" s="427">
        <f>O39+R39+U39</f>
        <v>-30529</v>
      </c>
      <c r="O39" s="427">
        <f>P39+Q39</f>
        <v>0</v>
      </c>
      <c r="P39" s="428">
        <v>0</v>
      </c>
      <c r="Q39" s="428">
        <v>0</v>
      </c>
      <c r="R39" s="427">
        <f>S39+T39</f>
        <v>-30529</v>
      </c>
      <c r="S39" s="428">
        <v>0</v>
      </c>
      <c r="T39" s="428">
        <v>-30529</v>
      </c>
      <c r="U39" s="427">
        <f>V39+W39</f>
        <v>0</v>
      </c>
      <c r="V39" s="428">
        <v>0</v>
      </c>
      <c r="W39" s="428">
        <v>0</v>
      </c>
    </row>
    <row r="40" spans="1:23" s="426" customFormat="1" ht="15.75" customHeight="1">
      <c r="A40" s="831"/>
      <c r="B40" s="840"/>
      <c r="C40" s="846"/>
      <c r="D40" s="860"/>
      <c r="E40" s="831"/>
      <c r="F40" s="837"/>
      <c r="G40" s="840"/>
      <c r="H40" s="425">
        <v>3730066</v>
      </c>
      <c r="I40" s="425">
        <v>1342827</v>
      </c>
      <c r="J40" s="830">
        <f aca="true" t="shared" si="4" ref="J40:W40">J37+J39</f>
        <v>48419195</v>
      </c>
      <c r="K40" s="830">
        <f t="shared" si="4"/>
        <v>47465811</v>
      </c>
      <c r="L40" s="828">
        <f t="shared" si="4"/>
        <v>1072322</v>
      </c>
      <c r="M40" s="828">
        <f t="shared" si="4"/>
        <v>46393489</v>
      </c>
      <c r="N40" s="830">
        <f t="shared" si="4"/>
        <v>953384</v>
      </c>
      <c r="O40" s="830">
        <f t="shared" si="4"/>
        <v>0</v>
      </c>
      <c r="P40" s="828">
        <f t="shared" si="4"/>
        <v>0</v>
      </c>
      <c r="Q40" s="828">
        <f t="shared" si="4"/>
        <v>0</v>
      </c>
      <c r="R40" s="830">
        <f t="shared" si="4"/>
        <v>895384</v>
      </c>
      <c r="S40" s="828">
        <f t="shared" si="4"/>
        <v>131235</v>
      </c>
      <c r="T40" s="828">
        <f t="shared" si="4"/>
        <v>764149</v>
      </c>
      <c r="U40" s="830">
        <f t="shared" si="4"/>
        <v>58000</v>
      </c>
      <c r="V40" s="828">
        <f t="shared" si="4"/>
        <v>58000</v>
      </c>
      <c r="W40" s="828">
        <f t="shared" si="4"/>
        <v>0</v>
      </c>
    </row>
    <row r="41" spans="1:23" s="426" customFormat="1" ht="15.75" customHeight="1">
      <c r="A41" s="831"/>
      <c r="B41" s="841"/>
      <c r="C41" s="847"/>
      <c r="D41" s="861"/>
      <c r="E41" s="831"/>
      <c r="F41" s="838"/>
      <c r="G41" s="841"/>
      <c r="H41" s="425">
        <v>284435</v>
      </c>
      <c r="I41" s="425">
        <v>39539</v>
      </c>
      <c r="J41" s="830"/>
      <c r="K41" s="830"/>
      <c r="L41" s="828"/>
      <c r="M41" s="828"/>
      <c r="N41" s="830"/>
      <c r="O41" s="830"/>
      <c r="P41" s="828"/>
      <c r="Q41" s="828"/>
      <c r="R41" s="830"/>
      <c r="S41" s="828"/>
      <c r="T41" s="828"/>
      <c r="U41" s="830"/>
      <c r="V41" s="828"/>
      <c r="W41" s="828"/>
    </row>
    <row r="42" spans="1:23" s="426" customFormat="1" ht="15.75" customHeight="1">
      <c r="A42" s="831">
        <v>3</v>
      </c>
      <c r="B42" s="839" t="s">
        <v>518</v>
      </c>
      <c r="C42" s="845" t="s">
        <v>605</v>
      </c>
      <c r="D42" s="859" t="s">
        <v>608</v>
      </c>
      <c r="E42" s="831" t="s">
        <v>598</v>
      </c>
      <c r="F42" s="836" t="s">
        <v>607</v>
      </c>
      <c r="G42" s="839" t="s">
        <v>600</v>
      </c>
      <c r="H42" s="425">
        <f>H43+H44+H45+H46</f>
        <v>75482617</v>
      </c>
      <c r="I42" s="425">
        <f>I43+I44+I45+I46</f>
        <v>27464242</v>
      </c>
      <c r="J42" s="830">
        <f>K42+N42</f>
        <v>13908993</v>
      </c>
      <c r="K42" s="830">
        <f>L42+M42</f>
        <v>13322644</v>
      </c>
      <c r="L42" s="828">
        <v>2472644</v>
      </c>
      <c r="M42" s="828">
        <v>10850000</v>
      </c>
      <c r="N42" s="830">
        <f>O42+R42+U42</f>
        <v>586349</v>
      </c>
      <c r="O42" s="830">
        <f>P42+Q42</f>
        <v>0</v>
      </c>
      <c r="P42" s="828">
        <v>0</v>
      </c>
      <c r="Q42" s="828">
        <v>0</v>
      </c>
      <c r="R42" s="830">
        <f>S42+T42</f>
        <v>586349</v>
      </c>
      <c r="S42" s="828">
        <v>436349</v>
      </c>
      <c r="T42" s="828">
        <v>150000</v>
      </c>
      <c r="U42" s="830">
        <f>V42+W42</f>
        <v>0</v>
      </c>
      <c r="V42" s="828">
        <v>0</v>
      </c>
      <c r="W42" s="828">
        <v>0</v>
      </c>
    </row>
    <row r="43" spans="1:23" s="426" customFormat="1" ht="15.75" customHeight="1">
      <c r="A43" s="831"/>
      <c r="B43" s="840"/>
      <c r="C43" s="846"/>
      <c r="D43" s="860"/>
      <c r="E43" s="831"/>
      <c r="F43" s="837"/>
      <c r="G43" s="840"/>
      <c r="H43" s="425">
        <v>72842122</v>
      </c>
      <c r="I43" s="425">
        <v>27066574</v>
      </c>
      <c r="J43" s="830"/>
      <c r="K43" s="830"/>
      <c r="L43" s="828"/>
      <c r="M43" s="828"/>
      <c r="N43" s="830"/>
      <c r="O43" s="830"/>
      <c r="P43" s="828"/>
      <c r="Q43" s="828"/>
      <c r="R43" s="830"/>
      <c r="S43" s="828"/>
      <c r="T43" s="828"/>
      <c r="U43" s="830"/>
      <c r="V43" s="828"/>
      <c r="W43" s="828"/>
    </row>
    <row r="44" spans="1:23" s="426" customFormat="1" ht="15.75" customHeight="1">
      <c r="A44" s="831"/>
      <c r="B44" s="840"/>
      <c r="C44" s="846"/>
      <c r="D44" s="860"/>
      <c r="E44" s="831"/>
      <c r="F44" s="837"/>
      <c r="G44" s="840"/>
      <c r="H44" s="425">
        <v>0</v>
      </c>
      <c r="I44" s="425">
        <v>0</v>
      </c>
      <c r="J44" s="427">
        <f>K44+N44</f>
        <v>-72000</v>
      </c>
      <c r="K44" s="427">
        <f>L44+M44</f>
        <v>-61200</v>
      </c>
      <c r="L44" s="428">
        <v>-61200</v>
      </c>
      <c r="M44" s="428">
        <v>0</v>
      </c>
      <c r="N44" s="427">
        <f>O44+R44+U44</f>
        <v>-10800</v>
      </c>
      <c r="O44" s="427">
        <f>P44+Q44</f>
        <v>0</v>
      </c>
      <c r="P44" s="428">
        <v>0</v>
      </c>
      <c r="Q44" s="428">
        <v>0</v>
      </c>
      <c r="R44" s="427">
        <f>S44+T44</f>
        <v>-10800</v>
      </c>
      <c r="S44" s="428">
        <v>-10800</v>
      </c>
      <c r="T44" s="428">
        <v>0</v>
      </c>
      <c r="U44" s="427">
        <f>V44+W44</f>
        <v>0</v>
      </c>
      <c r="V44" s="428">
        <v>0</v>
      </c>
      <c r="W44" s="428">
        <v>0</v>
      </c>
    </row>
    <row r="45" spans="1:23" s="426" customFormat="1" ht="15.75" customHeight="1">
      <c r="A45" s="831"/>
      <c r="B45" s="840"/>
      <c r="C45" s="846"/>
      <c r="D45" s="860"/>
      <c r="E45" s="831"/>
      <c r="F45" s="837"/>
      <c r="G45" s="840"/>
      <c r="H45" s="425">
        <v>2640495</v>
      </c>
      <c r="I45" s="425">
        <v>397668</v>
      </c>
      <c r="J45" s="830">
        <f aca="true" t="shared" si="5" ref="J45:W45">J42+J44</f>
        <v>13836993</v>
      </c>
      <c r="K45" s="830">
        <f t="shared" si="5"/>
        <v>13261444</v>
      </c>
      <c r="L45" s="828">
        <f t="shared" si="5"/>
        <v>2411444</v>
      </c>
      <c r="M45" s="828">
        <f t="shared" si="5"/>
        <v>10850000</v>
      </c>
      <c r="N45" s="830">
        <f t="shared" si="5"/>
        <v>575549</v>
      </c>
      <c r="O45" s="830">
        <f t="shared" si="5"/>
        <v>0</v>
      </c>
      <c r="P45" s="828">
        <f t="shared" si="5"/>
        <v>0</v>
      </c>
      <c r="Q45" s="828">
        <f t="shared" si="5"/>
        <v>0</v>
      </c>
      <c r="R45" s="830">
        <f t="shared" si="5"/>
        <v>575549</v>
      </c>
      <c r="S45" s="828">
        <f t="shared" si="5"/>
        <v>425549</v>
      </c>
      <c r="T45" s="828">
        <f t="shared" si="5"/>
        <v>150000</v>
      </c>
      <c r="U45" s="830">
        <f t="shared" si="5"/>
        <v>0</v>
      </c>
      <c r="V45" s="828">
        <f t="shared" si="5"/>
        <v>0</v>
      </c>
      <c r="W45" s="828">
        <f t="shared" si="5"/>
        <v>0</v>
      </c>
    </row>
    <row r="46" spans="1:23" s="426" customFormat="1" ht="15.75" customHeight="1">
      <c r="A46" s="831"/>
      <c r="B46" s="841"/>
      <c r="C46" s="847"/>
      <c r="D46" s="861"/>
      <c r="E46" s="831"/>
      <c r="F46" s="838"/>
      <c r="G46" s="841"/>
      <c r="H46" s="425">
        <v>0</v>
      </c>
      <c r="I46" s="425">
        <v>0</v>
      </c>
      <c r="J46" s="830"/>
      <c r="K46" s="830"/>
      <c r="L46" s="828"/>
      <c r="M46" s="828"/>
      <c r="N46" s="830"/>
      <c r="O46" s="830"/>
      <c r="P46" s="828"/>
      <c r="Q46" s="828"/>
      <c r="R46" s="830"/>
      <c r="S46" s="828"/>
      <c r="T46" s="828"/>
      <c r="U46" s="830"/>
      <c r="V46" s="828"/>
      <c r="W46" s="828"/>
    </row>
    <row r="47" spans="1:23" s="426" customFormat="1" ht="15.75" customHeight="1" hidden="1">
      <c r="A47" s="831">
        <v>7</v>
      </c>
      <c r="B47" s="839" t="s">
        <v>518</v>
      </c>
      <c r="C47" s="845" t="s">
        <v>605</v>
      </c>
      <c r="D47" s="859" t="s">
        <v>609</v>
      </c>
      <c r="E47" s="831" t="s">
        <v>598</v>
      </c>
      <c r="F47" s="836" t="s">
        <v>607</v>
      </c>
      <c r="G47" s="839" t="s">
        <v>610</v>
      </c>
      <c r="H47" s="425">
        <f>H48+H49+H50+H51</f>
        <v>21697885</v>
      </c>
      <c r="I47" s="425">
        <f>I48+I49+I50+I51</f>
        <v>0</v>
      </c>
      <c r="J47" s="830">
        <f>K47+N47</f>
        <v>8763918</v>
      </c>
      <c r="K47" s="830">
        <f>L47+M47</f>
        <v>8724330</v>
      </c>
      <c r="L47" s="828">
        <v>224330</v>
      </c>
      <c r="M47" s="828">
        <v>8500000</v>
      </c>
      <c r="N47" s="830">
        <f>O47+R47+U47</f>
        <v>39588</v>
      </c>
      <c r="O47" s="830">
        <f>P47+Q47</f>
        <v>0</v>
      </c>
      <c r="P47" s="828">
        <v>0</v>
      </c>
      <c r="Q47" s="828">
        <v>0</v>
      </c>
      <c r="R47" s="830">
        <f>S47+T47</f>
        <v>39588</v>
      </c>
      <c r="S47" s="828">
        <v>39588</v>
      </c>
      <c r="T47" s="828">
        <v>0</v>
      </c>
      <c r="U47" s="830">
        <f>V47+W47</f>
        <v>0</v>
      </c>
      <c r="V47" s="828">
        <v>0</v>
      </c>
      <c r="W47" s="828">
        <v>0</v>
      </c>
    </row>
    <row r="48" spans="1:23" s="426" customFormat="1" ht="15.75" customHeight="1" hidden="1">
      <c r="A48" s="831"/>
      <c r="B48" s="840"/>
      <c r="C48" s="846"/>
      <c r="D48" s="860"/>
      <c r="E48" s="831"/>
      <c r="F48" s="837"/>
      <c r="G48" s="840"/>
      <c r="H48" s="425">
        <v>21496495</v>
      </c>
      <c r="I48" s="425">
        <v>0</v>
      </c>
      <c r="J48" s="830"/>
      <c r="K48" s="830"/>
      <c r="L48" s="828"/>
      <c r="M48" s="828"/>
      <c r="N48" s="830"/>
      <c r="O48" s="830"/>
      <c r="P48" s="828"/>
      <c r="Q48" s="828"/>
      <c r="R48" s="830"/>
      <c r="S48" s="828"/>
      <c r="T48" s="828"/>
      <c r="U48" s="830"/>
      <c r="V48" s="828"/>
      <c r="W48" s="828"/>
    </row>
    <row r="49" spans="1:23" s="426" customFormat="1" ht="15.75" customHeight="1" hidden="1">
      <c r="A49" s="831"/>
      <c r="B49" s="840"/>
      <c r="C49" s="846"/>
      <c r="D49" s="860"/>
      <c r="E49" s="831"/>
      <c r="F49" s="837"/>
      <c r="G49" s="840"/>
      <c r="H49" s="425">
        <v>0</v>
      </c>
      <c r="I49" s="425">
        <v>0</v>
      </c>
      <c r="J49" s="427">
        <f>K49+N49</f>
        <v>0</v>
      </c>
      <c r="K49" s="427">
        <f>L49+M49</f>
        <v>0</v>
      </c>
      <c r="L49" s="428">
        <v>0</v>
      </c>
      <c r="M49" s="428">
        <v>0</v>
      </c>
      <c r="N49" s="427">
        <f>O49+R49+U49</f>
        <v>0</v>
      </c>
      <c r="O49" s="427">
        <f>P49+Q49</f>
        <v>0</v>
      </c>
      <c r="P49" s="428">
        <v>0</v>
      </c>
      <c r="Q49" s="428">
        <v>0</v>
      </c>
      <c r="R49" s="427">
        <f>S49+T49</f>
        <v>0</v>
      </c>
      <c r="S49" s="428">
        <v>0</v>
      </c>
      <c r="T49" s="428">
        <v>0</v>
      </c>
      <c r="U49" s="427">
        <f>V49+W49</f>
        <v>0</v>
      </c>
      <c r="V49" s="428">
        <v>0</v>
      </c>
      <c r="W49" s="428">
        <v>0</v>
      </c>
    </row>
    <row r="50" spans="1:23" s="426" customFormat="1" ht="15.75" customHeight="1" hidden="1">
      <c r="A50" s="831"/>
      <c r="B50" s="840"/>
      <c r="C50" s="846"/>
      <c r="D50" s="860"/>
      <c r="E50" s="831"/>
      <c r="F50" s="837"/>
      <c r="G50" s="840"/>
      <c r="H50" s="425">
        <v>201390</v>
      </c>
      <c r="I50" s="425">
        <v>0</v>
      </c>
      <c r="J50" s="830">
        <f aca="true" t="shared" si="6" ref="J50:W50">J47+J49</f>
        <v>8763918</v>
      </c>
      <c r="K50" s="830">
        <f t="shared" si="6"/>
        <v>8724330</v>
      </c>
      <c r="L50" s="828">
        <f t="shared" si="6"/>
        <v>224330</v>
      </c>
      <c r="M50" s="828">
        <f t="shared" si="6"/>
        <v>8500000</v>
      </c>
      <c r="N50" s="830">
        <f t="shared" si="6"/>
        <v>39588</v>
      </c>
      <c r="O50" s="830">
        <f t="shared" si="6"/>
        <v>0</v>
      </c>
      <c r="P50" s="828">
        <f t="shared" si="6"/>
        <v>0</v>
      </c>
      <c r="Q50" s="828">
        <f t="shared" si="6"/>
        <v>0</v>
      </c>
      <c r="R50" s="830">
        <f t="shared" si="6"/>
        <v>39588</v>
      </c>
      <c r="S50" s="828">
        <f t="shared" si="6"/>
        <v>39588</v>
      </c>
      <c r="T50" s="828">
        <f t="shared" si="6"/>
        <v>0</v>
      </c>
      <c r="U50" s="830">
        <f t="shared" si="6"/>
        <v>0</v>
      </c>
      <c r="V50" s="828">
        <f t="shared" si="6"/>
        <v>0</v>
      </c>
      <c r="W50" s="828">
        <f t="shared" si="6"/>
        <v>0</v>
      </c>
    </row>
    <row r="51" spans="1:23" s="426" customFormat="1" ht="15.75" customHeight="1" hidden="1">
      <c r="A51" s="831"/>
      <c r="B51" s="841"/>
      <c r="C51" s="847"/>
      <c r="D51" s="861"/>
      <c r="E51" s="831"/>
      <c r="F51" s="838"/>
      <c r="G51" s="841"/>
      <c r="H51" s="425">
        <v>0</v>
      </c>
      <c r="I51" s="425">
        <v>0</v>
      </c>
      <c r="J51" s="830"/>
      <c r="K51" s="830"/>
      <c r="L51" s="828"/>
      <c r="M51" s="828"/>
      <c r="N51" s="830"/>
      <c r="O51" s="830"/>
      <c r="P51" s="828"/>
      <c r="Q51" s="828"/>
      <c r="R51" s="830"/>
      <c r="S51" s="828"/>
      <c r="T51" s="828"/>
      <c r="U51" s="830"/>
      <c r="V51" s="828"/>
      <c r="W51" s="828"/>
    </row>
    <row r="52" spans="1:23" s="426" customFormat="1" ht="17.25" customHeight="1">
      <c r="A52" s="831">
        <v>4</v>
      </c>
      <c r="B52" s="839" t="s">
        <v>524</v>
      </c>
      <c r="C52" s="845" t="s">
        <v>611</v>
      </c>
      <c r="D52" s="859" t="s">
        <v>612</v>
      </c>
      <c r="E52" s="831" t="s">
        <v>598</v>
      </c>
      <c r="F52" s="836" t="s">
        <v>607</v>
      </c>
      <c r="G52" s="839" t="s">
        <v>613</v>
      </c>
      <c r="H52" s="425">
        <f>H53+H54+H55+H56</f>
        <v>22825770</v>
      </c>
      <c r="I52" s="425">
        <f>I53+I54+I55+I56</f>
        <v>4940584</v>
      </c>
      <c r="J52" s="830">
        <f>K52+N52</f>
        <v>16176723</v>
      </c>
      <c r="K52" s="830">
        <f>L52+M52</f>
        <v>15314701</v>
      </c>
      <c r="L52" s="828">
        <v>708012</v>
      </c>
      <c r="M52" s="828">
        <v>14606689</v>
      </c>
      <c r="N52" s="830">
        <f>O52+R52+U52</f>
        <v>862022</v>
      </c>
      <c r="O52" s="830">
        <f>P52+Q52</f>
        <v>0</v>
      </c>
      <c r="P52" s="828">
        <v>0</v>
      </c>
      <c r="Q52" s="828">
        <v>0</v>
      </c>
      <c r="R52" s="830">
        <f>S52+T52</f>
        <v>799284</v>
      </c>
      <c r="S52" s="828">
        <v>124944</v>
      </c>
      <c r="T52" s="828">
        <v>674340</v>
      </c>
      <c r="U52" s="830">
        <f>V52+W52</f>
        <v>62738</v>
      </c>
      <c r="V52" s="828">
        <v>0</v>
      </c>
      <c r="W52" s="828">
        <v>62738</v>
      </c>
    </row>
    <row r="53" spans="1:23" s="426" customFormat="1" ht="17.25" customHeight="1">
      <c r="A53" s="831"/>
      <c r="B53" s="840"/>
      <c r="C53" s="846"/>
      <c r="D53" s="860"/>
      <c r="E53" s="831"/>
      <c r="F53" s="837"/>
      <c r="G53" s="840"/>
      <c r="H53" s="425">
        <v>21574001</v>
      </c>
      <c r="I53" s="425">
        <v>4774337</v>
      </c>
      <c r="J53" s="830"/>
      <c r="K53" s="830"/>
      <c r="L53" s="828"/>
      <c r="M53" s="828"/>
      <c r="N53" s="830"/>
      <c r="O53" s="830"/>
      <c r="P53" s="828"/>
      <c r="Q53" s="828"/>
      <c r="R53" s="830"/>
      <c r="S53" s="828"/>
      <c r="T53" s="828"/>
      <c r="U53" s="830"/>
      <c r="V53" s="828"/>
      <c r="W53" s="828"/>
    </row>
    <row r="54" spans="1:23" s="426" customFormat="1" ht="17.25" customHeight="1">
      <c r="A54" s="831"/>
      <c r="B54" s="840"/>
      <c r="C54" s="846"/>
      <c r="D54" s="860"/>
      <c r="E54" s="831"/>
      <c r="F54" s="837"/>
      <c r="G54" s="840"/>
      <c r="H54" s="425">
        <v>0</v>
      </c>
      <c r="I54" s="425">
        <v>0</v>
      </c>
      <c r="J54" s="427">
        <f>K54+N54</f>
        <v>-7513210</v>
      </c>
      <c r="K54" s="427">
        <f>L54+M54</f>
        <v>-6970004</v>
      </c>
      <c r="L54" s="428">
        <v>44035</v>
      </c>
      <c r="M54" s="428">
        <v>-7014039</v>
      </c>
      <c r="N54" s="427">
        <f>O54+R54+U54</f>
        <v>-543206</v>
      </c>
      <c r="O54" s="427">
        <f>P54+Q54</f>
        <v>0</v>
      </c>
      <c r="P54" s="428">
        <v>0</v>
      </c>
      <c r="Q54" s="428">
        <v>0</v>
      </c>
      <c r="R54" s="427">
        <f>S54+T54</f>
        <v>-505706</v>
      </c>
      <c r="S54" s="428">
        <v>7772</v>
      </c>
      <c r="T54" s="428">
        <v>-513478</v>
      </c>
      <c r="U54" s="427">
        <f>V54+W54</f>
        <v>-37500</v>
      </c>
      <c r="V54" s="428">
        <v>0</v>
      </c>
      <c r="W54" s="428">
        <v>-37500</v>
      </c>
    </row>
    <row r="55" spans="1:23" s="426" customFormat="1" ht="17.25" customHeight="1">
      <c r="A55" s="831"/>
      <c r="B55" s="840"/>
      <c r="C55" s="846"/>
      <c r="D55" s="860"/>
      <c r="E55" s="831"/>
      <c r="F55" s="837"/>
      <c r="G55" s="840"/>
      <c r="H55" s="425">
        <v>1178524</v>
      </c>
      <c r="I55" s="425">
        <v>155740</v>
      </c>
      <c r="J55" s="830">
        <f aca="true" t="shared" si="7" ref="J55:W55">J52+J54</f>
        <v>8663513</v>
      </c>
      <c r="K55" s="830">
        <f t="shared" si="7"/>
        <v>8344697</v>
      </c>
      <c r="L55" s="828">
        <f t="shared" si="7"/>
        <v>752047</v>
      </c>
      <c r="M55" s="828">
        <f t="shared" si="7"/>
        <v>7592650</v>
      </c>
      <c r="N55" s="830">
        <f t="shared" si="7"/>
        <v>318816</v>
      </c>
      <c r="O55" s="830">
        <f t="shared" si="7"/>
        <v>0</v>
      </c>
      <c r="P55" s="828">
        <f t="shared" si="7"/>
        <v>0</v>
      </c>
      <c r="Q55" s="828">
        <f t="shared" si="7"/>
        <v>0</v>
      </c>
      <c r="R55" s="830">
        <f t="shared" si="7"/>
        <v>293578</v>
      </c>
      <c r="S55" s="828">
        <f t="shared" si="7"/>
        <v>132716</v>
      </c>
      <c r="T55" s="828">
        <f t="shared" si="7"/>
        <v>160862</v>
      </c>
      <c r="U55" s="830">
        <f t="shared" si="7"/>
        <v>25238</v>
      </c>
      <c r="V55" s="828">
        <f t="shared" si="7"/>
        <v>0</v>
      </c>
      <c r="W55" s="828">
        <f t="shared" si="7"/>
        <v>25238</v>
      </c>
    </row>
    <row r="56" spans="1:23" s="426" customFormat="1" ht="17.25" customHeight="1">
      <c r="A56" s="831"/>
      <c r="B56" s="841"/>
      <c r="C56" s="847"/>
      <c r="D56" s="861"/>
      <c r="E56" s="831"/>
      <c r="F56" s="838"/>
      <c r="G56" s="841"/>
      <c r="H56" s="425">
        <v>73245</v>
      </c>
      <c r="I56" s="425">
        <v>10507</v>
      </c>
      <c r="J56" s="830"/>
      <c r="K56" s="830"/>
      <c r="L56" s="828"/>
      <c r="M56" s="828"/>
      <c r="N56" s="830"/>
      <c r="O56" s="830"/>
      <c r="P56" s="828"/>
      <c r="Q56" s="828"/>
      <c r="R56" s="830"/>
      <c r="S56" s="828"/>
      <c r="T56" s="828"/>
      <c r="U56" s="830"/>
      <c r="V56" s="828"/>
      <c r="W56" s="828"/>
    </row>
    <row r="57" spans="1:23" s="426" customFormat="1" ht="17.25" customHeight="1" hidden="1">
      <c r="A57" s="831">
        <v>9</v>
      </c>
      <c r="B57" s="832" t="s">
        <v>614</v>
      </c>
      <c r="C57" s="834" t="s">
        <v>615</v>
      </c>
      <c r="D57" s="862" t="s">
        <v>616</v>
      </c>
      <c r="E57" s="831" t="s">
        <v>617</v>
      </c>
      <c r="F57" s="831" t="s">
        <v>618</v>
      </c>
      <c r="G57" s="832" t="s">
        <v>619</v>
      </c>
      <c r="H57" s="425">
        <f>H58+H59+H60+H61</f>
        <v>669248</v>
      </c>
      <c r="I57" s="425">
        <f>I58+I59+I60+I61</f>
        <v>31617</v>
      </c>
      <c r="J57" s="830">
        <f>K57+N57</f>
        <v>637631</v>
      </c>
      <c r="K57" s="830">
        <f>L57+M57</f>
        <v>509996</v>
      </c>
      <c r="L57" s="828">
        <v>0</v>
      </c>
      <c r="M57" s="828">
        <v>509996</v>
      </c>
      <c r="N57" s="830">
        <f>O57+R57+U57</f>
        <v>127635</v>
      </c>
      <c r="O57" s="830">
        <f>P57+Q57</f>
        <v>0</v>
      </c>
      <c r="P57" s="828">
        <v>0</v>
      </c>
      <c r="Q57" s="828">
        <v>0</v>
      </c>
      <c r="R57" s="830">
        <f>S57+T57</f>
        <v>127635</v>
      </c>
      <c r="S57" s="828">
        <v>0</v>
      </c>
      <c r="T57" s="828">
        <v>127635</v>
      </c>
      <c r="U57" s="830">
        <f>V57+W57</f>
        <v>0</v>
      </c>
      <c r="V57" s="828">
        <v>0</v>
      </c>
      <c r="W57" s="828">
        <v>0</v>
      </c>
    </row>
    <row r="58" spans="1:23" s="426" customFormat="1" ht="17.25" customHeight="1" hidden="1">
      <c r="A58" s="831"/>
      <c r="B58" s="832"/>
      <c r="C58" s="834"/>
      <c r="D58" s="862"/>
      <c r="E58" s="831"/>
      <c r="F58" s="831"/>
      <c r="G58" s="832"/>
      <c r="H58" s="425">
        <v>534806</v>
      </c>
      <c r="I58" s="425">
        <v>24810</v>
      </c>
      <c r="J58" s="830"/>
      <c r="K58" s="830"/>
      <c r="L58" s="828"/>
      <c r="M58" s="828"/>
      <c r="N58" s="830"/>
      <c r="O58" s="830"/>
      <c r="P58" s="828"/>
      <c r="Q58" s="828"/>
      <c r="R58" s="830"/>
      <c r="S58" s="828"/>
      <c r="T58" s="828"/>
      <c r="U58" s="830"/>
      <c r="V58" s="828"/>
      <c r="W58" s="828"/>
    </row>
    <row r="59" spans="1:23" s="426" customFormat="1" ht="17.25" customHeight="1" hidden="1">
      <c r="A59" s="831"/>
      <c r="B59" s="832"/>
      <c r="C59" s="834"/>
      <c r="D59" s="862"/>
      <c r="E59" s="831"/>
      <c r="F59" s="831"/>
      <c r="G59" s="832"/>
      <c r="H59" s="425">
        <v>0</v>
      </c>
      <c r="I59" s="425">
        <v>0</v>
      </c>
      <c r="J59" s="427">
        <f>K59+N59</f>
        <v>0</v>
      </c>
      <c r="K59" s="427">
        <f>L59+M59</f>
        <v>0</v>
      </c>
      <c r="L59" s="428">
        <v>0</v>
      </c>
      <c r="M59" s="428">
        <v>0</v>
      </c>
      <c r="N59" s="427">
        <f>O59+R59+U59</f>
        <v>0</v>
      </c>
      <c r="O59" s="427">
        <f>P59+Q59</f>
        <v>0</v>
      </c>
      <c r="P59" s="428">
        <v>0</v>
      </c>
      <c r="Q59" s="428">
        <v>0</v>
      </c>
      <c r="R59" s="427">
        <f>S59+T59</f>
        <v>0</v>
      </c>
      <c r="S59" s="428">
        <v>0</v>
      </c>
      <c r="T59" s="428">
        <v>0</v>
      </c>
      <c r="U59" s="427">
        <f>V59+W59</f>
        <v>0</v>
      </c>
      <c r="V59" s="428">
        <v>0</v>
      </c>
      <c r="W59" s="428">
        <v>0</v>
      </c>
    </row>
    <row r="60" spans="1:23" s="426" customFormat="1" ht="17.25" customHeight="1" hidden="1">
      <c r="A60" s="831"/>
      <c r="B60" s="832"/>
      <c r="C60" s="834"/>
      <c r="D60" s="862"/>
      <c r="E60" s="831"/>
      <c r="F60" s="831"/>
      <c r="G60" s="832"/>
      <c r="H60" s="425">
        <v>134442</v>
      </c>
      <c r="I60" s="425">
        <v>6807</v>
      </c>
      <c r="J60" s="830">
        <f aca="true" t="shared" si="8" ref="J60:W60">J57+J59</f>
        <v>637631</v>
      </c>
      <c r="K60" s="830">
        <f t="shared" si="8"/>
        <v>509996</v>
      </c>
      <c r="L60" s="828">
        <f t="shared" si="8"/>
        <v>0</v>
      </c>
      <c r="M60" s="828">
        <f t="shared" si="8"/>
        <v>509996</v>
      </c>
      <c r="N60" s="830">
        <f t="shared" si="8"/>
        <v>127635</v>
      </c>
      <c r="O60" s="830">
        <f t="shared" si="8"/>
        <v>0</v>
      </c>
      <c r="P60" s="828">
        <f t="shared" si="8"/>
        <v>0</v>
      </c>
      <c r="Q60" s="828">
        <f t="shared" si="8"/>
        <v>0</v>
      </c>
      <c r="R60" s="830">
        <f t="shared" si="8"/>
        <v>127635</v>
      </c>
      <c r="S60" s="828">
        <f t="shared" si="8"/>
        <v>0</v>
      </c>
      <c r="T60" s="828">
        <f t="shared" si="8"/>
        <v>127635</v>
      </c>
      <c r="U60" s="830">
        <f t="shared" si="8"/>
        <v>0</v>
      </c>
      <c r="V60" s="828">
        <f t="shared" si="8"/>
        <v>0</v>
      </c>
      <c r="W60" s="828">
        <f t="shared" si="8"/>
        <v>0</v>
      </c>
    </row>
    <row r="61" spans="1:23" s="426" customFormat="1" ht="17.25" customHeight="1" hidden="1">
      <c r="A61" s="831"/>
      <c r="B61" s="832"/>
      <c r="C61" s="834"/>
      <c r="D61" s="862"/>
      <c r="E61" s="831"/>
      <c r="F61" s="831"/>
      <c r="G61" s="832"/>
      <c r="H61" s="425">
        <v>0</v>
      </c>
      <c r="I61" s="425">
        <v>0</v>
      </c>
      <c r="J61" s="830"/>
      <c r="K61" s="830"/>
      <c r="L61" s="828"/>
      <c r="M61" s="828"/>
      <c r="N61" s="830"/>
      <c r="O61" s="830"/>
      <c r="P61" s="828"/>
      <c r="Q61" s="828"/>
      <c r="R61" s="830"/>
      <c r="S61" s="828"/>
      <c r="T61" s="828"/>
      <c r="U61" s="830"/>
      <c r="V61" s="828"/>
      <c r="W61" s="828"/>
    </row>
    <row r="62" spans="1:23" s="426" customFormat="1" ht="17.25" customHeight="1" hidden="1">
      <c r="A62" s="831">
        <v>10</v>
      </c>
      <c r="B62" s="832" t="s">
        <v>620</v>
      </c>
      <c r="C62" s="834" t="s">
        <v>621</v>
      </c>
      <c r="D62" s="862" t="s">
        <v>622</v>
      </c>
      <c r="E62" s="831" t="s">
        <v>623</v>
      </c>
      <c r="F62" s="831" t="s">
        <v>624</v>
      </c>
      <c r="G62" s="832" t="s">
        <v>625</v>
      </c>
      <c r="H62" s="425">
        <f>H63+H64+H65+H66</f>
        <v>3687356</v>
      </c>
      <c r="I62" s="425">
        <f>I63+I64+I65+I66</f>
        <v>1891663</v>
      </c>
      <c r="J62" s="830">
        <f>K62+N62</f>
        <v>1795693</v>
      </c>
      <c r="K62" s="830">
        <f>L62+M62</f>
        <v>1526339</v>
      </c>
      <c r="L62" s="828">
        <v>0</v>
      </c>
      <c r="M62" s="828">
        <v>1526339</v>
      </c>
      <c r="N62" s="830">
        <f>O62+R62+U62</f>
        <v>269354</v>
      </c>
      <c r="O62" s="830">
        <f>P62+Q62</f>
        <v>0</v>
      </c>
      <c r="P62" s="828">
        <v>0</v>
      </c>
      <c r="Q62" s="828">
        <v>0</v>
      </c>
      <c r="R62" s="830">
        <f>S62+T62</f>
        <v>0</v>
      </c>
      <c r="S62" s="828">
        <v>0</v>
      </c>
      <c r="T62" s="828">
        <v>0</v>
      </c>
      <c r="U62" s="830">
        <f>V62+W62</f>
        <v>269354</v>
      </c>
      <c r="V62" s="828">
        <v>0</v>
      </c>
      <c r="W62" s="828">
        <v>269354</v>
      </c>
    </row>
    <row r="63" spans="1:23" s="426" customFormat="1" ht="17.25" customHeight="1" hidden="1">
      <c r="A63" s="831"/>
      <c r="B63" s="832"/>
      <c r="C63" s="834"/>
      <c r="D63" s="862"/>
      <c r="E63" s="831"/>
      <c r="F63" s="831"/>
      <c r="G63" s="832"/>
      <c r="H63" s="425">
        <v>3134252</v>
      </c>
      <c r="I63" s="425">
        <v>1607913</v>
      </c>
      <c r="J63" s="830"/>
      <c r="K63" s="830"/>
      <c r="L63" s="828"/>
      <c r="M63" s="828"/>
      <c r="N63" s="830"/>
      <c r="O63" s="830"/>
      <c r="P63" s="828"/>
      <c r="Q63" s="828"/>
      <c r="R63" s="830"/>
      <c r="S63" s="828"/>
      <c r="T63" s="828"/>
      <c r="U63" s="830"/>
      <c r="V63" s="828"/>
      <c r="W63" s="828"/>
    </row>
    <row r="64" spans="1:23" s="426" customFormat="1" ht="17.25" customHeight="1" hidden="1">
      <c r="A64" s="831"/>
      <c r="B64" s="832"/>
      <c r="C64" s="834"/>
      <c r="D64" s="862"/>
      <c r="E64" s="831"/>
      <c r="F64" s="831"/>
      <c r="G64" s="832"/>
      <c r="H64" s="425">
        <v>0</v>
      </c>
      <c r="I64" s="425">
        <v>0</v>
      </c>
      <c r="J64" s="427">
        <f>K64+N64</f>
        <v>0</v>
      </c>
      <c r="K64" s="427">
        <f>L64+M64</f>
        <v>0</v>
      </c>
      <c r="L64" s="428">
        <v>0</v>
      </c>
      <c r="M64" s="428">
        <v>0</v>
      </c>
      <c r="N64" s="427">
        <f>O64+R64+U64</f>
        <v>0</v>
      </c>
      <c r="O64" s="427">
        <f>P64+Q64</f>
        <v>0</v>
      </c>
      <c r="P64" s="428">
        <v>0</v>
      </c>
      <c r="Q64" s="428">
        <v>0</v>
      </c>
      <c r="R64" s="427">
        <f>S64+T64</f>
        <v>0</v>
      </c>
      <c r="S64" s="428">
        <v>0</v>
      </c>
      <c r="T64" s="428">
        <v>0</v>
      </c>
      <c r="U64" s="427">
        <f>V64+W64</f>
        <v>0</v>
      </c>
      <c r="V64" s="428">
        <v>0</v>
      </c>
      <c r="W64" s="428">
        <v>0</v>
      </c>
    </row>
    <row r="65" spans="1:23" s="426" customFormat="1" ht="17.25" customHeight="1" hidden="1">
      <c r="A65" s="831"/>
      <c r="B65" s="832"/>
      <c r="C65" s="834"/>
      <c r="D65" s="862"/>
      <c r="E65" s="831"/>
      <c r="F65" s="831"/>
      <c r="G65" s="832"/>
      <c r="H65" s="425">
        <v>0</v>
      </c>
      <c r="I65" s="425">
        <v>0</v>
      </c>
      <c r="J65" s="830">
        <f aca="true" t="shared" si="9" ref="J65:W65">J62+J64</f>
        <v>1795693</v>
      </c>
      <c r="K65" s="830">
        <f t="shared" si="9"/>
        <v>1526339</v>
      </c>
      <c r="L65" s="828">
        <f t="shared" si="9"/>
        <v>0</v>
      </c>
      <c r="M65" s="828">
        <f t="shared" si="9"/>
        <v>1526339</v>
      </c>
      <c r="N65" s="830">
        <f t="shared" si="9"/>
        <v>269354</v>
      </c>
      <c r="O65" s="830">
        <f t="shared" si="9"/>
        <v>0</v>
      </c>
      <c r="P65" s="828">
        <f t="shared" si="9"/>
        <v>0</v>
      </c>
      <c r="Q65" s="828">
        <f t="shared" si="9"/>
        <v>0</v>
      </c>
      <c r="R65" s="830">
        <f t="shared" si="9"/>
        <v>0</v>
      </c>
      <c r="S65" s="828">
        <f t="shared" si="9"/>
        <v>0</v>
      </c>
      <c r="T65" s="828">
        <f t="shared" si="9"/>
        <v>0</v>
      </c>
      <c r="U65" s="830">
        <f t="shared" si="9"/>
        <v>269354</v>
      </c>
      <c r="V65" s="828">
        <f t="shared" si="9"/>
        <v>0</v>
      </c>
      <c r="W65" s="828">
        <f t="shared" si="9"/>
        <v>269354</v>
      </c>
    </row>
    <row r="66" spans="1:23" s="426" customFormat="1" ht="17.25" customHeight="1" hidden="1">
      <c r="A66" s="831"/>
      <c r="B66" s="832"/>
      <c r="C66" s="834"/>
      <c r="D66" s="862"/>
      <c r="E66" s="831"/>
      <c r="F66" s="831"/>
      <c r="G66" s="832"/>
      <c r="H66" s="425">
        <v>553104</v>
      </c>
      <c r="I66" s="425">
        <v>283750</v>
      </c>
      <c r="J66" s="830"/>
      <c r="K66" s="830"/>
      <c r="L66" s="828"/>
      <c r="M66" s="828"/>
      <c r="N66" s="830"/>
      <c r="O66" s="830"/>
      <c r="P66" s="828"/>
      <c r="Q66" s="828"/>
      <c r="R66" s="830"/>
      <c r="S66" s="828"/>
      <c r="T66" s="828"/>
      <c r="U66" s="830"/>
      <c r="V66" s="828"/>
      <c r="W66" s="828"/>
    </row>
    <row r="67" spans="1:23" s="426" customFormat="1" ht="17.25" customHeight="1" hidden="1">
      <c r="A67" s="831">
        <v>11</v>
      </c>
      <c r="B67" s="839" t="s">
        <v>626</v>
      </c>
      <c r="C67" s="845" t="s">
        <v>621</v>
      </c>
      <c r="D67" s="859" t="s">
        <v>627</v>
      </c>
      <c r="E67" s="831" t="s">
        <v>598</v>
      </c>
      <c r="F67" s="836" t="s">
        <v>628</v>
      </c>
      <c r="G67" s="839" t="s">
        <v>625</v>
      </c>
      <c r="H67" s="425">
        <f>H68+H69+H70+H71</f>
        <v>1232143</v>
      </c>
      <c r="I67" s="425">
        <f>I68+I69+I70+I71</f>
        <v>358600</v>
      </c>
      <c r="J67" s="830">
        <f>K67+N67</f>
        <v>873543</v>
      </c>
      <c r="K67" s="830">
        <f>L67+M67</f>
        <v>0</v>
      </c>
      <c r="L67" s="828">
        <v>0</v>
      </c>
      <c r="M67" s="828">
        <v>0</v>
      </c>
      <c r="N67" s="830">
        <f>O67+R67+U67</f>
        <v>873543</v>
      </c>
      <c r="O67" s="830">
        <f>P67+Q67</f>
        <v>0</v>
      </c>
      <c r="P67" s="828">
        <v>0</v>
      </c>
      <c r="Q67" s="828">
        <v>0</v>
      </c>
      <c r="R67" s="830">
        <f>S67+T67</f>
        <v>873543</v>
      </c>
      <c r="S67" s="828">
        <v>0</v>
      </c>
      <c r="T67" s="828">
        <v>873543</v>
      </c>
      <c r="U67" s="830">
        <f>V67+W67</f>
        <v>0</v>
      </c>
      <c r="V67" s="828">
        <v>0</v>
      </c>
      <c r="W67" s="828">
        <v>0</v>
      </c>
    </row>
    <row r="68" spans="1:23" s="426" customFormat="1" ht="17.25" customHeight="1" hidden="1">
      <c r="A68" s="831"/>
      <c r="B68" s="840"/>
      <c r="C68" s="846"/>
      <c r="D68" s="860"/>
      <c r="E68" s="831"/>
      <c r="F68" s="837"/>
      <c r="G68" s="840"/>
      <c r="H68" s="425">
        <v>0</v>
      </c>
      <c r="I68" s="425">
        <v>0</v>
      </c>
      <c r="J68" s="830"/>
      <c r="K68" s="830"/>
      <c r="L68" s="828"/>
      <c r="M68" s="828"/>
      <c r="N68" s="830"/>
      <c r="O68" s="830"/>
      <c r="P68" s="828"/>
      <c r="Q68" s="828"/>
      <c r="R68" s="830"/>
      <c r="S68" s="828"/>
      <c r="T68" s="828"/>
      <c r="U68" s="830"/>
      <c r="V68" s="828"/>
      <c r="W68" s="828"/>
    </row>
    <row r="69" spans="1:23" s="426" customFormat="1" ht="17.25" customHeight="1" hidden="1">
      <c r="A69" s="831"/>
      <c r="B69" s="840"/>
      <c r="C69" s="846"/>
      <c r="D69" s="860"/>
      <c r="E69" s="831"/>
      <c r="F69" s="837"/>
      <c r="G69" s="840"/>
      <c r="H69" s="425">
        <v>0</v>
      </c>
      <c r="I69" s="425">
        <v>0</v>
      </c>
      <c r="J69" s="427">
        <f>K69+N69</f>
        <v>0</v>
      </c>
      <c r="K69" s="427">
        <f>L69+M69</f>
        <v>0</v>
      </c>
      <c r="L69" s="428">
        <v>0</v>
      </c>
      <c r="M69" s="428">
        <v>0</v>
      </c>
      <c r="N69" s="427">
        <f>O69+R69+U69</f>
        <v>0</v>
      </c>
      <c r="O69" s="427">
        <f>P69+Q69</f>
        <v>0</v>
      </c>
      <c r="P69" s="428">
        <v>0</v>
      </c>
      <c r="Q69" s="428">
        <v>0</v>
      </c>
      <c r="R69" s="427">
        <f>S69+T69</f>
        <v>0</v>
      </c>
      <c r="S69" s="428">
        <v>0</v>
      </c>
      <c r="T69" s="428">
        <v>0</v>
      </c>
      <c r="U69" s="427">
        <f>V69+W69</f>
        <v>0</v>
      </c>
      <c r="V69" s="428">
        <v>0</v>
      </c>
      <c r="W69" s="428">
        <v>0</v>
      </c>
    </row>
    <row r="70" spans="1:23" s="426" customFormat="1" ht="17.25" customHeight="1" hidden="1">
      <c r="A70" s="831"/>
      <c r="B70" s="840"/>
      <c r="C70" s="846"/>
      <c r="D70" s="860"/>
      <c r="E70" s="831"/>
      <c r="F70" s="837"/>
      <c r="G70" s="840"/>
      <c r="H70" s="425">
        <v>1232143</v>
      </c>
      <c r="I70" s="425">
        <v>358600</v>
      </c>
      <c r="J70" s="830">
        <f aca="true" t="shared" si="10" ref="J70:W70">J67+J69</f>
        <v>873543</v>
      </c>
      <c r="K70" s="830">
        <f t="shared" si="10"/>
        <v>0</v>
      </c>
      <c r="L70" s="828">
        <f t="shared" si="10"/>
        <v>0</v>
      </c>
      <c r="M70" s="828">
        <f t="shared" si="10"/>
        <v>0</v>
      </c>
      <c r="N70" s="830">
        <f t="shared" si="10"/>
        <v>873543</v>
      </c>
      <c r="O70" s="830">
        <f t="shared" si="10"/>
        <v>0</v>
      </c>
      <c r="P70" s="828">
        <f t="shared" si="10"/>
        <v>0</v>
      </c>
      <c r="Q70" s="828">
        <f t="shared" si="10"/>
        <v>0</v>
      </c>
      <c r="R70" s="830">
        <f t="shared" si="10"/>
        <v>873543</v>
      </c>
      <c r="S70" s="828">
        <f t="shared" si="10"/>
        <v>0</v>
      </c>
      <c r="T70" s="828">
        <f t="shared" si="10"/>
        <v>873543</v>
      </c>
      <c r="U70" s="830">
        <f t="shared" si="10"/>
        <v>0</v>
      </c>
      <c r="V70" s="828">
        <f t="shared" si="10"/>
        <v>0</v>
      </c>
      <c r="W70" s="828">
        <f t="shared" si="10"/>
        <v>0</v>
      </c>
    </row>
    <row r="71" spans="1:23" s="426" customFormat="1" ht="17.25" customHeight="1" hidden="1">
      <c r="A71" s="831"/>
      <c r="B71" s="841"/>
      <c r="C71" s="847"/>
      <c r="D71" s="861"/>
      <c r="E71" s="831"/>
      <c r="F71" s="838"/>
      <c r="G71" s="841"/>
      <c r="H71" s="425">
        <v>0</v>
      </c>
      <c r="I71" s="425">
        <v>0</v>
      </c>
      <c r="J71" s="830"/>
      <c r="K71" s="830"/>
      <c r="L71" s="828"/>
      <c r="M71" s="828"/>
      <c r="N71" s="830"/>
      <c r="O71" s="830"/>
      <c r="P71" s="828"/>
      <c r="Q71" s="828"/>
      <c r="R71" s="830"/>
      <c r="S71" s="828"/>
      <c r="T71" s="828"/>
      <c r="U71" s="830"/>
      <c r="V71" s="828"/>
      <c r="W71" s="828"/>
    </row>
    <row r="72" spans="1:23" s="426" customFormat="1" ht="17.25" customHeight="1" hidden="1">
      <c r="A72" s="831">
        <v>12</v>
      </c>
      <c r="B72" s="839" t="s">
        <v>626</v>
      </c>
      <c r="C72" s="845" t="s">
        <v>621</v>
      </c>
      <c r="D72" s="859" t="s">
        <v>629</v>
      </c>
      <c r="E72" s="831" t="s">
        <v>598</v>
      </c>
      <c r="F72" s="836" t="s">
        <v>628</v>
      </c>
      <c r="G72" s="839" t="s">
        <v>630</v>
      </c>
      <c r="H72" s="425">
        <f>H73+H74+H75+H76</f>
        <v>2098415</v>
      </c>
      <c r="I72" s="425">
        <f>I73+I74+I75+I76</f>
        <v>215634</v>
      </c>
      <c r="J72" s="830">
        <f>K72+N72</f>
        <v>1126265</v>
      </c>
      <c r="K72" s="830">
        <f>L72+M72</f>
        <v>0</v>
      </c>
      <c r="L72" s="828">
        <v>0</v>
      </c>
      <c r="M72" s="828">
        <v>0</v>
      </c>
      <c r="N72" s="830">
        <f>O72+R72+U72</f>
        <v>1126265</v>
      </c>
      <c r="O72" s="830">
        <f>P72+Q72</f>
        <v>0</v>
      </c>
      <c r="P72" s="828">
        <v>0</v>
      </c>
      <c r="Q72" s="828">
        <v>0</v>
      </c>
      <c r="R72" s="830">
        <f>S72+T72</f>
        <v>1126265</v>
      </c>
      <c r="S72" s="828">
        <v>0</v>
      </c>
      <c r="T72" s="828">
        <v>1126265</v>
      </c>
      <c r="U72" s="830">
        <f>V72+W72</f>
        <v>0</v>
      </c>
      <c r="V72" s="828">
        <v>0</v>
      </c>
      <c r="W72" s="828">
        <v>0</v>
      </c>
    </row>
    <row r="73" spans="1:23" s="426" customFormat="1" ht="15.75" customHeight="1" hidden="1">
      <c r="A73" s="831"/>
      <c r="B73" s="840"/>
      <c r="C73" s="846"/>
      <c r="D73" s="860"/>
      <c r="E73" s="831"/>
      <c r="F73" s="837"/>
      <c r="G73" s="840"/>
      <c r="H73" s="425">
        <v>0</v>
      </c>
      <c r="I73" s="425">
        <v>0</v>
      </c>
      <c r="J73" s="830"/>
      <c r="K73" s="830"/>
      <c r="L73" s="828"/>
      <c r="M73" s="828"/>
      <c r="N73" s="830"/>
      <c r="O73" s="830"/>
      <c r="P73" s="828"/>
      <c r="Q73" s="828"/>
      <c r="R73" s="830"/>
      <c r="S73" s="828"/>
      <c r="T73" s="828"/>
      <c r="U73" s="830"/>
      <c r="V73" s="828"/>
      <c r="W73" s="828"/>
    </row>
    <row r="74" spans="1:23" s="426" customFormat="1" ht="15.75" customHeight="1" hidden="1">
      <c r="A74" s="831"/>
      <c r="B74" s="840"/>
      <c r="C74" s="846"/>
      <c r="D74" s="860"/>
      <c r="E74" s="831"/>
      <c r="F74" s="837"/>
      <c r="G74" s="840"/>
      <c r="H74" s="425">
        <v>0</v>
      </c>
      <c r="I74" s="425">
        <v>0</v>
      </c>
      <c r="J74" s="427">
        <f>K74+N74</f>
        <v>0</v>
      </c>
      <c r="K74" s="427">
        <f>L74+M74</f>
        <v>0</v>
      </c>
      <c r="L74" s="428">
        <v>0</v>
      </c>
      <c r="M74" s="428">
        <v>0</v>
      </c>
      <c r="N74" s="427">
        <f>O74+R74+U74</f>
        <v>0</v>
      </c>
      <c r="O74" s="427">
        <f>P74+Q74</f>
        <v>0</v>
      </c>
      <c r="P74" s="428">
        <v>0</v>
      </c>
      <c r="Q74" s="428">
        <v>0</v>
      </c>
      <c r="R74" s="427">
        <f>S74+T74</f>
        <v>0</v>
      </c>
      <c r="S74" s="428">
        <v>0</v>
      </c>
      <c r="T74" s="428">
        <v>0</v>
      </c>
      <c r="U74" s="427">
        <f>V74+W74</f>
        <v>0</v>
      </c>
      <c r="V74" s="428">
        <v>0</v>
      </c>
      <c r="W74" s="428">
        <v>0</v>
      </c>
    </row>
    <row r="75" spans="1:23" s="426" customFormat="1" ht="15.75" customHeight="1" hidden="1">
      <c r="A75" s="831"/>
      <c r="B75" s="840"/>
      <c r="C75" s="846"/>
      <c r="D75" s="860"/>
      <c r="E75" s="831"/>
      <c r="F75" s="837"/>
      <c r="G75" s="840"/>
      <c r="H75" s="425">
        <v>2098415</v>
      </c>
      <c r="I75" s="425">
        <v>215634</v>
      </c>
      <c r="J75" s="830">
        <f aca="true" t="shared" si="11" ref="J75:W75">J72+J74</f>
        <v>1126265</v>
      </c>
      <c r="K75" s="830">
        <f t="shared" si="11"/>
        <v>0</v>
      </c>
      <c r="L75" s="828">
        <f t="shared" si="11"/>
        <v>0</v>
      </c>
      <c r="M75" s="828">
        <f t="shared" si="11"/>
        <v>0</v>
      </c>
      <c r="N75" s="830">
        <f t="shared" si="11"/>
        <v>1126265</v>
      </c>
      <c r="O75" s="830">
        <f t="shared" si="11"/>
        <v>0</v>
      </c>
      <c r="P75" s="828">
        <f t="shared" si="11"/>
        <v>0</v>
      </c>
      <c r="Q75" s="828">
        <f t="shared" si="11"/>
        <v>0</v>
      </c>
      <c r="R75" s="830">
        <f t="shared" si="11"/>
        <v>1126265</v>
      </c>
      <c r="S75" s="828">
        <f t="shared" si="11"/>
        <v>0</v>
      </c>
      <c r="T75" s="828">
        <f t="shared" si="11"/>
        <v>1126265</v>
      </c>
      <c r="U75" s="830">
        <f t="shared" si="11"/>
        <v>0</v>
      </c>
      <c r="V75" s="828">
        <f t="shared" si="11"/>
        <v>0</v>
      </c>
      <c r="W75" s="828">
        <f t="shared" si="11"/>
        <v>0</v>
      </c>
    </row>
    <row r="76" spans="1:23" s="426" customFormat="1" ht="15.75" customHeight="1" hidden="1">
      <c r="A76" s="831"/>
      <c r="B76" s="841"/>
      <c r="C76" s="847"/>
      <c r="D76" s="861"/>
      <c r="E76" s="831"/>
      <c r="F76" s="838"/>
      <c r="G76" s="841"/>
      <c r="H76" s="425">
        <v>0</v>
      </c>
      <c r="I76" s="425">
        <v>0</v>
      </c>
      <c r="J76" s="830"/>
      <c r="K76" s="830"/>
      <c r="L76" s="828"/>
      <c r="M76" s="828"/>
      <c r="N76" s="830"/>
      <c r="O76" s="830"/>
      <c r="P76" s="828"/>
      <c r="Q76" s="828"/>
      <c r="R76" s="830"/>
      <c r="S76" s="828"/>
      <c r="T76" s="828"/>
      <c r="U76" s="830"/>
      <c r="V76" s="828"/>
      <c r="W76" s="828"/>
    </row>
    <row r="77" spans="1:23" s="426" customFormat="1" ht="15.75" customHeight="1" hidden="1">
      <c r="A77" s="831">
        <v>13</v>
      </c>
      <c r="B77" s="839" t="s">
        <v>626</v>
      </c>
      <c r="C77" s="845" t="s">
        <v>621</v>
      </c>
      <c r="D77" s="859" t="s">
        <v>631</v>
      </c>
      <c r="E77" s="831" t="s">
        <v>623</v>
      </c>
      <c r="F77" s="836" t="s">
        <v>628</v>
      </c>
      <c r="G77" s="839" t="s">
        <v>613</v>
      </c>
      <c r="H77" s="425">
        <f>H78+H79+H80+H81</f>
        <v>10406058</v>
      </c>
      <c r="I77" s="425">
        <f>I78+I79+I80+I81</f>
        <v>764772</v>
      </c>
      <c r="J77" s="830">
        <f>K77+N77</f>
        <v>6532240</v>
      </c>
      <c r="K77" s="830">
        <f>L77+M77</f>
        <v>1985376</v>
      </c>
      <c r="L77" s="828">
        <v>66015</v>
      </c>
      <c r="M77" s="828">
        <v>1919361</v>
      </c>
      <c r="N77" s="830">
        <f>O77+R77+U77</f>
        <v>4546864</v>
      </c>
      <c r="O77" s="830">
        <f>P77+Q77</f>
        <v>0</v>
      </c>
      <c r="P77" s="828">
        <v>0</v>
      </c>
      <c r="Q77" s="828">
        <v>0</v>
      </c>
      <c r="R77" s="830">
        <f>S77+T77</f>
        <v>1023629</v>
      </c>
      <c r="S77" s="828">
        <v>91093</v>
      </c>
      <c r="T77" s="828">
        <v>932536</v>
      </c>
      <c r="U77" s="830">
        <f>V77+W77</f>
        <v>3523235</v>
      </c>
      <c r="V77" s="828">
        <v>0</v>
      </c>
      <c r="W77" s="828">
        <v>3523235</v>
      </c>
    </row>
    <row r="78" spans="1:23" s="426" customFormat="1" ht="15.75" customHeight="1" hidden="1">
      <c r="A78" s="831"/>
      <c r="B78" s="840"/>
      <c r="C78" s="846"/>
      <c r="D78" s="860"/>
      <c r="E78" s="831"/>
      <c r="F78" s="837"/>
      <c r="G78" s="840"/>
      <c r="H78" s="425">
        <v>3798257</v>
      </c>
      <c r="I78" s="425">
        <v>321349</v>
      </c>
      <c r="J78" s="830"/>
      <c r="K78" s="830"/>
      <c r="L78" s="828"/>
      <c r="M78" s="828"/>
      <c r="N78" s="830"/>
      <c r="O78" s="830"/>
      <c r="P78" s="828"/>
      <c r="Q78" s="828"/>
      <c r="R78" s="830"/>
      <c r="S78" s="828"/>
      <c r="T78" s="828"/>
      <c r="U78" s="830"/>
      <c r="V78" s="828"/>
      <c r="W78" s="828"/>
    </row>
    <row r="79" spans="1:23" s="426" customFormat="1" ht="15.75" customHeight="1" hidden="1">
      <c r="A79" s="831"/>
      <c r="B79" s="840"/>
      <c r="C79" s="846"/>
      <c r="D79" s="860"/>
      <c r="E79" s="831"/>
      <c r="F79" s="837"/>
      <c r="G79" s="840"/>
      <c r="H79" s="425">
        <v>0</v>
      </c>
      <c r="I79" s="425">
        <v>0</v>
      </c>
      <c r="J79" s="427">
        <f>K79+N79</f>
        <v>0</v>
      </c>
      <c r="K79" s="427">
        <f>L79+M79</f>
        <v>0</v>
      </c>
      <c r="L79" s="428">
        <v>0</v>
      </c>
      <c r="M79" s="428">
        <v>0</v>
      </c>
      <c r="N79" s="427">
        <f>O79+R79+U79</f>
        <v>0</v>
      </c>
      <c r="O79" s="427">
        <f>P79+Q79</f>
        <v>0</v>
      </c>
      <c r="P79" s="428">
        <v>0</v>
      </c>
      <c r="Q79" s="428">
        <v>0</v>
      </c>
      <c r="R79" s="427">
        <f>S79+T79</f>
        <v>0</v>
      </c>
      <c r="S79" s="428">
        <v>0</v>
      </c>
      <c r="T79" s="428">
        <v>0</v>
      </c>
      <c r="U79" s="427">
        <f>V79+W79</f>
        <v>0</v>
      </c>
      <c r="V79" s="428">
        <v>0</v>
      </c>
      <c r="W79" s="428">
        <v>0</v>
      </c>
    </row>
    <row r="80" spans="1:23" s="426" customFormat="1" ht="15.75" customHeight="1" hidden="1">
      <c r="A80" s="831"/>
      <c r="B80" s="840"/>
      <c r="C80" s="846"/>
      <c r="D80" s="860"/>
      <c r="E80" s="831"/>
      <c r="F80" s="837"/>
      <c r="G80" s="840"/>
      <c r="H80" s="425">
        <v>2532389</v>
      </c>
      <c r="I80" s="425">
        <v>204055</v>
      </c>
      <c r="J80" s="830">
        <f aca="true" t="shared" si="12" ref="J80:W80">J77+J79</f>
        <v>6532240</v>
      </c>
      <c r="K80" s="830">
        <f t="shared" si="12"/>
        <v>1985376</v>
      </c>
      <c r="L80" s="828">
        <f t="shared" si="12"/>
        <v>66015</v>
      </c>
      <c r="M80" s="828">
        <f t="shared" si="12"/>
        <v>1919361</v>
      </c>
      <c r="N80" s="830">
        <f t="shared" si="12"/>
        <v>4546864</v>
      </c>
      <c r="O80" s="830">
        <f t="shared" si="12"/>
        <v>0</v>
      </c>
      <c r="P80" s="828">
        <f t="shared" si="12"/>
        <v>0</v>
      </c>
      <c r="Q80" s="828">
        <f t="shared" si="12"/>
        <v>0</v>
      </c>
      <c r="R80" s="830">
        <f t="shared" si="12"/>
        <v>1023629</v>
      </c>
      <c r="S80" s="828">
        <f t="shared" si="12"/>
        <v>91093</v>
      </c>
      <c r="T80" s="828">
        <f t="shared" si="12"/>
        <v>932536</v>
      </c>
      <c r="U80" s="830">
        <f t="shared" si="12"/>
        <v>3523235</v>
      </c>
      <c r="V80" s="828">
        <f t="shared" si="12"/>
        <v>0</v>
      </c>
      <c r="W80" s="828">
        <f t="shared" si="12"/>
        <v>3523235</v>
      </c>
    </row>
    <row r="81" spans="1:23" s="426" customFormat="1" ht="15.75" customHeight="1" hidden="1">
      <c r="A81" s="831"/>
      <c r="B81" s="841"/>
      <c r="C81" s="847"/>
      <c r="D81" s="861"/>
      <c r="E81" s="831"/>
      <c r="F81" s="838"/>
      <c r="G81" s="841"/>
      <c r="H81" s="425">
        <v>4075412</v>
      </c>
      <c r="I81" s="425">
        <v>239368</v>
      </c>
      <c r="J81" s="830"/>
      <c r="K81" s="830"/>
      <c r="L81" s="828"/>
      <c r="M81" s="828"/>
      <c r="N81" s="830"/>
      <c r="O81" s="830"/>
      <c r="P81" s="828"/>
      <c r="Q81" s="828"/>
      <c r="R81" s="830"/>
      <c r="S81" s="828"/>
      <c r="T81" s="828"/>
      <c r="U81" s="830"/>
      <c r="V81" s="828"/>
      <c r="W81" s="828"/>
    </row>
    <row r="82" spans="1:23" s="426" customFormat="1" ht="15.75" customHeight="1" hidden="1">
      <c r="A82" s="831">
        <v>14</v>
      </c>
      <c r="B82" s="839" t="s">
        <v>626</v>
      </c>
      <c r="C82" s="845" t="s">
        <v>621</v>
      </c>
      <c r="D82" s="859" t="s">
        <v>632</v>
      </c>
      <c r="E82" s="831" t="s">
        <v>623</v>
      </c>
      <c r="F82" s="836" t="s">
        <v>628</v>
      </c>
      <c r="G82" s="839" t="s">
        <v>613</v>
      </c>
      <c r="H82" s="425">
        <f>H83+H84+H85+H86</f>
        <v>6216006</v>
      </c>
      <c r="I82" s="425">
        <f>I83+I84+I85+I86</f>
        <v>447880</v>
      </c>
      <c r="J82" s="830">
        <f>K82+N82</f>
        <v>4333520</v>
      </c>
      <c r="K82" s="830">
        <f>L82+M82</f>
        <v>1019711</v>
      </c>
      <c r="L82" s="828">
        <v>31105</v>
      </c>
      <c r="M82" s="828">
        <v>988606</v>
      </c>
      <c r="N82" s="830">
        <f>O82+R82+U82</f>
        <v>3313809</v>
      </c>
      <c r="O82" s="830">
        <f>P82+Q82</f>
        <v>0</v>
      </c>
      <c r="P82" s="828">
        <v>0</v>
      </c>
      <c r="Q82" s="828">
        <v>0</v>
      </c>
      <c r="R82" s="830">
        <f>S82+T82</f>
        <v>917934</v>
      </c>
      <c r="S82" s="828">
        <v>78466</v>
      </c>
      <c r="T82" s="828">
        <v>839468</v>
      </c>
      <c r="U82" s="830">
        <f>V82+W82</f>
        <v>2395875</v>
      </c>
      <c r="V82" s="828">
        <v>0</v>
      </c>
      <c r="W82" s="828">
        <v>2395875</v>
      </c>
    </row>
    <row r="83" spans="1:23" s="426" customFormat="1" ht="15.75" customHeight="1" hidden="1">
      <c r="A83" s="831"/>
      <c r="B83" s="840"/>
      <c r="C83" s="846"/>
      <c r="D83" s="860"/>
      <c r="E83" s="831"/>
      <c r="F83" s="837"/>
      <c r="G83" s="840"/>
      <c r="H83" s="425">
        <v>1939207</v>
      </c>
      <c r="I83" s="425">
        <v>127143</v>
      </c>
      <c r="J83" s="830"/>
      <c r="K83" s="830"/>
      <c r="L83" s="828"/>
      <c r="M83" s="828"/>
      <c r="N83" s="830"/>
      <c r="O83" s="830"/>
      <c r="P83" s="828"/>
      <c r="Q83" s="828"/>
      <c r="R83" s="830"/>
      <c r="S83" s="828"/>
      <c r="T83" s="828"/>
      <c r="U83" s="830"/>
      <c r="V83" s="828"/>
      <c r="W83" s="828"/>
    </row>
    <row r="84" spans="1:23" s="426" customFormat="1" ht="15.75" customHeight="1" hidden="1">
      <c r="A84" s="831"/>
      <c r="B84" s="840"/>
      <c r="C84" s="846"/>
      <c r="D84" s="860"/>
      <c r="E84" s="831"/>
      <c r="F84" s="837"/>
      <c r="G84" s="840"/>
      <c r="H84" s="425">
        <v>0</v>
      </c>
      <c r="I84" s="425">
        <v>0</v>
      </c>
      <c r="J84" s="427">
        <f>K84+N84</f>
        <v>0</v>
      </c>
      <c r="K84" s="427">
        <f>L84+M84</f>
        <v>0</v>
      </c>
      <c r="L84" s="428">
        <v>0</v>
      </c>
      <c r="M84" s="428">
        <v>0</v>
      </c>
      <c r="N84" s="427">
        <f>O84+R84+U84</f>
        <v>0</v>
      </c>
      <c r="O84" s="427">
        <f>P84+Q84</f>
        <v>0</v>
      </c>
      <c r="P84" s="428">
        <v>0</v>
      </c>
      <c r="Q84" s="428">
        <v>0</v>
      </c>
      <c r="R84" s="427">
        <f>S84+T84</f>
        <v>0</v>
      </c>
      <c r="S84" s="428">
        <v>0</v>
      </c>
      <c r="T84" s="428">
        <v>0</v>
      </c>
      <c r="U84" s="427">
        <f>V84+W84</f>
        <v>0</v>
      </c>
      <c r="V84" s="428">
        <v>0</v>
      </c>
      <c r="W84" s="428">
        <v>0</v>
      </c>
    </row>
    <row r="85" spans="1:23" s="426" customFormat="1" ht="15.75" customHeight="1" hidden="1">
      <c r="A85" s="831"/>
      <c r="B85" s="840"/>
      <c r="C85" s="846"/>
      <c r="D85" s="860"/>
      <c r="E85" s="831"/>
      <c r="F85" s="837"/>
      <c r="G85" s="840"/>
      <c r="H85" s="425">
        <v>1710720</v>
      </c>
      <c r="I85" s="425">
        <v>150533</v>
      </c>
      <c r="J85" s="830">
        <f aca="true" t="shared" si="13" ref="J85:W85">J82+J84</f>
        <v>4333520</v>
      </c>
      <c r="K85" s="830">
        <f t="shared" si="13"/>
        <v>1019711</v>
      </c>
      <c r="L85" s="828">
        <f t="shared" si="13"/>
        <v>31105</v>
      </c>
      <c r="M85" s="828">
        <f t="shared" si="13"/>
        <v>988606</v>
      </c>
      <c r="N85" s="830">
        <f t="shared" si="13"/>
        <v>3313809</v>
      </c>
      <c r="O85" s="830">
        <f t="shared" si="13"/>
        <v>0</v>
      </c>
      <c r="P85" s="828">
        <f t="shared" si="13"/>
        <v>0</v>
      </c>
      <c r="Q85" s="828">
        <f t="shared" si="13"/>
        <v>0</v>
      </c>
      <c r="R85" s="830">
        <f t="shared" si="13"/>
        <v>917934</v>
      </c>
      <c r="S85" s="828">
        <f t="shared" si="13"/>
        <v>78466</v>
      </c>
      <c r="T85" s="828">
        <f t="shared" si="13"/>
        <v>839468</v>
      </c>
      <c r="U85" s="830">
        <f t="shared" si="13"/>
        <v>2395875</v>
      </c>
      <c r="V85" s="828">
        <f t="shared" si="13"/>
        <v>0</v>
      </c>
      <c r="W85" s="828">
        <f t="shared" si="13"/>
        <v>2395875</v>
      </c>
    </row>
    <row r="86" spans="1:23" s="426" customFormat="1" ht="15.75" customHeight="1" hidden="1">
      <c r="A86" s="831"/>
      <c r="B86" s="841"/>
      <c r="C86" s="847"/>
      <c r="D86" s="861"/>
      <c r="E86" s="831"/>
      <c r="F86" s="838"/>
      <c r="G86" s="841"/>
      <c r="H86" s="425">
        <v>2566079</v>
      </c>
      <c r="I86" s="425">
        <v>170204</v>
      </c>
      <c r="J86" s="830"/>
      <c r="K86" s="830"/>
      <c r="L86" s="828"/>
      <c r="M86" s="828"/>
      <c r="N86" s="830"/>
      <c r="O86" s="830"/>
      <c r="P86" s="828"/>
      <c r="Q86" s="828"/>
      <c r="R86" s="830"/>
      <c r="S86" s="828"/>
      <c r="T86" s="828"/>
      <c r="U86" s="830"/>
      <c r="V86" s="828"/>
      <c r="W86" s="828"/>
    </row>
    <row r="87" spans="1:23" s="426" customFormat="1" ht="15.75" customHeight="1" hidden="1">
      <c r="A87" s="831">
        <v>15</v>
      </c>
      <c r="B87" s="839" t="s">
        <v>626</v>
      </c>
      <c r="C87" s="845" t="s">
        <v>621</v>
      </c>
      <c r="D87" s="859" t="s">
        <v>633</v>
      </c>
      <c r="E87" s="831" t="s">
        <v>623</v>
      </c>
      <c r="F87" s="836" t="s">
        <v>628</v>
      </c>
      <c r="G87" s="839" t="s">
        <v>613</v>
      </c>
      <c r="H87" s="425">
        <f>H88+H89+H90+H91</f>
        <v>6077984</v>
      </c>
      <c r="I87" s="425">
        <f>I88+I89+I90+I91</f>
        <v>450675</v>
      </c>
      <c r="J87" s="830">
        <f>K87+N87</f>
        <v>4261394</v>
      </c>
      <c r="K87" s="830">
        <f>L87+M87</f>
        <v>1135057</v>
      </c>
      <c r="L87" s="828">
        <v>31554</v>
      </c>
      <c r="M87" s="828">
        <v>1103503</v>
      </c>
      <c r="N87" s="830">
        <f>O87+R87+U87</f>
        <v>3126337</v>
      </c>
      <c r="O87" s="830">
        <f>P87+Q87</f>
        <v>0</v>
      </c>
      <c r="P87" s="828">
        <v>0</v>
      </c>
      <c r="Q87" s="828">
        <v>0</v>
      </c>
      <c r="R87" s="830">
        <f>S87+T87</f>
        <v>942424</v>
      </c>
      <c r="S87" s="828">
        <v>78969</v>
      </c>
      <c r="T87" s="828">
        <v>863455</v>
      </c>
      <c r="U87" s="830">
        <f>V87+W87</f>
        <v>2183913</v>
      </c>
      <c r="V87" s="828">
        <v>0</v>
      </c>
      <c r="W87" s="828">
        <v>2183913</v>
      </c>
    </row>
    <row r="88" spans="1:23" s="426" customFormat="1" ht="15.75" customHeight="1" hidden="1">
      <c r="A88" s="831"/>
      <c r="B88" s="840"/>
      <c r="C88" s="846"/>
      <c r="D88" s="860"/>
      <c r="E88" s="831"/>
      <c r="F88" s="837"/>
      <c r="G88" s="840"/>
      <c r="H88" s="425">
        <v>1908240</v>
      </c>
      <c r="I88" s="425">
        <v>128668</v>
      </c>
      <c r="J88" s="830"/>
      <c r="K88" s="830"/>
      <c r="L88" s="828"/>
      <c r="M88" s="828"/>
      <c r="N88" s="830"/>
      <c r="O88" s="830"/>
      <c r="P88" s="828"/>
      <c r="Q88" s="828"/>
      <c r="R88" s="830"/>
      <c r="S88" s="828"/>
      <c r="T88" s="828"/>
      <c r="U88" s="830"/>
      <c r="V88" s="828"/>
      <c r="W88" s="828"/>
    </row>
    <row r="89" spans="1:23" s="426" customFormat="1" ht="15.75" customHeight="1" hidden="1">
      <c r="A89" s="831"/>
      <c r="B89" s="840"/>
      <c r="C89" s="846"/>
      <c r="D89" s="860"/>
      <c r="E89" s="831"/>
      <c r="F89" s="837"/>
      <c r="G89" s="840"/>
      <c r="H89" s="425">
        <v>0</v>
      </c>
      <c r="I89" s="425">
        <v>0</v>
      </c>
      <c r="J89" s="427">
        <f>K89+N89</f>
        <v>0</v>
      </c>
      <c r="K89" s="427">
        <f>L89+M89</f>
        <v>0</v>
      </c>
      <c r="L89" s="428">
        <v>0</v>
      </c>
      <c r="M89" s="428">
        <v>0</v>
      </c>
      <c r="N89" s="427">
        <f>O89+R89+U89</f>
        <v>0</v>
      </c>
      <c r="O89" s="427">
        <f>P89+Q89</f>
        <v>0</v>
      </c>
      <c r="P89" s="428">
        <v>0</v>
      </c>
      <c r="Q89" s="428">
        <v>0</v>
      </c>
      <c r="R89" s="427">
        <f>S89+T89</f>
        <v>0</v>
      </c>
      <c r="S89" s="428">
        <v>0</v>
      </c>
      <c r="T89" s="428">
        <v>0</v>
      </c>
      <c r="U89" s="427">
        <f>V89+W89</f>
        <v>0</v>
      </c>
      <c r="V89" s="428">
        <v>0</v>
      </c>
      <c r="W89" s="428">
        <v>0</v>
      </c>
    </row>
    <row r="90" spans="1:23" s="426" customFormat="1" ht="15.75" customHeight="1" hidden="1">
      <c r="A90" s="831"/>
      <c r="B90" s="840"/>
      <c r="C90" s="846"/>
      <c r="D90" s="860"/>
      <c r="E90" s="831"/>
      <c r="F90" s="837"/>
      <c r="G90" s="840"/>
      <c r="H90" s="425">
        <v>1667898</v>
      </c>
      <c r="I90" s="425">
        <v>150974</v>
      </c>
      <c r="J90" s="830">
        <f aca="true" t="shared" si="14" ref="J90:W90">J87+J89</f>
        <v>4261394</v>
      </c>
      <c r="K90" s="830">
        <f t="shared" si="14"/>
        <v>1135057</v>
      </c>
      <c r="L90" s="828">
        <f t="shared" si="14"/>
        <v>31554</v>
      </c>
      <c r="M90" s="828">
        <f t="shared" si="14"/>
        <v>1103503</v>
      </c>
      <c r="N90" s="830">
        <f t="shared" si="14"/>
        <v>3126337</v>
      </c>
      <c r="O90" s="830">
        <f t="shared" si="14"/>
        <v>0</v>
      </c>
      <c r="P90" s="828">
        <f t="shared" si="14"/>
        <v>0</v>
      </c>
      <c r="Q90" s="828">
        <f t="shared" si="14"/>
        <v>0</v>
      </c>
      <c r="R90" s="830">
        <f t="shared" si="14"/>
        <v>942424</v>
      </c>
      <c r="S90" s="828">
        <f t="shared" si="14"/>
        <v>78969</v>
      </c>
      <c r="T90" s="828">
        <f t="shared" si="14"/>
        <v>863455</v>
      </c>
      <c r="U90" s="830">
        <f t="shared" si="14"/>
        <v>2183913</v>
      </c>
      <c r="V90" s="828">
        <f t="shared" si="14"/>
        <v>0</v>
      </c>
      <c r="W90" s="828">
        <f t="shared" si="14"/>
        <v>2183913</v>
      </c>
    </row>
    <row r="91" spans="1:23" s="426" customFormat="1" ht="15.75" customHeight="1" hidden="1">
      <c r="A91" s="831"/>
      <c r="B91" s="841"/>
      <c r="C91" s="847"/>
      <c r="D91" s="861"/>
      <c r="E91" s="831"/>
      <c r="F91" s="838"/>
      <c r="G91" s="841"/>
      <c r="H91" s="425">
        <v>2501846</v>
      </c>
      <c r="I91" s="425">
        <v>171033</v>
      </c>
      <c r="J91" s="830"/>
      <c r="K91" s="830"/>
      <c r="L91" s="828"/>
      <c r="M91" s="828"/>
      <c r="N91" s="830"/>
      <c r="O91" s="830"/>
      <c r="P91" s="828"/>
      <c r="Q91" s="828"/>
      <c r="R91" s="830"/>
      <c r="S91" s="828"/>
      <c r="T91" s="828"/>
      <c r="U91" s="830"/>
      <c r="V91" s="828"/>
      <c r="W91" s="828"/>
    </row>
    <row r="92" spans="1:23" s="426" customFormat="1" ht="15.75" customHeight="1" hidden="1">
      <c r="A92" s="831">
        <v>16</v>
      </c>
      <c r="B92" s="832" t="s">
        <v>534</v>
      </c>
      <c r="C92" s="834" t="s">
        <v>634</v>
      </c>
      <c r="D92" s="862" t="s">
        <v>635</v>
      </c>
      <c r="E92" s="831" t="s">
        <v>598</v>
      </c>
      <c r="F92" s="831" t="s">
        <v>636</v>
      </c>
      <c r="G92" s="832" t="s">
        <v>637</v>
      </c>
      <c r="H92" s="425">
        <f>H93+H94+H95+H96</f>
        <v>21216000</v>
      </c>
      <c r="I92" s="425">
        <f>I93+I94+I95+I96</f>
        <v>250000</v>
      </c>
      <c r="J92" s="830">
        <f>K92+N92</f>
        <v>13124114</v>
      </c>
      <c r="K92" s="830">
        <f>L92+M92</f>
        <v>13124114</v>
      </c>
      <c r="L92" s="828">
        <v>3266221</v>
      </c>
      <c r="M92" s="828">
        <v>9857893</v>
      </c>
      <c r="N92" s="830">
        <f>O92+R92+U92</f>
        <v>0</v>
      </c>
      <c r="O92" s="830">
        <f>P92+Q92</f>
        <v>0</v>
      </c>
      <c r="P92" s="828">
        <v>0</v>
      </c>
      <c r="Q92" s="828">
        <v>0</v>
      </c>
      <c r="R92" s="830">
        <f>S92+T92</f>
        <v>0</v>
      </c>
      <c r="S92" s="828">
        <v>0</v>
      </c>
      <c r="T92" s="828">
        <v>0</v>
      </c>
      <c r="U92" s="830">
        <f>V92+W92</f>
        <v>0</v>
      </c>
      <c r="V92" s="828">
        <v>0</v>
      </c>
      <c r="W92" s="828">
        <v>0</v>
      </c>
    </row>
    <row r="93" spans="1:23" s="426" customFormat="1" ht="15.75" customHeight="1" hidden="1">
      <c r="A93" s="831"/>
      <c r="B93" s="832"/>
      <c r="C93" s="834"/>
      <c r="D93" s="862"/>
      <c r="E93" s="831"/>
      <c r="F93" s="831"/>
      <c r="G93" s="832"/>
      <c r="H93" s="425">
        <v>21216000</v>
      </c>
      <c r="I93" s="425">
        <v>250000</v>
      </c>
      <c r="J93" s="830"/>
      <c r="K93" s="830"/>
      <c r="L93" s="828"/>
      <c r="M93" s="828"/>
      <c r="N93" s="830"/>
      <c r="O93" s="830"/>
      <c r="P93" s="828"/>
      <c r="Q93" s="828"/>
      <c r="R93" s="830"/>
      <c r="S93" s="828"/>
      <c r="T93" s="828"/>
      <c r="U93" s="830"/>
      <c r="V93" s="828"/>
      <c r="W93" s="828"/>
    </row>
    <row r="94" spans="1:23" s="426" customFormat="1" ht="15.75" customHeight="1" hidden="1">
      <c r="A94" s="831"/>
      <c r="B94" s="832"/>
      <c r="C94" s="834"/>
      <c r="D94" s="862"/>
      <c r="E94" s="831"/>
      <c r="F94" s="831"/>
      <c r="G94" s="832"/>
      <c r="H94" s="425">
        <v>0</v>
      </c>
      <c r="I94" s="425">
        <v>0</v>
      </c>
      <c r="J94" s="427">
        <f>K94+N94</f>
        <v>0</v>
      </c>
      <c r="K94" s="427">
        <f>L94+M94</f>
        <v>0</v>
      </c>
      <c r="L94" s="428">
        <v>0</v>
      </c>
      <c r="M94" s="428">
        <v>0</v>
      </c>
      <c r="N94" s="427">
        <f>O94+R94+U94</f>
        <v>0</v>
      </c>
      <c r="O94" s="427">
        <f>P94+Q94</f>
        <v>0</v>
      </c>
      <c r="P94" s="428">
        <v>0</v>
      </c>
      <c r="Q94" s="428">
        <v>0</v>
      </c>
      <c r="R94" s="427">
        <f>S94+T94</f>
        <v>0</v>
      </c>
      <c r="S94" s="428">
        <v>0</v>
      </c>
      <c r="T94" s="428">
        <v>0</v>
      </c>
      <c r="U94" s="427">
        <f>V94+W94</f>
        <v>0</v>
      </c>
      <c r="V94" s="428">
        <v>0</v>
      </c>
      <c r="W94" s="428">
        <v>0</v>
      </c>
    </row>
    <row r="95" spans="1:23" s="426" customFormat="1" ht="15.75" customHeight="1" hidden="1">
      <c r="A95" s="831"/>
      <c r="B95" s="832"/>
      <c r="C95" s="834"/>
      <c r="D95" s="862"/>
      <c r="E95" s="831"/>
      <c r="F95" s="831"/>
      <c r="G95" s="832"/>
      <c r="H95" s="425">
        <v>0</v>
      </c>
      <c r="I95" s="425">
        <v>0</v>
      </c>
      <c r="J95" s="830">
        <f aca="true" t="shared" si="15" ref="J95:W95">J92+J94</f>
        <v>13124114</v>
      </c>
      <c r="K95" s="830">
        <f t="shared" si="15"/>
        <v>13124114</v>
      </c>
      <c r="L95" s="828">
        <f t="shared" si="15"/>
        <v>3266221</v>
      </c>
      <c r="M95" s="828">
        <f t="shared" si="15"/>
        <v>9857893</v>
      </c>
      <c r="N95" s="830">
        <f t="shared" si="15"/>
        <v>0</v>
      </c>
      <c r="O95" s="830">
        <f t="shared" si="15"/>
        <v>0</v>
      </c>
      <c r="P95" s="828">
        <f t="shared" si="15"/>
        <v>0</v>
      </c>
      <c r="Q95" s="828">
        <f t="shared" si="15"/>
        <v>0</v>
      </c>
      <c r="R95" s="830">
        <f t="shared" si="15"/>
        <v>0</v>
      </c>
      <c r="S95" s="828">
        <f t="shared" si="15"/>
        <v>0</v>
      </c>
      <c r="T95" s="828">
        <f t="shared" si="15"/>
        <v>0</v>
      </c>
      <c r="U95" s="830">
        <f t="shared" si="15"/>
        <v>0</v>
      </c>
      <c r="V95" s="828">
        <f t="shared" si="15"/>
        <v>0</v>
      </c>
      <c r="W95" s="828">
        <f t="shared" si="15"/>
        <v>0</v>
      </c>
    </row>
    <row r="96" spans="1:23" s="426" customFormat="1" ht="15.75" customHeight="1" hidden="1">
      <c r="A96" s="831"/>
      <c r="B96" s="832"/>
      <c r="C96" s="834"/>
      <c r="D96" s="862"/>
      <c r="E96" s="831"/>
      <c r="F96" s="831"/>
      <c r="G96" s="832"/>
      <c r="H96" s="425">
        <v>0</v>
      </c>
      <c r="I96" s="425">
        <v>0</v>
      </c>
      <c r="J96" s="830"/>
      <c r="K96" s="830"/>
      <c r="L96" s="828"/>
      <c r="M96" s="828"/>
      <c r="N96" s="830"/>
      <c r="O96" s="830"/>
      <c r="P96" s="828"/>
      <c r="Q96" s="828"/>
      <c r="R96" s="830"/>
      <c r="S96" s="828"/>
      <c r="T96" s="828"/>
      <c r="U96" s="830"/>
      <c r="V96" s="828"/>
      <c r="W96" s="828"/>
    </row>
    <row r="97" spans="1:23" s="426" customFormat="1" ht="17.25" customHeight="1">
      <c r="A97" s="831">
        <v>5</v>
      </c>
      <c r="B97" s="832" t="s">
        <v>638</v>
      </c>
      <c r="C97" s="834" t="s">
        <v>639</v>
      </c>
      <c r="D97" s="862" t="s">
        <v>640</v>
      </c>
      <c r="E97" s="831" t="s">
        <v>598</v>
      </c>
      <c r="F97" s="831" t="s">
        <v>641</v>
      </c>
      <c r="G97" s="832" t="s">
        <v>603</v>
      </c>
      <c r="H97" s="425">
        <f>H98+H99+H100+H101</f>
        <v>4764793</v>
      </c>
      <c r="I97" s="425">
        <f>I98+I99+I100+I101</f>
        <v>4544771</v>
      </c>
      <c r="J97" s="830">
        <f>K97+N97</f>
        <v>0</v>
      </c>
      <c r="K97" s="830">
        <f>L97+M97</f>
        <v>0</v>
      </c>
      <c r="L97" s="828">
        <v>0</v>
      </c>
      <c r="M97" s="828">
        <v>0</v>
      </c>
      <c r="N97" s="830">
        <f>O97+R97+U97</f>
        <v>0</v>
      </c>
      <c r="O97" s="830">
        <f>P97+Q97</f>
        <v>0</v>
      </c>
      <c r="P97" s="828">
        <v>0</v>
      </c>
      <c r="Q97" s="828">
        <v>0</v>
      </c>
      <c r="R97" s="830">
        <f>S97+T97</f>
        <v>0</v>
      </c>
      <c r="S97" s="828">
        <v>0</v>
      </c>
      <c r="T97" s="828">
        <v>0</v>
      </c>
      <c r="U97" s="830">
        <f>V97+W97</f>
        <v>0</v>
      </c>
      <c r="V97" s="828">
        <v>0</v>
      </c>
      <c r="W97" s="828">
        <v>0</v>
      </c>
    </row>
    <row r="98" spans="1:23" s="426" customFormat="1" ht="17.25" customHeight="1">
      <c r="A98" s="831"/>
      <c r="B98" s="832"/>
      <c r="C98" s="834"/>
      <c r="D98" s="862"/>
      <c r="E98" s="831"/>
      <c r="F98" s="831"/>
      <c r="G98" s="832"/>
      <c r="H98" s="425">
        <v>4735971</v>
      </c>
      <c r="I98" s="425">
        <v>4515949</v>
      </c>
      <c r="J98" s="830"/>
      <c r="K98" s="830"/>
      <c r="L98" s="828"/>
      <c r="M98" s="828"/>
      <c r="N98" s="830"/>
      <c r="O98" s="830"/>
      <c r="P98" s="828"/>
      <c r="Q98" s="828"/>
      <c r="R98" s="830"/>
      <c r="S98" s="828"/>
      <c r="T98" s="828"/>
      <c r="U98" s="830"/>
      <c r="V98" s="828"/>
      <c r="W98" s="828"/>
    </row>
    <row r="99" spans="1:23" s="426" customFormat="1" ht="17.25" customHeight="1">
      <c r="A99" s="831"/>
      <c r="B99" s="832"/>
      <c r="C99" s="834"/>
      <c r="D99" s="862"/>
      <c r="E99" s="831"/>
      <c r="F99" s="831"/>
      <c r="G99" s="832"/>
      <c r="H99" s="425">
        <v>0</v>
      </c>
      <c r="I99" s="425">
        <v>0</v>
      </c>
      <c r="J99" s="427">
        <f>K99+N99</f>
        <v>220022</v>
      </c>
      <c r="K99" s="427">
        <f>L99+M99</f>
        <v>220022</v>
      </c>
      <c r="L99" s="428">
        <v>220022</v>
      </c>
      <c r="M99" s="428">
        <v>0</v>
      </c>
      <c r="N99" s="427">
        <f>O99+R99+U99</f>
        <v>0</v>
      </c>
      <c r="O99" s="427">
        <f>P99+Q99</f>
        <v>0</v>
      </c>
      <c r="P99" s="428">
        <v>0</v>
      </c>
      <c r="Q99" s="428">
        <v>0</v>
      </c>
      <c r="R99" s="427">
        <f>S99+T99</f>
        <v>0</v>
      </c>
      <c r="S99" s="428">
        <v>0</v>
      </c>
      <c r="T99" s="428">
        <v>0</v>
      </c>
      <c r="U99" s="427">
        <f>V99+W99</f>
        <v>0</v>
      </c>
      <c r="V99" s="428">
        <v>0</v>
      </c>
      <c r="W99" s="428">
        <v>0</v>
      </c>
    </row>
    <row r="100" spans="1:23" s="426" customFormat="1" ht="17.25" customHeight="1">
      <c r="A100" s="831"/>
      <c r="B100" s="832"/>
      <c r="C100" s="834"/>
      <c r="D100" s="862"/>
      <c r="E100" s="831"/>
      <c r="F100" s="831"/>
      <c r="G100" s="832"/>
      <c r="H100" s="425">
        <v>28822</v>
      </c>
      <c r="I100" s="425">
        <v>28822</v>
      </c>
      <c r="J100" s="830">
        <f aca="true" t="shared" si="16" ref="J100:W100">J97+J99</f>
        <v>220022</v>
      </c>
      <c r="K100" s="830">
        <f t="shared" si="16"/>
        <v>220022</v>
      </c>
      <c r="L100" s="828">
        <f t="shared" si="16"/>
        <v>220022</v>
      </c>
      <c r="M100" s="828">
        <f t="shared" si="16"/>
        <v>0</v>
      </c>
      <c r="N100" s="830">
        <f t="shared" si="16"/>
        <v>0</v>
      </c>
      <c r="O100" s="830">
        <f t="shared" si="16"/>
        <v>0</v>
      </c>
      <c r="P100" s="828">
        <f t="shared" si="16"/>
        <v>0</v>
      </c>
      <c r="Q100" s="828">
        <f t="shared" si="16"/>
        <v>0</v>
      </c>
      <c r="R100" s="830">
        <f t="shared" si="16"/>
        <v>0</v>
      </c>
      <c r="S100" s="828">
        <f t="shared" si="16"/>
        <v>0</v>
      </c>
      <c r="T100" s="828">
        <f t="shared" si="16"/>
        <v>0</v>
      </c>
      <c r="U100" s="830">
        <f t="shared" si="16"/>
        <v>0</v>
      </c>
      <c r="V100" s="828">
        <f t="shared" si="16"/>
        <v>0</v>
      </c>
      <c r="W100" s="828">
        <f t="shared" si="16"/>
        <v>0</v>
      </c>
    </row>
    <row r="101" spans="1:23" s="426" customFormat="1" ht="17.25" customHeight="1">
      <c r="A101" s="831"/>
      <c r="B101" s="832"/>
      <c r="C101" s="834"/>
      <c r="D101" s="862"/>
      <c r="E101" s="831"/>
      <c r="F101" s="831"/>
      <c r="G101" s="832"/>
      <c r="H101" s="425">
        <v>0</v>
      </c>
      <c r="I101" s="425">
        <v>0</v>
      </c>
      <c r="J101" s="830"/>
      <c r="K101" s="830"/>
      <c r="L101" s="828"/>
      <c r="M101" s="828"/>
      <c r="N101" s="830"/>
      <c r="O101" s="830"/>
      <c r="P101" s="828"/>
      <c r="Q101" s="828"/>
      <c r="R101" s="830"/>
      <c r="S101" s="828"/>
      <c r="T101" s="828"/>
      <c r="U101" s="830"/>
      <c r="V101" s="828"/>
      <c r="W101" s="828"/>
    </row>
    <row r="102" spans="1:23" s="426" customFormat="1" ht="17.25" customHeight="1">
      <c r="A102" s="831">
        <v>6</v>
      </c>
      <c r="B102" s="832" t="s">
        <v>638</v>
      </c>
      <c r="C102" s="834" t="s">
        <v>639</v>
      </c>
      <c r="D102" s="862" t="s">
        <v>642</v>
      </c>
      <c r="E102" s="831" t="s">
        <v>598</v>
      </c>
      <c r="F102" s="831" t="s">
        <v>641</v>
      </c>
      <c r="G102" s="832" t="s">
        <v>619</v>
      </c>
      <c r="H102" s="425">
        <f>H103+H104+H105+H106</f>
        <v>5389685</v>
      </c>
      <c r="I102" s="425">
        <f>I103+I104+I105+I106</f>
        <v>4582681</v>
      </c>
      <c r="J102" s="830">
        <f>K102+N102</f>
        <v>375150</v>
      </c>
      <c r="K102" s="830">
        <f>L102+M102</f>
        <v>318877</v>
      </c>
      <c r="L102" s="828">
        <v>318877</v>
      </c>
      <c r="M102" s="828">
        <v>0</v>
      </c>
      <c r="N102" s="830">
        <f>O102+R102+U102</f>
        <v>56273</v>
      </c>
      <c r="O102" s="830">
        <f>P102+Q102</f>
        <v>0</v>
      </c>
      <c r="P102" s="828">
        <v>0</v>
      </c>
      <c r="Q102" s="828">
        <v>0</v>
      </c>
      <c r="R102" s="830">
        <f>S102+T102</f>
        <v>56273</v>
      </c>
      <c r="S102" s="828">
        <v>56273</v>
      </c>
      <c r="T102" s="828">
        <v>0</v>
      </c>
      <c r="U102" s="830">
        <f>V102+W102</f>
        <v>0</v>
      </c>
      <c r="V102" s="828">
        <v>0</v>
      </c>
      <c r="W102" s="828">
        <v>0</v>
      </c>
    </row>
    <row r="103" spans="1:23" s="426" customFormat="1" ht="17.25" customHeight="1">
      <c r="A103" s="831"/>
      <c r="B103" s="832"/>
      <c r="C103" s="834"/>
      <c r="D103" s="862"/>
      <c r="E103" s="831"/>
      <c r="F103" s="831"/>
      <c r="G103" s="832"/>
      <c r="H103" s="425">
        <v>5318232</v>
      </c>
      <c r="I103" s="425">
        <v>4571274</v>
      </c>
      <c r="J103" s="830"/>
      <c r="K103" s="830"/>
      <c r="L103" s="828"/>
      <c r="M103" s="828"/>
      <c r="N103" s="830"/>
      <c r="O103" s="830"/>
      <c r="P103" s="828"/>
      <c r="Q103" s="828"/>
      <c r="R103" s="830"/>
      <c r="S103" s="828"/>
      <c r="T103" s="828"/>
      <c r="U103" s="830"/>
      <c r="V103" s="828"/>
      <c r="W103" s="828"/>
    </row>
    <row r="104" spans="1:23" s="426" customFormat="1" ht="17.25" customHeight="1">
      <c r="A104" s="831"/>
      <c r="B104" s="832"/>
      <c r="C104" s="834"/>
      <c r="D104" s="862"/>
      <c r="E104" s="831"/>
      <c r="F104" s="831"/>
      <c r="G104" s="832"/>
      <c r="H104" s="425">
        <v>0</v>
      </c>
      <c r="I104" s="425">
        <v>0</v>
      </c>
      <c r="J104" s="427">
        <f>K104+N104</f>
        <v>431854</v>
      </c>
      <c r="K104" s="427">
        <f>L104+M104</f>
        <v>428081</v>
      </c>
      <c r="L104" s="428">
        <v>428081</v>
      </c>
      <c r="M104" s="428">
        <v>0</v>
      </c>
      <c r="N104" s="427">
        <f>O104+R104+U104</f>
        <v>3773</v>
      </c>
      <c r="O104" s="427">
        <f>P104+Q104</f>
        <v>0</v>
      </c>
      <c r="P104" s="428">
        <v>0</v>
      </c>
      <c r="Q104" s="428">
        <v>0</v>
      </c>
      <c r="R104" s="427">
        <f>S104+T104</f>
        <v>3773</v>
      </c>
      <c r="S104" s="428">
        <v>3773</v>
      </c>
      <c r="T104" s="428">
        <v>0</v>
      </c>
      <c r="U104" s="427">
        <f>V104+W104</f>
        <v>0</v>
      </c>
      <c r="V104" s="428">
        <v>0</v>
      </c>
      <c r="W104" s="428">
        <v>0</v>
      </c>
    </row>
    <row r="105" spans="1:23" s="426" customFormat="1" ht="17.25" customHeight="1">
      <c r="A105" s="831"/>
      <c r="B105" s="832"/>
      <c r="C105" s="834"/>
      <c r="D105" s="862"/>
      <c r="E105" s="831"/>
      <c r="F105" s="831"/>
      <c r="G105" s="832"/>
      <c r="H105" s="425">
        <v>71453</v>
      </c>
      <c r="I105" s="425">
        <v>11407</v>
      </c>
      <c r="J105" s="830">
        <f aca="true" t="shared" si="17" ref="J105:W105">J102+J104</f>
        <v>807004</v>
      </c>
      <c r="K105" s="830">
        <f t="shared" si="17"/>
        <v>746958</v>
      </c>
      <c r="L105" s="828">
        <f t="shared" si="17"/>
        <v>746958</v>
      </c>
      <c r="M105" s="828">
        <f t="shared" si="17"/>
        <v>0</v>
      </c>
      <c r="N105" s="830">
        <f t="shared" si="17"/>
        <v>60046</v>
      </c>
      <c r="O105" s="830">
        <f t="shared" si="17"/>
        <v>0</v>
      </c>
      <c r="P105" s="828">
        <f t="shared" si="17"/>
        <v>0</v>
      </c>
      <c r="Q105" s="828">
        <f t="shared" si="17"/>
        <v>0</v>
      </c>
      <c r="R105" s="830">
        <f t="shared" si="17"/>
        <v>60046</v>
      </c>
      <c r="S105" s="828">
        <f t="shared" si="17"/>
        <v>60046</v>
      </c>
      <c r="T105" s="828">
        <f t="shared" si="17"/>
        <v>0</v>
      </c>
      <c r="U105" s="830">
        <f t="shared" si="17"/>
        <v>0</v>
      </c>
      <c r="V105" s="828">
        <f t="shared" si="17"/>
        <v>0</v>
      </c>
      <c r="W105" s="828">
        <f t="shared" si="17"/>
        <v>0</v>
      </c>
    </row>
    <row r="106" spans="1:23" s="426" customFormat="1" ht="17.25" customHeight="1">
      <c r="A106" s="831"/>
      <c r="B106" s="832"/>
      <c r="C106" s="834"/>
      <c r="D106" s="862"/>
      <c r="E106" s="831"/>
      <c r="F106" s="831"/>
      <c r="G106" s="832"/>
      <c r="H106" s="425">
        <v>0</v>
      </c>
      <c r="I106" s="425">
        <v>0</v>
      </c>
      <c r="J106" s="830"/>
      <c r="K106" s="830"/>
      <c r="L106" s="828"/>
      <c r="M106" s="828"/>
      <c r="N106" s="830"/>
      <c r="O106" s="830"/>
      <c r="P106" s="828"/>
      <c r="Q106" s="828"/>
      <c r="R106" s="830"/>
      <c r="S106" s="828"/>
      <c r="T106" s="828"/>
      <c r="U106" s="830"/>
      <c r="V106" s="828"/>
      <c r="W106" s="828"/>
    </row>
    <row r="107" spans="1:23" s="426" customFormat="1" ht="15.75" customHeight="1" hidden="1">
      <c r="A107" s="831">
        <v>2</v>
      </c>
      <c r="B107" s="832" t="s">
        <v>638</v>
      </c>
      <c r="C107" s="834" t="s">
        <v>643</v>
      </c>
      <c r="D107" s="862" t="s">
        <v>644</v>
      </c>
      <c r="E107" s="831" t="s">
        <v>598</v>
      </c>
      <c r="F107" s="831" t="s">
        <v>645</v>
      </c>
      <c r="G107" s="832" t="s">
        <v>619</v>
      </c>
      <c r="H107" s="425">
        <f>H108+H109+H110+H111</f>
        <v>19343308</v>
      </c>
      <c r="I107" s="425">
        <f>I108+I109+I110+I111</f>
        <v>14008881</v>
      </c>
      <c r="J107" s="830">
        <f>K107+N107</f>
        <v>5334427</v>
      </c>
      <c r="K107" s="830">
        <f>L107+M107</f>
        <v>4434967</v>
      </c>
      <c r="L107" s="828">
        <v>4434967</v>
      </c>
      <c r="M107" s="828">
        <v>0</v>
      </c>
      <c r="N107" s="830">
        <f>O107+R107+U107</f>
        <v>899460</v>
      </c>
      <c r="O107" s="830">
        <f>P107+Q107</f>
        <v>730305</v>
      </c>
      <c r="P107" s="828">
        <v>730305</v>
      </c>
      <c r="Q107" s="828">
        <v>0</v>
      </c>
      <c r="R107" s="830">
        <f>S107+T107</f>
        <v>169155</v>
      </c>
      <c r="S107" s="828">
        <v>169155</v>
      </c>
      <c r="T107" s="828">
        <v>0</v>
      </c>
      <c r="U107" s="830">
        <f>V107+W107</f>
        <v>0</v>
      </c>
      <c r="V107" s="828">
        <v>0</v>
      </c>
      <c r="W107" s="828">
        <v>0</v>
      </c>
    </row>
    <row r="108" spans="1:23" s="426" customFormat="1" ht="15.75" customHeight="1" hidden="1">
      <c r="A108" s="831"/>
      <c r="B108" s="832"/>
      <c r="C108" s="834"/>
      <c r="D108" s="862"/>
      <c r="E108" s="831"/>
      <c r="F108" s="831"/>
      <c r="G108" s="832"/>
      <c r="H108" s="425">
        <v>16221971</v>
      </c>
      <c r="I108" s="425">
        <v>11787004</v>
      </c>
      <c r="J108" s="830"/>
      <c r="K108" s="830"/>
      <c r="L108" s="828"/>
      <c r="M108" s="828"/>
      <c r="N108" s="830"/>
      <c r="O108" s="830"/>
      <c r="P108" s="828"/>
      <c r="Q108" s="828"/>
      <c r="R108" s="830"/>
      <c r="S108" s="828"/>
      <c r="T108" s="828"/>
      <c r="U108" s="830"/>
      <c r="V108" s="828"/>
      <c r="W108" s="828"/>
    </row>
    <row r="109" spans="1:23" s="426" customFormat="1" ht="15.75" customHeight="1" hidden="1">
      <c r="A109" s="831"/>
      <c r="B109" s="832"/>
      <c r="C109" s="834"/>
      <c r="D109" s="862"/>
      <c r="E109" s="831"/>
      <c r="F109" s="831"/>
      <c r="G109" s="832"/>
      <c r="H109" s="425">
        <v>2725631</v>
      </c>
      <c r="I109" s="425">
        <v>1995326</v>
      </c>
      <c r="J109" s="427">
        <f>K109+N109</f>
        <v>0</v>
      </c>
      <c r="K109" s="427">
        <f>L109+M109</f>
        <v>0</v>
      </c>
      <c r="L109" s="428">
        <v>0</v>
      </c>
      <c r="M109" s="428">
        <v>0</v>
      </c>
      <c r="N109" s="427">
        <f>O109+R109+U109</f>
        <v>0</v>
      </c>
      <c r="O109" s="427">
        <f>P109+Q109</f>
        <v>0</v>
      </c>
      <c r="P109" s="428">
        <v>0</v>
      </c>
      <c r="Q109" s="428">
        <v>0</v>
      </c>
      <c r="R109" s="427">
        <f>S109+T109</f>
        <v>0</v>
      </c>
      <c r="S109" s="428">
        <v>0</v>
      </c>
      <c r="T109" s="428">
        <v>0</v>
      </c>
      <c r="U109" s="427">
        <f>V109+W109</f>
        <v>0</v>
      </c>
      <c r="V109" s="428">
        <v>0</v>
      </c>
      <c r="W109" s="428">
        <v>0</v>
      </c>
    </row>
    <row r="110" spans="1:23" s="426" customFormat="1" ht="15.75" customHeight="1" hidden="1">
      <c r="A110" s="831"/>
      <c r="B110" s="832"/>
      <c r="C110" s="834"/>
      <c r="D110" s="862"/>
      <c r="E110" s="831"/>
      <c r="F110" s="831"/>
      <c r="G110" s="832"/>
      <c r="H110" s="425">
        <v>395706</v>
      </c>
      <c r="I110" s="425">
        <v>226551</v>
      </c>
      <c r="J110" s="830">
        <f aca="true" t="shared" si="18" ref="J110:W110">J107+J109</f>
        <v>5334427</v>
      </c>
      <c r="K110" s="830">
        <f t="shared" si="18"/>
        <v>4434967</v>
      </c>
      <c r="L110" s="828">
        <f t="shared" si="18"/>
        <v>4434967</v>
      </c>
      <c r="M110" s="828">
        <f t="shared" si="18"/>
        <v>0</v>
      </c>
      <c r="N110" s="830">
        <f t="shared" si="18"/>
        <v>899460</v>
      </c>
      <c r="O110" s="830">
        <f t="shared" si="18"/>
        <v>730305</v>
      </c>
      <c r="P110" s="828">
        <f t="shared" si="18"/>
        <v>730305</v>
      </c>
      <c r="Q110" s="828">
        <f t="shared" si="18"/>
        <v>0</v>
      </c>
      <c r="R110" s="830">
        <f t="shared" si="18"/>
        <v>169155</v>
      </c>
      <c r="S110" s="828">
        <f t="shared" si="18"/>
        <v>169155</v>
      </c>
      <c r="T110" s="828">
        <f t="shared" si="18"/>
        <v>0</v>
      </c>
      <c r="U110" s="830">
        <f t="shared" si="18"/>
        <v>0</v>
      </c>
      <c r="V110" s="828">
        <f t="shared" si="18"/>
        <v>0</v>
      </c>
      <c r="W110" s="828">
        <f t="shared" si="18"/>
        <v>0</v>
      </c>
    </row>
    <row r="111" spans="1:23" s="426" customFormat="1" ht="15.75" customHeight="1" hidden="1">
      <c r="A111" s="831"/>
      <c r="B111" s="832"/>
      <c r="C111" s="834"/>
      <c r="D111" s="862"/>
      <c r="E111" s="831"/>
      <c r="F111" s="831"/>
      <c r="G111" s="832"/>
      <c r="H111" s="425">
        <v>0</v>
      </c>
      <c r="I111" s="425">
        <v>0</v>
      </c>
      <c r="J111" s="830"/>
      <c r="K111" s="830"/>
      <c r="L111" s="828"/>
      <c r="M111" s="828"/>
      <c r="N111" s="830"/>
      <c r="O111" s="830"/>
      <c r="P111" s="828"/>
      <c r="Q111" s="828"/>
      <c r="R111" s="830"/>
      <c r="S111" s="828"/>
      <c r="T111" s="828"/>
      <c r="U111" s="830"/>
      <c r="V111" s="828"/>
      <c r="W111" s="828"/>
    </row>
    <row r="112" spans="1:23" s="426" customFormat="1" ht="15.75" customHeight="1" hidden="1">
      <c r="A112" s="831">
        <v>19</v>
      </c>
      <c r="B112" s="832" t="s">
        <v>646</v>
      </c>
      <c r="C112" s="834" t="s">
        <v>647</v>
      </c>
      <c r="D112" s="862" t="s">
        <v>648</v>
      </c>
      <c r="E112" s="831" t="s">
        <v>649</v>
      </c>
      <c r="F112" s="831" t="s">
        <v>650</v>
      </c>
      <c r="G112" s="832" t="s">
        <v>625</v>
      </c>
      <c r="H112" s="425">
        <f>H113+H114+H115+H116</f>
        <v>1392787</v>
      </c>
      <c r="I112" s="425">
        <f>I113+I114+I115+I116</f>
        <v>1320880</v>
      </c>
      <c r="J112" s="830">
        <f>K112+N112</f>
        <v>71907</v>
      </c>
      <c r="K112" s="830">
        <f>L112+M112</f>
        <v>32190</v>
      </c>
      <c r="L112" s="828">
        <v>32190</v>
      </c>
      <c r="M112" s="828">
        <v>0</v>
      </c>
      <c r="N112" s="830">
        <f>O112+R112+U112</f>
        <v>39717</v>
      </c>
      <c r="O112" s="830">
        <f>P112+Q112</f>
        <v>0</v>
      </c>
      <c r="P112" s="828">
        <v>0</v>
      </c>
      <c r="Q112" s="828">
        <v>0</v>
      </c>
      <c r="R112" s="830">
        <f>S112+T112</f>
        <v>39717</v>
      </c>
      <c r="S112" s="828">
        <v>39717</v>
      </c>
      <c r="T112" s="828">
        <v>0</v>
      </c>
      <c r="U112" s="830">
        <f>V112+W112</f>
        <v>0</v>
      </c>
      <c r="V112" s="828">
        <v>0</v>
      </c>
      <c r="W112" s="828">
        <v>0</v>
      </c>
    </row>
    <row r="113" spans="1:23" s="426" customFormat="1" ht="15.75" customHeight="1" hidden="1">
      <c r="A113" s="831"/>
      <c r="B113" s="832"/>
      <c r="C113" s="834"/>
      <c r="D113" s="862"/>
      <c r="E113" s="831"/>
      <c r="F113" s="831"/>
      <c r="G113" s="832"/>
      <c r="H113" s="425">
        <v>621967</v>
      </c>
      <c r="I113" s="425">
        <v>589777</v>
      </c>
      <c r="J113" s="830"/>
      <c r="K113" s="830"/>
      <c r="L113" s="828"/>
      <c r="M113" s="828"/>
      <c r="N113" s="830"/>
      <c r="O113" s="830"/>
      <c r="P113" s="828"/>
      <c r="Q113" s="828"/>
      <c r="R113" s="830"/>
      <c r="S113" s="828"/>
      <c r="T113" s="828"/>
      <c r="U113" s="830"/>
      <c r="V113" s="828"/>
      <c r="W113" s="828"/>
    </row>
    <row r="114" spans="1:23" s="426" customFormat="1" ht="15.75" customHeight="1" hidden="1">
      <c r="A114" s="831"/>
      <c r="B114" s="832"/>
      <c r="C114" s="834"/>
      <c r="D114" s="862"/>
      <c r="E114" s="831"/>
      <c r="F114" s="831"/>
      <c r="G114" s="832"/>
      <c r="H114" s="425">
        <v>0</v>
      </c>
      <c r="I114" s="425">
        <v>0</v>
      </c>
      <c r="J114" s="427">
        <f>K114+N114</f>
        <v>0</v>
      </c>
      <c r="K114" s="427">
        <f>L114+M114</f>
        <v>0</v>
      </c>
      <c r="L114" s="428">
        <v>0</v>
      </c>
      <c r="M114" s="428">
        <v>0</v>
      </c>
      <c r="N114" s="427">
        <f>O114+R114+U114</f>
        <v>0</v>
      </c>
      <c r="O114" s="427">
        <f>P114+Q114</f>
        <v>0</v>
      </c>
      <c r="P114" s="428">
        <v>0</v>
      </c>
      <c r="Q114" s="428">
        <v>0</v>
      </c>
      <c r="R114" s="427">
        <f>S114+T114</f>
        <v>0</v>
      </c>
      <c r="S114" s="428">
        <v>0</v>
      </c>
      <c r="T114" s="428">
        <v>0</v>
      </c>
      <c r="U114" s="427">
        <f>V114+W114</f>
        <v>0</v>
      </c>
      <c r="V114" s="428">
        <v>0</v>
      </c>
      <c r="W114" s="428">
        <v>0</v>
      </c>
    </row>
    <row r="115" spans="1:23" s="426" customFormat="1" ht="15.75" customHeight="1" hidden="1">
      <c r="A115" s="831"/>
      <c r="B115" s="832"/>
      <c r="C115" s="834"/>
      <c r="D115" s="862"/>
      <c r="E115" s="831"/>
      <c r="F115" s="831"/>
      <c r="G115" s="832"/>
      <c r="H115" s="425">
        <v>620820</v>
      </c>
      <c r="I115" s="425">
        <v>581103</v>
      </c>
      <c r="J115" s="830">
        <f aca="true" t="shared" si="19" ref="J115:W115">J112+J114</f>
        <v>71907</v>
      </c>
      <c r="K115" s="830">
        <f t="shared" si="19"/>
        <v>32190</v>
      </c>
      <c r="L115" s="828">
        <f t="shared" si="19"/>
        <v>32190</v>
      </c>
      <c r="M115" s="828">
        <f t="shared" si="19"/>
        <v>0</v>
      </c>
      <c r="N115" s="830">
        <f t="shared" si="19"/>
        <v>39717</v>
      </c>
      <c r="O115" s="830">
        <f t="shared" si="19"/>
        <v>0</v>
      </c>
      <c r="P115" s="828">
        <f t="shared" si="19"/>
        <v>0</v>
      </c>
      <c r="Q115" s="828">
        <f t="shared" si="19"/>
        <v>0</v>
      </c>
      <c r="R115" s="830">
        <f t="shared" si="19"/>
        <v>39717</v>
      </c>
      <c r="S115" s="828">
        <f t="shared" si="19"/>
        <v>39717</v>
      </c>
      <c r="T115" s="828">
        <f t="shared" si="19"/>
        <v>0</v>
      </c>
      <c r="U115" s="830">
        <f t="shared" si="19"/>
        <v>0</v>
      </c>
      <c r="V115" s="828">
        <f t="shared" si="19"/>
        <v>0</v>
      </c>
      <c r="W115" s="828">
        <f t="shared" si="19"/>
        <v>0</v>
      </c>
    </row>
    <row r="116" spans="1:23" s="426" customFormat="1" ht="15.75" customHeight="1" hidden="1">
      <c r="A116" s="831"/>
      <c r="B116" s="832"/>
      <c r="C116" s="834"/>
      <c r="D116" s="862"/>
      <c r="E116" s="831"/>
      <c r="F116" s="831"/>
      <c r="G116" s="832"/>
      <c r="H116" s="425">
        <v>150000</v>
      </c>
      <c r="I116" s="425">
        <v>150000</v>
      </c>
      <c r="J116" s="830"/>
      <c r="K116" s="830"/>
      <c r="L116" s="828"/>
      <c r="M116" s="828"/>
      <c r="N116" s="830"/>
      <c r="O116" s="830"/>
      <c r="P116" s="828"/>
      <c r="Q116" s="828"/>
      <c r="R116" s="830"/>
      <c r="S116" s="828"/>
      <c r="T116" s="828"/>
      <c r="U116" s="830"/>
      <c r="V116" s="828"/>
      <c r="W116" s="828"/>
    </row>
    <row r="117" spans="1:23" s="426" customFormat="1" ht="16.5" customHeight="1">
      <c r="A117" s="831">
        <v>7</v>
      </c>
      <c r="B117" s="832" t="s">
        <v>646</v>
      </c>
      <c r="C117" s="834" t="s">
        <v>647</v>
      </c>
      <c r="D117" s="862" t="s">
        <v>651</v>
      </c>
      <c r="E117" s="831" t="s">
        <v>652</v>
      </c>
      <c r="F117" s="831" t="s">
        <v>650</v>
      </c>
      <c r="G117" s="832" t="s">
        <v>625</v>
      </c>
      <c r="H117" s="425">
        <f>H118+H119+H120+H121</f>
        <v>3300000</v>
      </c>
      <c r="I117" s="425">
        <f>I118+I119+I120+I121</f>
        <v>89778</v>
      </c>
      <c r="J117" s="830">
        <f>K117+N117</f>
        <v>2797762</v>
      </c>
      <c r="K117" s="830">
        <f>L117+M117</f>
        <v>1518853</v>
      </c>
      <c r="L117" s="828">
        <v>24545</v>
      </c>
      <c r="M117" s="828">
        <v>1494308</v>
      </c>
      <c r="N117" s="830">
        <f>O117+R117+U117</f>
        <v>1278909</v>
      </c>
      <c r="O117" s="830">
        <f>P117+Q117</f>
        <v>0</v>
      </c>
      <c r="P117" s="828">
        <v>0</v>
      </c>
      <c r="Q117" s="828">
        <v>0</v>
      </c>
      <c r="R117" s="830">
        <f>S117+T117</f>
        <v>797951</v>
      </c>
      <c r="S117" s="828">
        <v>39144</v>
      </c>
      <c r="T117" s="828">
        <v>758807</v>
      </c>
      <c r="U117" s="830">
        <f>V117+W117</f>
        <v>480958</v>
      </c>
      <c r="V117" s="828">
        <v>0</v>
      </c>
      <c r="W117" s="828">
        <v>480958</v>
      </c>
    </row>
    <row r="118" spans="1:23" s="426" customFormat="1" ht="16.5" customHeight="1">
      <c r="A118" s="831"/>
      <c r="B118" s="832"/>
      <c r="C118" s="834"/>
      <c r="D118" s="862"/>
      <c r="E118" s="831"/>
      <c r="F118" s="831"/>
      <c r="G118" s="832"/>
      <c r="H118" s="425">
        <v>1585307</v>
      </c>
      <c r="I118" s="425">
        <v>43955</v>
      </c>
      <c r="J118" s="830"/>
      <c r="K118" s="830"/>
      <c r="L118" s="828"/>
      <c r="M118" s="828"/>
      <c r="N118" s="830"/>
      <c r="O118" s="830"/>
      <c r="P118" s="828"/>
      <c r="Q118" s="828"/>
      <c r="R118" s="830"/>
      <c r="S118" s="828"/>
      <c r="T118" s="828"/>
      <c r="U118" s="830"/>
      <c r="V118" s="828"/>
      <c r="W118" s="828"/>
    </row>
    <row r="119" spans="1:23" s="426" customFormat="1" ht="16.5" customHeight="1">
      <c r="A119" s="831"/>
      <c r="B119" s="832"/>
      <c r="C119" s="834"/>
      <c r="D119" s="862"/>
      <c r="E119" s="831"/>
      <c r="F119" s="831"/>
      <c r="G119" s="832"/>
      <c r="H119" s="425">
        <v>0</v>
      </c>
      <c r="I119" s="425">
        <v>0</v>
      </c>
      <c r="J119" s="427">
        <f>K119+N119</f>
        <v>412460</v>
      </c>
      <c r="K119" s="427">
        <f>L119+M119</f>
        <v>22499</v>
      </c>
      <c r="L119" s="428">
        <v>-4961</v>
      </c>
      <c r="M119" s="428">
        <v>27460</v>
      </c>
      <c r="N119" s="427">
        <f>O119+R119+U119</f>
        <v>389961</v>
      </c>
      <c r="O119" s="427">
        <f>P119+Q119</f>
        <v>0</v>
      </c>
      <c r="P119" s="428">
        <v>0</v>
      </c>
      <c r="Q119" s="428">
        <v>0</v>
      </c>
      <c r="R119" s="427">
        <f>S119+T119</f>
        <v>389961</v>
      </c>
      <c r="S119" s="428">
        <v>-18728</v>
      </c>
      <c r="T119" s="428">
        <v>408689</v>
      </c>
      <c r="U119" s="427">
        <f>V119+W119</f>
        <v>0</v>
      </c>
      <c r="V119" s="428">
        <v>0</v>
      </c>
      <c r="W119" s="428">
        <v>0</v>
      </c>
    </row>
    <row r="120" spans="1:23" s="426" customFormat="1" ht="16.5" customHeight="1">
      <c r="A120" s="831"/>
      <c r="B120" s="832"/>
      <c r="C120" s="834"/>
      <c r="D120" s="862"/>
      <c r="E120" s="831"/>
      <c r="F120" s="831"/>
      <c r="G120" s="832"/>
      <c r="H120" s="425">
        <v>1233735</v>
      </c>
      <c r="I120" s="425">
        <v>45823</v>
      </c>
      <c r="J120" s="830">
        <f aca="true" t="shared" si="20" ref="J120:W120">J117+J119</f>
        <v>3210222</v>
      </c>
      <c r="K120" s="830">
        <f t="shared" si="20"/>
        <v>1541352</v>
      </c>
      <c r="L120" s="828">
        <f t="shared" si="20"/>
        <v>19584</v>
      </c>
      <c r="M120" s="828">
        <f t="shared" si="20"/>
        <v>1521768</v>
      </c>
      <c r="N120" s="830">
        <f t="shared" si="20"/>
        <v>1668870</v>
      </c>
      <c r="O120" s="830">
        <f t="shared" si="20"/>
        <v>0</v>
      </c>
      <c r="P120" s="828">
        <f t="shared" si="20"/>
        <v>0</v>
      </c>
      <c r="Q120" s="828">
        <f t="shared" si="20"/>
        <v>0</v>
      </c>
      <c r="R120" s="830">
        <f t="shared" si="20"/>
        <v>1187912</v>
      </c>
      <c r="S120" s="828">
        <f t="shared" si="20"/>
        <v>20416</v>
      </c>
      <c r="T120" s="828">
        <f t="shared" si="20"/>
        <v>1167496</v>
      </c>
      <c r="U120" s="830">
        <f t="shared" si="20"/>
        <v>480958</v>
      </c>
      <c r="V120" s="828">
        <f t="shared" si="20"/>
        <v>0</v>
      </c>
      <c r="W120" s="828">
        <f t="shared" si="20"/>
        <v>480958</v>
      </c>
    </row>
    <row r="121" spans="1:23" s="426" customFormat="1" ht="16.5" customHeight="1">
      <c r="A121" s="831"/>
      <c r="B121" s="832"/>
      <c r="C121" s="834"/>
      <c r="D121" s="862"/>
      <c r="E121" s="831"/>
      <c r="F121" s="831"/>
      <c r="G121" s="832"/>
      <c r="H121" s="425">
        <v>480958</v>
      </c>
      <c r="I121" s="425">
        <v>0</v>
      </c>
      <c r="J121" s="830"/>
      <c r="K121" s="830"/>
      <c r="L121" s="828"/>
      <c r="M121" s="828"/>
      <c r="N121" s="830"/>
      <c r="O121" s="830"/>
      <c r="P121" s="828"/>
      <c r="Q121" s="828"/>
      <c r="R121" s="830"/>
      <c r="S121" s="828"/>
      <c r="T121" s="828"/>
      <c r="U121" s="830"/>
      <c r="V121" s="828"/>
      <c r="W121" s="828"/>
    </row>
    <row r="122" spans="1:23" s="426" customFormat="1" ht="15.75" customHeight="1" hidden="1">
      <c r="A122" s="831">
        <v>21</v>
      </c>
      <c r="B122" s="832" t="s">
        <v>646</v>
      </c>
      <c r="C122" s="834" t="s">
        <v>647</v>
      </c>
      <c r="D122" s="862" t="s">
        <v>653</v>
      </c>
      <c r="E122" s="831" t="s">
        <v>654</v>
      </c>
      <c r="F122" s="831" t="s">
        <v>650</v>
      </c>
      <c r="G122" s="832" t="s">
        <v>625</v>
      </c>
      <c r="H122" s="425">
        <f>H123+H124+H125+H126</f>
        <v>1290988</v>
      </c>
      <c r="I122" s="425">
        <f>I123+I124+I125+I126</f>
        <v>949092</v>
      </c>
      <c r="J122" s="830">
        <f>K122+N122</f>
        <v>341896</v>
      </c>
      <c r="K122" s="830">
        <f>L122+M122</f>
        <v>290611</v>
      </c>
      <c r="L122" s="828">
        <v>20881</v>
      </c>
      <c r="M122" s="828">
        <v>269730</v>
      </c>
      <c r="N122" s="830">
        <f>O122+R122+U122</f>
        <v>51285</v>
      </c>
      <c r="O122" s="830">
        <f>P122+Q122</f>
        <v>0</v>
      </c>
      <c r="P122" s="828">
        <v>0</v>
      </c>
      <c r="Q122" s="828">
        <v>0</v>
      </c>
      <c r="R122" s="830">
        <f>S122+T122</f>
        <v>51285</v>
      </c>
      <c r="S122" s="828">
        <v>3685</v>
      </c>
      <c r="T122" s="828">
        <v>47600</v>
      </c>
      <c r="U122" s="830">
        <f>V122+W122</f>
        <v>0</v>
      </c>
      <c r="V122" s="828">
        <v>0</v>
      </c>
      <c r="W122" s="828">
        <v>0</v>
      </c>
    </row>
    <row r="123" spans="1:23" s="426" customFormat="1" ht="15.75" customHeight="1" hidden="1">
      <c r="A123" s="831"/>
      <c r="B123" s="832"/>
      <c r="C123" s="834"/>
      <c r="D123" s="862"/>
      <c r="E123" s="831"/>
      <c r="F123" s="831"/>
      <c r="G123" s="832"/>
      <c r="H123" s="425">
        <v>1059368</v>
      </c>
      <c r="I123" s="425">
        <v>768757</v>
      </c>
      <c r="J123" s="830"/>
      <c r="K123" s="830"/>
      <c r="L123" s="828"/>
      <c r="M123" s="828"/>
      <c r="N123" s="830"/>
      <c r="O123" s="830"/>
      <c r="P123" s="828"/>
      <c r="Q123" s="828"/>
      <c r="R123" s="830"/>
      <c r="S123" s="828"/>
      <c r="T123" s="828"/>
      <c r="U123" s="830"/>
      <c r="V123" s="828"/>
      <c r="W123" s="828"/>
    </row>
    <row r="124" spans="1:23" s="426" customFormat="1" ht="15.75" customHeight="1" hidden="1">
      <c r="A124" s="831"/>
      <c r="B124" s="832"/>
      <c r="C124" s="834"/>
      <c r="D124" s="862"/>
      <c r="E124" s="831"/>
      <c r="F124" s="831"/>
      <c r="G124" s="832"/>
      <c r="H124" s="425">
        <v>0</v>
      </c>
      <c r="I124" s="425">
        <v>0</v>
      </c>
      <c r="J124" s="427">
        <f>K124+N124</f>
        <v>0</v>
      </c>
      <c r="K124" s="427">
        <f>L124+M124</f>
        <v>0</v>
      </c>
      <c r="L124" s="428">
        <v>0</v>
      </c>
      <c r="M124" s="428">
        <v>0</v>
      </c>
      <c r="N124" s="427">
        <f>O124+R124+U124</f>
        <v>0</v>
      </c>
      <c r="O124" s="427">
        <f>P124+Q124</f>
        <v>0</v>
      </c>
      <c r="P124" s="428">
        <v>0</v>
      </c>
      <c r="Q124" s="428">
        <v>0</v>
      </c>
      <c r="R124" s="427">
        <f>S124+T124</f>
        <v>0</v>
      </c>
      <c r="S124" s="428">
        <v>0</v>
      </c>
      <c r="T124" s="428">
        <v>0</v>
      </c>
      <c r="U124" s="427">
        <f>V124+W124</f>
        <v>0</v>
      </c>
      <c r="V124" s="428">
        <v>0</v>
      </c>
      <c r="W124" s="428">
        <v>0</v>
      </c>
    </row>
    <row r="125" spans="1:23" s="426" customFormat="1" ht="15.75" customHeight="1" hidden="1">
      <c r="A125" s="831"/>
      <c r="B125" s="832"/>
      <c r="C125" s="834"/>
      <c r="D125" s="862"/>
      <c r="E125" s="831"/>
      <c r="F125" s="831"/>
      <c r="G125" s="832"/>
      <c r="H125" s="425">
        <v>231620</v>
      </c>
      <c r="I125" s="425">
        <v>180335</v>
      </c>
      <c r="J125" s="830">
        <f aca="true" t="shared" si="21" ref="J125:W125">J122+J124</f>
        <v>341896</v>
      </c>
      <c r="K125" s="830">
        <f t="shared" si="21"/>
        <v>290611</v>
      </c>
      <c r="L125" s="828">
        <f t="shared" si="21"/>
        <v>20881</v>
      </c>
      <c r="M125" s="828">
        <f t="shared" si="21"/>
        <v>269730</v>
      </c>
      <c r="N125" s="830">
        <f t="shared" si="21"/>
        <v>51285</v>
      </c>
      <c r="O125" s="830">
        <f t="shared" si="21"/>
        <v>0</v>
      </c>
      <c r="P125" s="828">
        <f t="shared" si="21"/>
        <v>0</v>
      </c>
      <c r="Q125" s="828">
        <f t="shared" si="21"/>
        <v>0</v>
      </c>
      <c r="R125" s="830">
        <f t="shared" si="21"/>
        <v>51285</v>
      </c>
      <c r="S125" s="828">
        <f t="shared" si="21"/>
        <v>3685</v>
      </c>
      <c r="T125" s="828">
        <f t="shared" si="21"/>
        <v>47600</v>
      </c>
      <c r="U125" s="830">
        <f t="shared" si="21"/>
        <v>0</v>
      </c>
      <c r="V125" s="828">
        <f t="shared" si="21"/>
        <v>0</v>
      </c>
      <c r="W125" s="828">
        <f t="shared" si="21"/>
        <v>0</v>
      </c>
    </row>
    <row r="126" spans="1:23" s="426" customFormat="1" ht="15.75" customHeight="1" hidden="1">
      <c r="A126" s="831"/>
      <c r="B126" s="832"/>
      <c r="C126" s="834"/>
      <c r="D126" s="862"/>
      <c r="E126" s="831"/>
      <c r="F126" s="831"/>
      <c r="G126" s="832"/>
      <c r="H126" s="425">
        <v>0</v>
      </c>
      <c r="I126" s="425">
        <v>0</v>
      </c>
      <c r="J126" s="830"/>
      <c r="K126" s="830"/>
      <c r="L126" s="828"/>
      <c r="M126" s="828"/>
      <c r="N126" s="830"/>
      <c r="O126" s="830"/>
      <c r="P126" s="828"/>
      <c r="Q126" s="828"/>
      <c r="R126" s="830"/>
      <c r="S126" s="828"/>
      <c r="T126" s="828"/>
      <c r="U126" s="830"/>
      <c r="V126" s="828"/>
      <c r="W126" s="828"/>
    </row>
    <row r="127" spans="1:23" s="426" customFormat="1" ht="16.5" customHeight="1">
      <c r="A127" s="831">
        <v>8</v>
      </c>
      <c r="B127" s="832" t="s">
        <v>646</v>
      </c>
      <c r="C127" s="834" t="s">
        <v>647</v>
      </c>
      <c r="D127" s="862" t="s">
        <v>655</v>
      </c>
      <c r="E127" s="863" t="s">
        <v>656</v>
      </c>
      <c r="F127" s="831" t="s">
        <v>650</v>
      </c>
      <c r="G127" s="832" t="s">
        <v>657</v>
      </c>
      <c r="H127" s="425">
        <f>H128+H129+H130+H131</f>
        <v>925190</v>
      </c>
      <c r="I127" s="425">
        <f>I128+I129+I130+I131</f>
        <v>16536</v>
      </c>
      <c r="J127" s="830">
        <f>K127+N127</f>
        <v>396910</v>
      </c>
      <c r="K127" s="830">
        <f>L127+M127</f>
        <v>337374</v>
      </c>
      <c r="L127" s="828">
        <v>41841</v>
      </c>
      <c r="M127" s="828">
        <v>295533</v>
      </c>
      <c r="N127" s="830">
        <f>O127+R127+U127</f>
        <v>59536</v>
      </c>
      <c r="O127" s="830">
        <f>P127+Q127</f>
        <v>0</v>
      </c>
      <c r="P127" s="828">
        <v>0</v>
      </c>
      <c r="Q127" s="828">
        <v>0</v>
      </c>
      <c r="R127" s="830">
        <f>S127+T127</f>
        <v>59536</v>
      </c>
      <c r="S127" s="828">
        <v>7384</v>
      </c>
      <c r="T127" s="828">
        <v>52152</v>
      </c>
      <c r="U127" s="830">
        <f>V127+W127</f>
        <v>0</v>
      </c>
      <c r="V127" s="828">
        <v>0</v>
      </c>
      <c r="W127" s="828">
        <v>0</v>
      </c>
    </row>
    <row r="128" spans="1:23" s="426" customFormat="1" ht="16.5" customHeight="1">
      <c r="A128" s="831"/>
      <c r="B128" s="832"/>
      <c r="C128" s="834"/>
      <c r="D128" s="862"/>
      <c r="E128" s="863"/>
      <c r="F128" s="831"/>
      <c r="G128" s="832"/>
      <c r="H128" s="425">
        <v>786411</v>
      </c>
      <c r="I128" s="425">
        <v>14055</v>
      </c>
      <c r="J128" s="830"/>
      <c r="K128" s="830"/>
      <c r="L128" s="828"/>
      <c r="M128" s="828"/>
      <c r="N128" s="830"/>
      <c r="O128" s="830"/>
      <c r="P128" s="828"/>
      <c r="Q128" s="828"/>
      <c r="R128" s="830"/>
      <c r="S128" s="828"/>
      <c r="T128" s="828"/>
      <c r="U128" s="830"/>
      <c r="V128" s="828"/>
      <c r="W128" s="828"/>
    </row>
    <row r="129" spans="1:23" s="426" customFormat="1" ht="16.5" customHeight="1">
      <c r="A129" s="831"/>
      <c r="B129" s="832"/>
      <c r="C129" s="834"/>
      <c r="D129" s="862"/>
      <c r="E129" s="863"/>
      <c r="F129" s="831"/>
      <c r="G129" s="832"/>
      <c r="H129" s="425">
        <v>0</v>
      </c>
      <c r="I129" s="425">
        <v>0</v>
      </c>
      <c r="J129" s="427">
        <f>K129+N129</f>
        <v>160523</v>
      </c>
      <c r="K129" s="427">
        <f>L129+M129</f>
        <v>136444</v>
      </c>
      <c r="L129" s="428">
        <v>39702</v>
      </c>
      <c r="M129" s="428">
        <v>96742</v>
      </c>
      <c r="N129" s="427">
        <f>O129+R129+U129</f>
        <v>24079</v>
      </c>
      <c r="O129" s="427">
        <f>P129+Q129</f>
        <v>0</v>
      </c>
      <c r="P129" s="428">
        <v>0</v>
      </c>
      <c r="Q129" s="428">
        <v>0</v>
      </c>
      <c r="R129" s="427">
        <f>S129+T129</f>
        <v>24079</v>
      </c>
      <c r="S129" s="428">
        <v>7006</v>
      </c>
      <c r="T129" s="428">
        <v>17073</v>
      </c>
      <c r="U129" s="427">
        <f>V129+W129</f>
        <v>0</v>
      </c>
      <c r="V129" s="428">
        <v>0</v>
      </c>
      <c r="W129" s="428">
        <v>0</v>
      </c>
    </row>
    <row r="130" spans="1:23" s="426" customFormat="1" ht="16.5" customHeight="1">
      <c r="A130" s="831"/>
      <c r="B130" s="832"/>
      <c r="C130" s="834"/>
      <c r="D130" s="862"/>
      <c r="E130" s="863"/>
      <c r="F130" s="831"/>
      <c r="G130" s="832"/>
      <c r="H130" s="425">
        <v>138779</v>
      </c>
      <c r="I130" s="425">
        <v>2481</v>
      </c>
      <c r="J130" s="830">
        <f aca="true" t="shared" si="22" ref="J130:W130">J127+J129</f>
        <v>557433</v>
      </c>
      <c r="K130" s="830">
        <f t="shared" si="22"/>
        <v>473818</v>
      </c>
      <c r="L130" s="828">
        <f t="shared" si="22"/>
        <v>81543</v>
      </c>
      <c r="M130" s="828">
        <f t="shared" si="22"/>
        <v>392275</v>
      </c>
      <c r="N130" s="830">
        <f t="shared" si="22"/>
        <v>83615</v>
      </c>
      <c r="O130" s="830">
        <f t="shared" si="22"/>
        <v>0</v>
      </c>
      <c r="P130" s="828">
        <f t="shared" si="22"/>
        <v>0</v>
      </c>
      <c r="Q130" s="828">
        <f t="shared" si="22"/>
        <v>0</v>
      </c>
      <c r="R130" s="830">
        <f t="shared" si="22"/>
        <v>83615</v>
      </c>
      <c r="S130" s="828">
        <f t="shared" si="22"/>
        <v>14390</v>
      </c>
      <c r="T130" s="828">
        <f t="shared" si="22"/>
        <v>69225</v>
      </c>
      <c r="U130" s="830">
        <f t="shared" si="22"/>
        <v>0</v>
      </c>
      <c r="V130" s="828">
        <f t="shared" si="22"/>
        <v>0</v>
      </c>
      <c r="W130" s="828">
        <f t="shared" si="22"/>
        <v>0</v>
      </c>
    </row>
    <row r="131" spans="1:23" s="426" customFormat="1" ht="16.5" customHeight="1">
      <c r="A131" s="831"/>
      <c r="B131" s="832"/>
      <c r="C131" s="834"/>
      <c r="D131" s="862"/>
      <c r="E131" s="863"/>
      <c r="F131" s="831"/>
      <c r="G131" s="832"/>
      <c r="H131" s="425">
        <v>0</v>
      </c>
      <c r="I131" s="425">
        <v>0</v>
      </c>
      <c r="J131" s="830"/>
      <c r="K131" s="830"/>
      <c r="L131" s="828"/>
      <c r="M131" s="828"/>
      <c r="N131" s="830"/>
      <c r="O131" s="830"/>
      <c r="P131" s="828"/>
      <c r="Q131" s="828"/>
      <c r="R131" s="830"/>
      <c r="S131" s="828"/>
      <c r="T131" s="828"/>
      <c r="U131" s="830"/>
      <c r="V131" s="828"/>
      <c r="W131" s="828"/>
    </row>
    <row r="132" spans="1:23" s="426" customFormat="1" ht="16.5" customHeight="1">
      <c r="A132" s="831">
        <v>9</v>
      </c>
      <c r="B132" s="832" t="s">
        <v>646</v>
      </c>
      <c r="C132" s="834" t="s">
        <v>647</v>
      </c>
      <c r="D132" s="862" t="s">
        <v>658</v>
      </c>
      <c r="E132" s="863" t="s">
        <v>656</v>
      </c>
      <c r="F132" s="831" t="s">
        <v>650</v>
      </c>
      <c r="G132" s="832" t="s">
        <v>637</v>
      </c>
      <c r="H132" s="425">
        <f>H133+H134+H135+H136</f>
        <v>4493063</v>
      </c>
      <c r="I132" s="425">
        <f>I133+I134+I135+I136</f>
        <v>13455</v>
      </c>
      <c r="J132" s="830">
        <f>K132+N132</f>
        <v>1337858</v>
      </c>
      <c r="K132" s="830">
        <f>L132+M132</f>
        <v>1137179</v>
      </c>
      <c r="L132" s="828">
        <v>262759</v>
      </c>
      <c r="M132" s="828">
        <v>874420</v>
      </c>
      <c r="N132" s="830">
        <f>O132+R132+U132</f>
        <v>200679</v>
      </c>
      <c r="O132" s="830">
        <f>P132+Q132</f>
        <v>0</v>
      </c>
      <c r="P132" s="828">
        <v>0</v>
      </c>
      <c r="Q132" s="828">
        <v>0</v>
      </c>
      <c r="R132" s="830">
        <f>S132+T132</f>
        <v>75136</v>
      </c>
      <c r="S132" s="828">
        <v>46370</v>
      </c>
      <c r="T132" s="828">
        <v>28766</v>
      </c>
      <c r="U132" s="830">
        <f>V132+W132</f>
        <v>125543</v>
      </c>
      <c r="V132" s="828">
        <v>0</v>
      </c>
      <c r="W132" s="828">
        <v>125543</v>
      </c>
    </row>
    <row r="133" spans="1:23" s="426" customFormat="1" ht="16.5" customHeight="1">
      <c r="A133" s="831"/>
      <c r="B133" s="832"/>
      <c r="C133" s="834"/>
      <c r="D133" s="862"/>
      <c r="E133" s="863"/>
      <c r="F133" s="831"/>
      <c r="G133" s="832"/>
      <c r="H133" s="425">
        <v>3819105</v>
      </c>
      <c r="I133" s="425">
        <v>11437</v>
      </c>
      <c r="J133" s="830"/>
      <c r="K133" s="830"/>
      <c r="L133" s="828"/>
      <c r="M133" s="828"/>
      <c r="N133" s="830"/>
      <c r="O133" s="830"/>
      <c r="P133" s="828"/>
      <c r="Q133" s="828"/>
      <c r="R133" s="830"/>
      <c r="S133" s="828"/>
      <c r="T133" s="828"/>
      <c r="U133" s="830"/>
      <c r="V133" s="828"/>
      <c r="W133" s="828"/>
    </row>
    <row r="134" spans="1:23" s="426" customFormat="1" ht="16.5" customHeight="1">
      <c r="A134" s="831"/>
      <c r="B134" s="832"/>
      <c r="C134" s="834"/>
      <c r="D134" s="862"/>
      <c r="E134" s="863"/>
      <c r="F134" s="831"/>
      <c r="G134" s="832"/>
      <c r="H134" s="425">
        <v>0</v>
      </c>
      <c r="I134" s="425">
        <v>0</v>
      </c>
      <c r="J134" s="427">
        <f>K134+N134</f>
        <v>2044880</v>
      </c>
      <c r="K134" s="427">
        <f>L134+M134</f>
        <v>1738149</v>
      </c>
      <c r="L134" s="428">
        <v>213988</v>
      </c>
      <c r="M134" s="428">
        <v>1524161</v>
      </c>
      <c r="N134" s="427">
        <f>O134+R134+U134</f>
        <v>306731</v>
      </c>
      <c r="O134" s="427">
        <f>P134+Q134</f>
        <v>0</v>
      </c>
      <c r="P134" s="428">
        <v>0</v>
      </c>
      <c r="Q134" s="428">
        <v>0</v>
      </c>
      <c r="R134" s="427">
        <f>S134+T134</f>
        <v>128914</v>
      </c>
      <c r="S134" s="428">
        <v>37761</v>
      </c>
      <c r="T134" s="428">
        <v>91153</v>
      </c>
      <c r="U134" s="427">
        <f>V134+W134</f>
        <v>177817</v>
      </c>
      <c r="V134" s="428">
        <v>0</v>
      </c>
      <c r="W134" s="428">
        <v>177817</v>
      </c>
    </row>
    <row r="135" spans="1:23" s="426" customFormat="1" ht="16.5" customHeight="1">
      <c r="A135" s="831"/>
      <c r="B135" s="832"/>
      <c r="C135" s="834"/>
      <c r="D135" s="862"/>
      <c r="E135" s="863"/>
      <c r="F135" s="831"/>
      <c r="G135" s="832"/>
      <c r="H135" s="425">
        <v>370598</v>
      </c>
      <c r="I135" s="425">
        <v>2018</v>
      </c>
      <c r="J135" s="830">
        <f aca="true" t="shared" si="23" ref="J135:W135">J132+J134</f>
        <v>3382738</v>
      </c>
      <c r="K135" s="830">
        <f t="shared" si="23"/>
        <v>2875328</v>
      </c>
      <c r="L135" s="828">
        <f t="shared" si="23"/>
        <v>476747</v>
      </c>
      <c r="M135" s="828">
        <f t="shared" si="23"/>
        <v>2398581</v>
      </c>
      <c r="N135" s="830">
        <f t="shared" si="23"/>
        <v>507410</v>
      </c>
      <c r="O135" s="830">
        <f t="shared" si="23"/>
        <v>0</v>
      </c>
      <c r="P135" s="828">
        <f t="shared" si="23"/>
        <v>0</v>
      </c>
      <c r="Q135" s="828">
        <f t="shared" si="23"/>
        <v>0</v>
      </c>
      <c r="R135" s="830">
        <f t="shared" si="23"/>
        <v>204050</v>
      </c>
      <c r="S135" s="828">
        <f t="shared" si="23"/>
        <v>84131</v>
      </c>
      <c r="T135" s="828">
        <f t="shared" si="23"/>
        <v>119919</v>
      </c>
      <c r="U135" s="830">
        <f t="shared" si="23"/>
        <v>303360</v>
      </c>
      <c r="V135" s="828">
        <f t="shared" si="23"/>
        <v>0</v>
      </c>
      <c r="W135" s="828">
        <f t="shared" si="23"/>
        <v>303360</v>
      </c>
    </row>
    <row r="136" spans="1:23" s="426" customFormat="1" ht="16.5" customHeight="1">
      <c r="A136" s="831"/>
      <c r="B136" s="832"/>
      <c r="C136" s="834"/>
      <c r="D136" s="862"/>
      <c r="E136" s="863"/>
      <c r="F136" s="831"/>
      <c r="G136" s="832"/>
      <c r="H136" s="425">
        <v>303360</v>
      </c>
      <c r="I136" s="425">
        <v>0</v>
      </c>
      <c r="J136" s="830"/>
      <c r="K136" s="830"/>
      <c r="L136" s="828"/>
      <c r="M136" s="828"/>
      <c r="N136" s="830"/>
      <c r="O136" s="830"/>
      <c r="P136" s="828"/>
      <c r="Q136" s="828"/>
      <c r="R136" s="830"/>
      <c r="S136" s="828"/>
      <c r="T136" s="828"/>
      <c r="U136" s="830"/>
      <c r="V136" s="828"/>
      <c r="W136" s="828"/>
    </row>
    <row r="137" spans="1:23" s="426" customFormat="1" ht="15.75" customHeight="1" hidden="1">
      <c r="A137" s="831">
        <v>24</v>
      </c>
      <c r="B137" s="833" t="s">
        <v>537</v>
      </c>
      <c r="C137" s="834" t="s">
        <v>659</v>
      </c>
      <c r="D137" s="835" t="s">
        <v>660</v>
      </c>
      <c r="E137" s="836" t="s">
        <v>623</v>
      </c>
      <c r="F137" s="831" t="s">
        <v>624</v>
      </c>
      <c r="G137" s="831" t="s">
        <v>613</v>
      </c>
      <c r="H137" s="425">
        <f>H139+H138+H140+H141</f>
        <v>50833492</v>
      </c>
      <c r="I137" s="425">
        <f>I139+I138+I140+I141</f>
        <v>21357516</v>
      </c>
      <c r="J137" s="830">
        <f>K137+N137</f>
        <v>17256000</v>
      </c>
      <c r="K137" s="830">
        <f>L137+M137</f>
        <v>16200000</v>
      </c>
      <c r="L137" s="828">
        <v>0</v>
      </c>
      <c r="M137" s="828">
        <v>16200000</v>
      </c>
      <c r="N137" s="830">
        <f>O137+R137+U137</f>
        <v>1056000</v>
      </c>
      <c r="O137" s="830">
        <f>P137+Q137</f>
        <v>0</v>
      </c>
      <c r="P137" s="828">
        <v>0</v>
      </c>
      <c r="Q137" s="828">
        <v>0</v>
      </c>
      <c r="R137" s="830">
        <f>S137+T137</f>
        <v>0</v>
      </c>
      <c r="S137" s="828">
        <v>0</v>
      </c>
      <c r="T137" s="828">
        <v>0</v>
      </c>
      <c r="U137" s="830">
        <f>V137+W137</f>
        <v>1056000</v>
      </c>
      <c r="V137" s="828">
        <v>0</v>
      </c>
      <c r="W137" s="828">
        <v>1056000</v>
      </c>
    </row>
    <row r="138" spans="1:23" s="426" customFormat="1" ht="15.75" customHeight="1" hidden="1">
      <c r="A138" s="831"/>
      <c r="B138" s="833"/>
      <c r="C138" s="834"/>
      <c r="D138" s="835"/>
      <c r="E138" s="837"/>
      <c r="F138" s="831"/>
      <c r="G138" s="831"/>
      <c r="H138" s="425">
        <v>43062009</v>
      </c>
      <c r="I138" s="425">
        <v>14642033</v>
      </c>
      <c r="J138" s="830"/>
      <c r="K138" s="830"/>
      <c r="L138" s="828"/>
      <c r="M138" s="828"/>
      <c r="N138" s="830"/>
      <c r="O138" s="830"/>
      <c r="P138" s="828"/>
      <c r="Q138" s="828"/>
      <c r="R138" s="830"/>
      <c r="S138" s="828"/>
      <c r="T138" s="828"/>
      <c r="U138" s="830"/>
      <c r="V138" s="828"/>
      <c r="W138" s="828"/>
    </row>
    <row r="139" spans="1:23" s="426" customFormat="1" ht="15.75" customHeight="1" hidden="1">
      <c r="A139" s="831"/>
      <c r="B139" s="833"/>
      <c r="C139" s="834"/>
      <c r="D139" s="835"/>
      <c r="E139" s="837"/>
      <c r="F139" s="831"/>
      <c r="G139" s="831"/>
      <c r="H139" s="425">
        <v>0</v>
      </c>
      <c r="I139" s="425">
        <v>0</v>
      </c>
      <c r="J139" s="427">
        <f>K139+N139</f>
        <v>0</v>
      </c>
      <c r="K139" s="427">
        <f>L139+M139</f>
        <v>0</v>
      </c>
      <c r="L139" s="428">
        <v>0</v>
      </c>
      <c r="M139" s="428">
        <v>0</v>
      </c>
      <c r="N139" s="427">
        <f>O139+R139+U139</f>
        <v>0</v>
      </c>
      <c r="O139" s="427">
        <f>P139+Q139</f>
        <v>0</v>
      </c>
      <c r="P139" s="428">
        <v>0</v>
      </c>
      <c r="Q139" s="428">
        <v>0</v>
      </c>
      <c r="R139" s="427">
        <f>S139+T139</f>
        <v>0</v>
      </c>
      <c r="S139" s="428">
        <v>0</v>
      </c>
      <c r="T139" s="428">
        <v>0</v>
      </c>
      <c r="U139" s="427">
        <f>V139+W139</f>
        <v>0</v>
      </c>
      <c r="V139" s="428">
        <v>0</v>
      </c>
      <c r="W139" s="428">
        <v>0</v>
      </c>
    </row>
    <row r="140" spans="1:23" s="426" customFormat="1" ht="15.75" customHeight="1" hidden="1">
      <c r="A140" s="831"/>
      <c r="B140" s="833"/>
      <c r="C140" s="834"/>
      <c r="D140" s="835"/>
      <c r="E140" s="837"/>
      <c r="F140" s="831"/>
      <c r="G140" s="831"/>
      <c r="H140" s="425">
        <v>6540763</v>
      </c>
      <c r="I140" s="429">
        <v>6540763</v>
      </c>
      <c r="J140" s="830">
        <f aca="true" t="shared" si="24" ref="J140:W140">J137+J139</f>
        <v>17256000</v>
      </c>
      <c r="K140" s="830">
        <f t="shared" si="24"/>
        <v>16200000</v>
      </c>
      <c r="L140" s="828">
        <f t="shared" si="24"/>
        <v>0</v>
      </c>
      <c r="M140" s="828">
        <f t="shared" si="24"/>
        <v>16200000</v>
      </c>
      <c r="N140" s="830">
        <f t="shared" si="24"/>
        <v>1056000</v>
      </c>
      <c r="O140" s="830">
        <f t="shared" si="24"/>
        <v>0</v>
      </c>
      <c r="P140" s="828">
        <f t="shared" si="24"/>
        <v>0</v>
      </c>
      <c r="Q140" s="828">
        <f t="shared" si="24"/>
        <v>0</v>
      </c>
      <c r="R140" s="830">
        <f t="shared" si="24"/>
        <v>0</v>
      </c>
      <c r="S140" s="828">
        <f t="shared" si="24"/>
        <v>0</v>
      </c>
      <c r="T140" s="828">
        <f t="shared" si="24"/>
        <v>0</v>
      </c>
      <c r="U140" s="830">
        <f t="shared" si="24"/>
        <v>1056000</v>
      </c>
      <c r="V140" s="828">
        <f t="shared" si="24"/>
        <v>0</v>
      </c>
      <c r="W140" s="828">
        <f t="shared" si="24"/>
        <v>1056000</v>
      </c>
    </row>
    <row r="141" spans="1:23" s="426" customFormat="1" ht="15.75" customHeight="1" hidden="1">
      <c r="A141" s="831"/>
      <c r="B141" s="833"/>
      <c r="C141" s="834"/>
      <c r="D141" s="835"/>
      <c r="E141" s="838"/>
      <c r="F141" s="831"/>
      <c r="G141" s="831"/>
      <c r="H141" s="425">
        <v>1230720</v>
      </c>
      <c r="I141" s="425">
        <v>174720</v>
      </c>
      <c r="J141" s="830"/>
      <c r="K141" s="830"/>
      <c r="L141" s="828"/>
      <c r="M141" s="828"/>
      <c r="N141" s="830"/>
      <c r="O141" s="830"/>
      <c r="P141" s="828"/>
      <c r="Q141" s="828"/>
      <c r="R141" s="830"/>
      <c r="S141" s="828"/>
      <c r="T141" s="828"/>
      <c r="U141" s="830"/>
      <c r="V141" s="828"/>
      <c r="W141" s="828"/>
    </row>
    <row r="142" spans="1:23" s="426" customFormat="1" ht="15.75" customHeight="1" hidden="1">
      <c r="A142" s="831">
        <v>25</v>
      </c>
      <c r="B142" s="833" t="s">
        <v>537</v>
      </c>
      <c r="C142" s="834" t="s">
        <v>659</v>
      </c>
      <c r="D142" s="835" t="s">
        <v>661</v>
      </c>
      <c r="E142" s="836" t="s">
        <v>623</v>
      </c>
      <c r="F142" s="831" t="s">
        <v>624</v>
      </c>
      <c r="G142" s="831" t="s">
        <v>662</v>
      </c>
      <c r="H142" s="425">
        <f>H144+H143+H145+H146</f>
        <v>170905780</v>
      </c>
      <c r="I142" s="425">
        <f>I144+I143+I145+I146</f>
        <v>28092698</v>
      </c>
      <c r="J142" s="830">
        <f>K142+N142</f>
        <v>29550609</v>
      </c>
      <c r="K142" s="830">
        <f>L142+M142</f>
        <v>19340751</v>
      </c>
      <c r="L142" s="828">
        <v>0</v>
      </c>
      <c r="M142" s="828">
        <v>19340751</v>
      </c>
      <c r="N142" s="830">
        <f>O142+R142+U142</f>
        <v>10209858</v>
      </c>
      <c r="O142" s="830">
        <f>P142+Q142</f>
        <v>0</v>
      </c>
      <c r="P142" s="828">
        <v>0</v>
      </c>
      <c r="Q142" s="828">
        <v>0</v>
      </c>
      <c r="R142" s="830">
        <f>S142+T142</f>
        <v>5838402</v>
      </c>
      <c r="S142" s="828">
        <v>0</v>
      </c>
      <c r="T142" s="828">
        <v>5838402</v>
      </c>
      <c r="U142" s="830">
        <f>V142+W142</f>
        <v>4371456</v>
      </c>
      <c r="V142" s="828">
        <v>0</v>
      </c>
      <c r="W142" s="828">
        <v>4371456</v>
      </c>
    </row>
    <row r="143" spans="1:23" s="426" customFormat="1" ht="15.75" customHeight="1" hidden="1">
      <c r="A143" s="831"/>
      <c r="B143" s="833"/>
      <c r="C143" s="834"/>
      <c r="D143" s="835"/>
      <c r="E143" s="837"/>
      <c r="F143" s="831"/>
      <c r="G143" s="831"/>
      <c r="H143" s="425">
        <v>139989819</v>
      </c>
      <c r="I143" s="425">
        <v>18060953</v>
      </c>
      <c r="J143" s="830"/>
      <c r="K143" s="830"/>
      <c r="L143" s="828"/>
      <c r="M143" s="828"/>
      <c r="N143" s="830"/>
      <c r="O143" s="830"/>
      <c r="P143" s="828"/>
      <c r="Q143" s="828"/>
      <c r="R143" s="830"/>
      <c r="S143" s="828"/>
      <c r="T143" s="828"/>
      <c r="U143" s="830"/>
      <c r="V143" s="828"/>
      <c r="W143" s="828"/>
    </row>
    <row r="144" spans="1:23" s="426" customFormat="1" ht="15.75" customHeight="1" hidden="1">
      <c r="A144" s="831"/>
      <c r="B144" s="833"/>
      <c r="C144" s="834"/>
      <c r="D144" s="835"/>
      <c r="E144" s="837"/>
      <c r="F144" s="831"/>
      <c r="G144" s="831"/>
      <c r="H144" s="425">
        <v>0</v>
      </c>
      <c r="I144" s="425">
        <v>0</v>
      </c>
      <c r="J144" s="427">
        <f>K144+N144</f>
        <v>0</v>
      </c>
      <c r="K144" s="427">
        <f>L144+M144</f>
        <v>0</v>
      </c>
      <c r="L144" s="428">
        <v>0</v>
      </c>
      <c r="M144" s="428">
        <v>0</v>
      </c>
      <c r="N144" s="427">
        <f>O144+R144+U144</f>
        <v>0</v>
      </c>
      <c r="O144" s="427">
        <f>P144+Q144</f>
        <v>0</v>
      </c>
      <c r="P144" s="428">
        <v>0</v>
      </c>
      <c r="Q144" s="428">
        <v>0</v>
      </c>
      <c r="R144" s="427">
        <f>S144+T144</f>
        <v>0</v>
      </c>
      <c r="S144" s="428">
        <v>0</v>
      </c>
      <c r="T144" s="428">
        <v>0</v>
      </c>
      <c r="U144" s="427">
        <f>V144+W144</f>
        <v>0</v>
      </c>
      <c r="V144" s="428">
        <v>0</v>
      </c>
      <c r="W144" s="428">
        <v>0</v>
      </c>
    </row>
    <row r="145" spans="1:23" s="426" customFormat="1" ht="15.75" customHeight="1" hidden="1">
      <c r="A145" s="831"/>
      <c r="B145" s="833"/>
      <c r="C145" s="834"/>
      <c r="D145" s="835"/>
      <c r="E145" s="837"/>
      <c r="F145" s="831"/>
      <c r="G145" s="831"/>
      <c r="H145" s="425">
        <v>26544505</v>
      </c>
      <c r="I145" s="425">
        <v>10031745</v>
      </c>
      <c r="J145" s="830">
        <f aca="true" t="shared" si="25" ref="J145:W145">J142+J144</f>
        <v>29550609</v>
      </c>
      <c r="K145" s="830">
        <f t="shared" si="25"/>
        <v>19340751</v>
      </c>
      <c r="L145" s="828">
        <f t="shared" si="25"/>
        <v>0</v>
      </c>
      <c r="M145" s="828">
        <f t="shared" si="25"/>
        <v>19340751</v>
      </c>
      <c r="N145" s="830">
        <f t="shared" si="25"/>
        <v>10209858</v>
      </c>
      <c r="O145" s="830">
        <f t="shared" si="25"/>
        <v>0</v>
      </c>
      <c r="P145" s="828">
        <f t="shared" si="25"/>
        <v>0</v>
      </c>
      <c r="Q145" s="828">
        <f t="shared" si="25"/>
        <v>0</v>
      </c>
      <c r="R145" s="830">
        <f t="shared" si="25"/>
        <v>5838402</v>
      </c>
      <c r="S145" s="828">
        <f t="shared" si="25"/>
        <v>0</v>
      </c>
      <c r="T145" s="828">
        <f t="shared" si="25"/>
        <v>5838402</v>
      </c>
      <c r="U145" s="830">
        <f t="shared" si="25"/>
        <v>4371456</v>
      </c>
      <c r="V145" s="828">
        <f t="shared" si="25"/>
        <v>0</v>
      </c>
      <c r="W145" s="828">
        <f t="shared" si="25"/>
        <v>4371456</v>
      </c>
    </row>
    <row r="146" spans="1:23" s="426" customFormat="1" ht="15.75" customHeight="1" hidden="1">
      <c r="A146" s="831"/>
      <c r="B146" s="833"/>
      <c r="C146" s="834"/>
      <c r="D146" s="835"/>
      <c r="E146" s="838"/>
      <c r="F146" s="831"/>
      <c r="G146" s="831"/>
      <c r="H146" s="425">
        <v>4371456</v>
      </c>
      <c r="I146" s="425">
        <v>0</v>
      </c>
      <c r="J146" s="830"/>
      <c r="K146" s="830"/>
      <c r="L146" s="828"/>
      <c r="M146" s="828"/>
      <c r="N146" s="830"/>
      <c r="O146" s="830"/>
      <c r="P146" s="828"/>
      <c r="Q146" s="828"/>
      <c r="R146" s="830"/>
      <c r="S146" s="828"/>
      <c r="T146" s="828"/>
      <c r="U146" s="830"/>
      <c r="V146" s="828"/>
      <c r="W146" s="828"/>
    </row>
    <row r="147" spans="1:23" s="426" customFormat="1" ht="15.75" customHeight="1" hidden="1">
      <c r="A147" s="831">
        <v>26</v>
      </c>
      <c r="B147" s="833" t="s">
        <v>537</v>
      </c>
      <c r="C147" s="834" t="s">
        <v>659</v>
      </c>
      <c r="D147" s="835" t="s">
        <v>663</v>
      </c>
      <c r="E147" s="836" t="s">
        <v>623</v>
      </c>
      <c r="F147" s="831" t="s">
        <v>624</v>
      </c>
      <c r="G147" s="831" t="s">
        <v>613</v>
      </c>
      <c r="H147" s="425">
        <f>H149+H148+H150+H151</f>
        <v>100583244</v>
      </c>
      <c r="I147" s="425">
        <f>I149+I148+I150+I151</f>
        <v>26713491</v>
      </c>
      <c r="J147" s="830">
        <f>K147+N147</f>
        <v>35305012</v>
      </c>
      <c r="K147" s="830">
        <f>L147+M147</f>
        <v>29530400</v>
      </c>
      <c r="L147" s="828">
        <v>16774</v>
      </c>
      <c r="M147" s="828">
        <v>29513626</v>
      </c>
      <c r="N147" s="830">
        <f>O147+R147+U147</f>
        <v>5774612</v>
      </c>
      <c r="O147" s="830">
        <f>P147+Q147</f>
        <v>0</v>
      </c>
      <c r="P147" s="828">
        <v>0</v>
      </c>
      <c r="Q147" s="828">
        <v>0</v>
      </c>
      <c r="R147" s="830">
        <f>S147+T147</f>
        <v>4582958</v>
      </c>
      <c r="S147" s="828">
        <v>2958</v>
      </c>
      <c r="T147" s="828">
        <v>4580000</v>
      </c>
      <c r="U147" s="830">
        <f>V147+W147</f>
        <v>1191654</v>
      </c>
      <c r="V147" s="828">
        <v>0</v>
      </c>
      <c r="W147" s="828">
        <v>1191654</v>
      </c>
    </row>
    <row r="148" spans="1:23" s="426" customFormat="1" ht="15.75" customHeight="1" hidden="1">
      <c r="A148" s="831"/>
      <c r="B148" s="833"/>
      <c r="C148" s="834"/>
      <c r="D148" s="835"/>
      <c r="E148" s="837"/>
      <c r="F148" s="831"/>
      <c r="G148" s="831"/>
      <c r="H148" s="425">
        <v>80476433</v>
      </c>
      <c r="I148" s="425">
        <v>12926460</v>
      </c>
      <c r="J148" s="830"/>
      <c r="K148" s="830"/>
      <c r="L148" s="828"/>
      <c r="M148" s="828"/>
      <c r="N148" s="830"/>
      <c r="O148" s="830"/>
      <c r="P148" s="828"/>
      <c r="Q148" s="828"/>
      <c r="R148" s="830"/>
      <c r="S148" s="828"/>
      <c r="T148" s="828"/>
      <c r="U148" s="830"/>
      <c r="V148" s="828"/>
      <c r="W148" s="828"/>
    </row>
    <row r="149" spans="1:23" s="426" customFormat="1" ht="15.75" customHeight="1" hidden="1">
      <c r="A149" s="831"/>
      <c r="B149" s="833"/>
      <c r="C149" s="834"/>
      <c r="D149" s="835"/>
      <c r="E149" s="837"/>
      <c r="F149" s="831"/>
      <c r="G149" s="831"/>
      <c r="H149" s="425">
        <v>0</v>
      </c>
      <c r="I149" s="425">
        <v>0</v>
      </c>
      <c r="J149" s="427">
        <f>K149+N149</f>
        <v>0</v>
      </c>
      <c r="K149" s="427">
        <f>L149+M149</f>
        <v>0</v>
      </c>
      <c r="L149" s="428">
        <v>0</v>
      </c>
      <c r="M149" s="428">
        <v>0</v>
      </c>
      <c r="N149" s="427">
        <f>O149+R149+U149</f>
        <v>0</v>
      </c>
      <c r="O149" s="427">
        <f>P149+Q149</f>
        <v>0</v>
      </c>
      <c r="P149" s="428">
        <v>0</v>
      </c>
      <c r="Q149" s="428">
        <v>0</v>
      </c>
      <c r="R149" s="427">
        <f>S149+T149</f>
        <v>0</v>
      </c>
      <c r="S149" s="428">
        <v>0</v>
      </c>
      <c r="T149" s="428">
        <v>0</v>
      </c>
      <c r="U149" s="427">
        <f>V149+W149</f>
        <v>0</v>
      </c>
      <c r="V149" s="428">
        <v>0</v>
      </c>
      <c r="W149" s="428">
        <v>0</v>
      </c>
    </row>
    <row r="150" spans="1:23" s="426" customFormat="1" ht="15.75" customHeight="1" hidden="1">
      <c r="A150" s="831"/>
      <c r="B150" s="833"/>
      <c r="C150" s="834"/>
      <c r="D150" s="835"/>
      <c r="E150" s="837"/>
      <c r="F150" s="831"/>
      <c r="G150" s="831"/>
      <c r="H150" s="425">
        <v>18325567</v>
      </c>
      <c r="I150" s="425">
        <v>13197441</v>
      </c>
      <c r="J150" s="830">
        <f aca="true" t="shared" si="26" ref="J150:W150">J147+J149</f>
        <v>35305012</v>
      </c>
      <c r="K150" s="830">
        <f t="shared" si="26"/>
        <v>29530400</v>
      </c>
      <c r="L150" s="828">
        <f t="shared" si="26"/>
        <v>16774</v>
      </c>
      <c r="M150" s="828">
        <f t="shared" si="26"/>
        <v>29513626</v>
      </c>
      <c r="N150" s="830">
        <f t="shared" si="26"/>
        <v>5774612</v>
      </c>
      <c r="O150" s="830">
        <f t="shared" si="26"/>
        <v>0</v>
      </c>
      <c r="P150" s="828">
        <f t="shared" si="26"/>
        <v>0</v>
      </c>
      <c r="Q150" s="828">
        <f t="shared" si="26"/>
        <v>0</v>
      </c>
      <c r="R150" s="830">
        <f t="shared" si="26"/>
        <v>4582958</v>
      </c>
      <c r="S150" s="828">
        <f t="shared" si="26"/>
        <v>2958</v>
      </c>
      <c r="T150" s="828">
        <f t="shared" si="26"/>
        <v>4580000</v>
      </c>
      <c r="U150" s="830">
        <f t="shared" si="26"/>
        <v>1191654</v>
      </c>
      <c r="V150" s="828">
        <f t="shared" si="26"/>
        <v>0</v>
      </c>
      <c r="W150" s="828">
        <f t="shared" si="26"/>
        <v>1191654</v>
      </c>
    </row>
    <row r="151" spans="1:23" s="426" customFormat="1" ht="15.75" customHeight="1" hidden="1">
      <c r="A151" s="831"/>
      <c r="B151" s="833"/>
      <c r="C151" s="834"/>
      <c r="D151" s="835"/>
      <c r="E151" s="838"/>
      <c r="F151" s="831"/>
      <c r="G151" s="831"/>
      <c r="H151" s="425">
        <v>1781244</v>
      </c>
      <c r="I151" s="425">
        <v>589590</v>
      </c>
      <c r="J151" s="830"/>
      <c r="K151" s="830"/>
      <c r="L151" s="828"/>
      <c r="M151" s="828"/>
      <c r="N151" s="830"/>
      <c r="O151" s="830"/>
      <c r="P151" s="828"/>
      <c r="Q151" s="828"/>
      <c r="R151" s="830"/>
      <c r="S151" s="828"/>
      <c r="T151" s="828"/>
      <c r="U151" s="830"/>
      <c r="V151" s="828"/>
      <c r="W151" s="828"/>
    </row>
    <row r="152" spans="1:23" s="426" customFormat="1" ht="15.75" customHeight="1" hidden="1">
      <c r="A152" s="831">
        <v>27</v>
      </c>
      <c r="B152" s="832" t="s">
        <v>537</v>
      </c>
      <c r="C152" s="834" t="s">
        <v>659</v>
      </c>
      <c r="D152" s="862" t="s">
        <v>664</v>
      </c>
      <c r="E152" s="836" t="s">
        <v>623</v>
      </c>
      <c r="F152" s="831" t="s">
        <v>624</v>
      </c>
      <c r="G152" s="832" t="s">
        <v>613</v>
      </c>
      <c r="H152" s="425">
        <f>H153+H154+H155+H156</f>
        <v>62535537</v>
      </c>
      <c r="I152" s="425">
        <f>I153+I154+I155+I156</f>
        <v>32529110</v>
      </c>
      <c r="J152" s="830">
        <f>K152+N152</f>
        <v>11367831</v>
      </c>
      <c r="K152" s="830">
        <f>L152+M152</f>
        <v>11367831</v>
      </c>
      <c r="L152" s="828">
        <v>0</v>
      </c>
      <c r="M152" s="828">
        <v>11367831</v>
      </c>
      <c r="N152" s="830">
        <f>O152+R152+U152</f>
        <v>0</v>
      </c>
      <c r="O152" s="830">
        <f>P152+Q152</f>
        <v>0</v>
      </c>
      <c r="P152" s="828">
        <v>0</v>
      </c>
      <c r="Q152" s="828">
        <v>0</v>
      </c>
      <c r="R152" s="830">
        <f>S152+T152</f>
        <v>0</v>
      </c>
      <c r="S152" s="828">
        <v>0</v>
      </c>
      <c r="T152" s="828">
        <v>0</v>
      </c>
      <c r="U152" s="830">
        <f>V152+W152</f>
        <v>0</v>
      </c>
      <c r="V152" s="828">
        <v>0</v>
      </c>
      <c r="W152" s="828">
        <v>0</v>
      </c>
    </row>
    <row r="153" spans="1:23" s="426" customFormat="1" ht="15.75" customHeight="1" hidden="1">
      <c r="A153" s="831"/>
      <c r="B153" s="832"/>
      <c r="C153" s="834"/>
      <c r="D153" s="862"/>
      <c r="E153" s="837"/>
      <c r="F153" s="831"/>
      <c r="G153" s="832"/>
      <c r="H153" s="425">
        <v>48061085</v>
      </c>
      <c r="I153" s="425">
        <v>18054658</v>
      </c>
      <c r="J153" s="830"/>
      <c r="K153" s="830"/>
      <c r="L153" s="828"/>
      <c r="M153" s="828"/>
      <c r="N153" s="830"/>
      <c r="O153" s="830"/>
      <c r="P153" s="828"/>
      <c r="Q153" s="828"/>
      <c r="R153" s="830"/>
      <c r="S153" s="828"/>
      <c r="T153" s="828"/>
      <c r="U153" s="830"/>
      <c r="V153" s="828"/>
      <c r="W153" s="828"/>
    </row>
    <row r="154" spans="1:23" s="426" customFormat="1" ht="15.75" customHeight="1" hidden="1">
      <c r="A154" s="831"/>
      <c r="B154" s="832"/>
      <c r="C154" s="834"/>
      <c r="D154" s="862"/>
      <c r="E154" s="837"/>
      <c r="F154" s="831"/>
      <c r="G154" s="832"/>
      <c r="H154" s="425">
        <v>0</v>
      </c>
      <c r="I154" s="425">
        <v>0</v>
      </c>
      <c r="J154" s="427">
        <f>K154+N154</f>
        <v>0</v>
      </c>
      <c r="K154" s="427">
        <f>L154+M154</f>
        <v>0</v>
      </c>
      <c r="L154" s="428">
        <v>0</v>
      </c>
      <c r="M154" s="428">
        <v>0</v>
      </c>
      <c r="N154" s="427">
        <f>O154+R154+U154</f>
        <v>0</v>
      </c>
      <c r="O154" s="427">
        <f>P154+Q154</f>
        <v>0</v>
      </c>
      <c r="P154" s="428">
        <v>0</v>
      </c>
      <c r="Q154" s="428">
        <v>0</v>
      </c>
      <c r="R154" s="427">
        <f>S154+T154</f>
        <v>0</v>
      </c>
      <c r="S154" s="428">
        <v>0</v>
      </c>
      <c r="T154" s="428">
        <v>0</v>
      </c>
      <c r="U154" s="427">
        <f>V154+W154</f>
        <v>0</v>
      </c>
      <c r="V154" s="428">
        <v>0</v>
      </c>
      <c r="W154" s="428">
        <v>0</v>
      </c>
    </row>
    <row r="155" spans="1:23" s="426" customFormat="1" ht="15.75" customHeight="1" hidden="1">
      <c r="A155" s="831"/>
      <c r="B155" s="832"/>
      <c r="C155" s="834"/>
      <c r="D155" s="862"/>
      <c r="E155" s="837"/>
      <c r="F155" s="831"/>
      <c r="G155" s="832"/>
      <c r="H155" s="425">
        <v>14474452</v>
      </c>
      <c r="I155" s="425">
        <v>14474452</v>
      </c>
      <c r="J155" s="830">
        <f aca="true" t="shared" si="27" ref="J155:W155">J152+J154</f>
        <v>11367831</v>
      </c>
      <c r="K155" s="830">
        <f t="shared" si="27"/>
        <v>11367831</v>
      </c>
      <c r="L155" s="828">
        <f t="shared" si="27"/>
        <v>0</v>
      </c>
      <c r="M155" s="828">
        <f t="shared" si="27"/>
        <v>11367831</v>
      </c>
      <c r="N155" s="830">
        <f t="shared" si="27"/>
        <v>0</v>
      </c>
      <c r="O155" s="830">
        <f t="shared" si="27"/>
        <v>0</v>
      </c>
      <c r="P155" s="828">
        <f t="shared" si="27"/>
        <v>0</v>
      </c>
      <c r="Q155" s="828">
        <f t="shared" si="27"/>
        <v>0</v>
      </c>
      <c r="R155" s="830">
        <f t="shared" si="27"/>
        <v>0</v>
      </c>
      <c r="S155" s="828">
        <f t="shared" si="27"/>
        <v>0</v>
      </c>
      <c r="T155" s="828">
        <f t="shared" si="27"/>
        <v>0</v>
      </c>
      <c r="U155" s="830">
        <f t="shared" si="27"/>
        <v>0</v>
      </c>
      <c r="V155" s="828">
        <f t="shared" si="27"/>
        <v>0</v>
      </c>
      <c r="W155" s="828">
        <f t="shared" si="27"/>
        <v>0</v>
      </c>
    </row>
    <row r="156" spans="1:23" s="426" customFormat="1" ht="15.75" customHeight="1" hidden="1">
      <c r="A156" s="831"/>
      <c r="B156" s="832"/>
      <c r="C156" s="834"/>
      <c r="D156" s="862"/>
      <c r="E156" s="838"/>
      <c r="F156" s="831"/>
      <c r="G156" s="832"/>
      <c r="H156" s="425">
        <v>0</v>
      </c>
      <c r="I156" s="425">
        <v>0</v>
      </c>
      <c r="J156" s="830"/>
      <c r="K156" s="830"/>
      <c r="L156" s="828"/>
      <c r="M156" s="828"/>
      <c r="N156" s="830"/>
      <c r="O156" s="830"/>
      <c r="P156" s="828"/>
      <c r="Q156" s="828"/>
      <c r="R156" s="830"/>
      <c r="S156" s="828"/>
      <c r="T156" s="828"/>
      <c r="U156" s="830"/>
      <c r="V156" s="828"/>
      <c r="W156" s="828"/>
    </row>
    <row r="157" spans="1:23" s="426" customFormat="1" ht="15.75" customHeight="1" hidden="1">
      <c r="A157" s="831">
        <v>1</v>
      </c>
      <c r="B157" s="832" t="s">
        <v>537</v>
      </c>
      <c r="C157" s="834" t="s">
        <v>659</v>
      </c>
      <c r="D157" s="862" t="s">
        <v>665</v>
      </c>
      <c r="E157" s="836" t="s">
        <v>623</v>
      </c>
      <c r="F157" s="831" t="s">
        <v>624</v>
      </c>
      <c r="G157" s="832" t="s">
        <v>613</v>
      </c>
      <c r="H157" s="425">
        <f>H158+H159+H160+H161</f>
        <v>17405259</v>
      </c>
      <c r="I157" s="425">
        <f>I158+I159+I160+I161</f>
        <v>4095110</v>
      </c>
      <c r="J157" s="830">
        <f>K157+N157</f>
        <v>11199220</v>
      </c>
      <c r="K157" s="830">
        <f>L157+M157</f>
        <v>10004742</v>
      </c>
      <c r="L157" s="828">
        <v>41772</v>
      </c>
      <c r="M157" s="828">
        <v>9962970</v>
      </c>
      <c r="N157" s="830">
        <f>O157+R157+U157</f>
        <v>1194478</v>
      </c>
      <c r="O157" s="830">
        <f>P157+Q157</f>
        <v>521684</v>
      </c>
      <c r="P157" s="828">
        <v>0</v>
      </c>
      <c r="Q157" s="828">
        <v>521684</v>
      </c>
      <c r="R157" s="830">
        <f>S157+T157</f>
        <v>672794</v>
      </c>
      <c r="S157" s="828">
        <v>7371</v>
      </c>
      <c r="T157" s="828">
        <v>665423</v>
      </c>
      <c r="U157" s="830">
        <f>V157+W157</f>
        <v>0</v>
      </c>
      <c r="V157" s="828">
        <v>0</v>
      </c>
      <c r="W157" s="828">
        <v>0</v>
      </c>
    </row>
    <row r="158" spans="1:23" s="426" customFormat="1" ht="15.75" customHeight="1" hidden="1">
      <c r="A158" s="831"/>
      <c r="B158" s="832"/>
      <c r="C158" s="834"/>
      <c r="D158" s="862"/>
      <c r="E158" s="837"/>
      <c r="F158" s="831"/>
      <c r="G158" s="832"/>
      <c r="H158" s="425">
        <v>13053944</v>
      </c>
      <c r="I158" s="425">
        <v>938273</v>
      </c>
      <c r="J158" s="830"/>
      <c r="K158" s="830"/>
      <c r="L158" s="828"/>
      <c r="M158" s="828"/>
      <c r="N158" s="830"/>
      <c r="O158" s="830"/>
      <c r="P158" s="828"/>
      <c r="Q158" s="828"/>
      <c r="R158" s="830"/>
      <c r="S158" s="828"/>
      <c r="T158" s="828"/>
      <c r="U158" s="830"/>
      <c r="V158" s="828"/>
      <c r="W158" s="828"/>
    </row>
    <row r="159" spans="1:23" s="426" customFormat="1" ht="15.75" customHeight="1" hidden="1">
      <c r="A159" s="831"/>
      <c r="B159" s="832"/>
      <c r="C159" s="834"/>
      <c r="D159" s="862"/>
      <c r="E159" s="837"/>
      <c r="F159" s="831"/>
      <c r="G159" s="832"/>
      <c r="H159" s="425">
        <v>1740526</v>
      </c>
      <c r="I159" s="425">
        <v>1218842</v>
      </c>
      <c r="J159" s="427">
        <f>K159+N159</f>
        <v>0</v>
      </c>
      <c r="K159" s="427">
        <f>L159+M159</f>
        <v>0</v>
      </c>
      <c r="L159" s="428">
        <v>0</v>
      </c>
      <c r="M159" s="428">
        <v>0</v>
      </c>
      <c r="N159" s="427">
        <f>O159+R159+U159</f>
        <v>0</v>
      </c>
      <c r="O159" s="427">
        <f>P159+Q159</f>
        <v>0</v>
      </c>
      <c r="P159" s="428">
        <v>0</v>
      </c>
      <c r="Q159" s="428">
        <v>0</v>
      </c>
      <c r="R159" s="427">
        <f>S159+T159</f>
        <v>0</v>
      </c>
      <c r="S159" s="428">
        <v>0</v>
      </c>
      <c r="T159" s="428">
        <v>0</v>
      </c>
      <c r="U159" s="427">
        <f>V159+W159</f>
        <v>0</v>
      </c>
      <c r="V159" s="428">
        <v>0</v>
      </c>
      <c r="W159" s="428">
        <v>0</v>
      </c>
    </row>
    <row r="160" spans="1:23" s="426" customFormat="1" ht="15.75" customHeight="1" hidden="1">
      <c r="A160" s="831"/>
      <c r="B160" s="832"/>
      <c r="C160" s="834"/>
      <c r="D160" s="862"/>
      <c r="E160" s="837"/>
      <c r="F160" s="831"/>
      <c r="G160" s="832"/>
      <c r="H160" s="425">
        <v>2610789</v>
      </c>
      <c r="I160" s="425">
        <v>1937995</v>
      </c>
      <c r="J160" s="830">
        <f aca="true" t="shared" si="28" ref="J160:W160">J157+J159</f>
        <v>11199220</v>
      </c>
      <c r="K160" s="830">
        <f t="shared" si="28"/>
        <v>10004742</v>
      </c>
      <c r="L160" s="828">
        <f t="shared" si="28"/>
        <v>41772</v>
      </c>
      <c r="M160" s="828">
        <f t="shared" si="28"/>
        <v>9962970</v>
      </c>
      <c r="N160" s="830">
        <f t="shared" si="28"/>
        <v>1194478</v>
      </c>
      <c r="O160" s="830">
        <f t="shared" si="28"/>
        <v>521684</v>
      </c>
      <c r="P160" s="828">
        <f t="shared" si="28"/>
        <v>0</v>
      </c>
      <c r="Q160" s="828">
        <f t="shared" si="28"/>
        <v>521684</v>
      </c>
      <c r="R160" s="830">
        <f t="shared" si="28"/>
        <v>672794</v>
      </c>
      <c r="S160" s="828">
        <f t="shared" si="28"/>
        <v>7371</v>
      </c>
      <c r="T160" s="828">
        <f t="shared" si="28"/>
        <v>665423</v>
      </c>
      <c r="U160" s="830">
        <f t="shared" si="28"/>
        <v>0</v>
      </c>
      <c r="V160" s="828">
        <f t="shared" si="28"/>
        <v>0</v>
      </c>
      <c r="W160" s="828">
        <f t="shared" si="28"/>
        <v>0</v>
      </c>
    </row>
    <row r="161" spans="1:23" s="426" customFormat="1" ht="15.75" customHeight="1" hidden="1">
      <c r="A161" s="831"/>
      <c r="B161" s="832"/>
      <c r="C161" s="834"/>
      <c r="D161" s="862"/>
      <c r="E161" s="838"/>
      <c r="F161" s="831"/>
      <c r="G161" s="832"/>
      <c r="H161" s="425">
        <v>0</v>
      </c>
      <c r="I161" s="425">
        <v>0</v>
      </c>
      <c r="J161" s="830"/>
      <c r="K161" s="830"/>
      <c r="L161" s="828"/>
      <c r="M161" s="828"/>
      <c r="N161" s="830"/>
      <c r="O161" s="830"/>
      <c r="P161" s="828"/>
      <c r="Q161" s="828"/>
      <c r="R161" s="830"/>
      <c r="S161" s="828"/>
      <c r="T161" s="828"/>
      <c r="U161" s="830"/>
      <c r="V161" s="828"/>
      <c r="W161" s="828"/>
    </row>
    <row r="162" spans="1:23" s="426" customFormat="1" ht="15.75" customHeight="1" hidden="1">
      <c r="A162" s="831">
        <v>29</v>
      </c>
      <c r="B162" s="832" t="s">
        <v>537</v>
      </c>
      <c r="C162" s="834" t="s">
        <v>659</v>
      </c>
      <c r="D162" s="862" t="s">
        <v>666</v>
      </c>
      <c r="E162" s="836" t="s">
        <v>623</v>
      </c>
      <c r="F162" s="831" t="s">
        <v>624</v>
      </c>
      <c r="G162" s="832" t="s">
        <v>613</v>
      </c>
      <c r="H162" s="425">
        <f>H163+H164+H165+H166</f>
        <v>39038065</v>
      </c>
      <c r="I162" s="425">
        <f>I163+I164+I165+I166</f>
        <v>3081263</v>
      </c>
      <c r="J162" s="830">
        <f>K162+N162</f>
        <v>1393187</v>
      </c>
      <c r="K162" s="830">
        <f>L162+M162</f>
        <v>0</v>
      </c>
      <c r="L162" s="828">
        <v>0</v>
      </c>
      <c r="M162" s="828">
        <v>0</v>
      </c>
      <c r="N162" s="830">
        <f>O162+R162+U162</f>
        <v>1393187</v>
      </c>
      <c r="O162" s="830">
        <f>P162+Q162</f>
        <v>0</v>
      </c>
      <c r="P162" s="828">
        <v>0</v>
      </c>
      <c r="Q162" s="828">
        <v>0</v>
      </c>
      <c r="R162" s="830">
        <f>S162+T162</f>
        <v>1393187</v>
      </c>
      <c r="S162" s="828">
        <v>0</v>
      </c>
      <c r="T162" s="828">
        <v>1393187</v>
      </c>
      <c r="U162" s="830">
        <f>V162+W162</f>
        <v>0</v>
      </c>
      <c r="V162" s="828">
        <v>0</v>
      </c>
      <c r="W162" s="828">
        <v>0</v>
      </c>
    </row>
    <row r="163" spans="1:23" s="426" customFormat="1" ht="15.75" customHeight="1" hidden="1">
      <c r="A163" s="831"/>
      <c r="B163" s="832"/>
      <c r="C163" s="834"/>
      <c r="D163" s="862"/>
      <c r="E163" s="837"/>
      <c r="F163" s="831"/>
      <c r="G163" s="832"/>
      <c r="H163" s="425">
        <v>34563615</v>
      </c>
      <c r="I163" s="425">
        <v>0</v>
      </c>
      <c r="J163" s="830"/>
      <c r="K163" s="830"/>
      <c r="L163" s="828"/>
      <c r="M163" s="828"/>
      <c r="N163" s="830"/>
      <c r="O163" s="830"/>
      <c r="P163" s="828"/>
      <c r="Q163" s="828"/>
      <c r="R163" s="830"/>
      <c r="S163" s="828"/>
      <c r="T163" s="828"/>
      <c r="U163" s="830"/>
      <c r="V163" s="828"/>
      <c r="W163" s="828"/>
    </row>
    <row r="164" spans="1:23" s="426" customFormat="1" ht="15.75" customHeight="1" hidden="1">
      <c r="A164" s="831"/>
      <c r="B164" s="832"/>
      <c r="C164" s="834"/>
      <c r="D164" s="862"/>
      <c r="E164" s="837"/>
      <c r="F164" s="831"/>
      <c r="G164" s="832"/>
      <c r="H164" s="425">
        <v>0</v>
      </c>
      <c r="I164" s="425">
        <v>0</v>
      </c>
      <c r="J164" s="427">
        <f>K164+N164</f>
        <v>0</v>
      </c>
      <c r="K164" s="427">
        <f>L164+M164</f>
        <v>0</v>
      </c>
      <c r="L164" s="428">
        <v>0</v>
      </c>
      <c r="M164" s="428">
        <v>0</v>
      </c>
      <c r="N164" s="427">
        <f>O164+R164+U164</f>
        <v>0</v>
      </c>
      <c r="O164" s="427">
        <f>P164+Q164</f>
        <v>0</v>
      </c>
      <c r="P164" s="428">
        <v>0</v>
      </c>
      <c r="Q164" s="428">
        <v>0</v>
      </c>
      <c r="R164" s="427">
        <f>S164+T164</f>
        <v>0</v>
      </c>
      <c r="S164" s="428">
        <v>0</v>
      </c>
      <c r="T164" s="428">
        <v>0</v>
      </c>
      <c r="U164" s="427">
        <f>V164+W164</f>
        <v>0</v>
      </c>
      <c r="V164" s="428">
        <v>0</v>
      </c>
      <c r="W164" s="428">
        <v>0</v>
      </c>
    </row>
    <row r="165" spans="1:23" s="426" customFormat="1" ht="15.75" customHeight="1" hidden="1">
      <c r="A165" s="831"/>
      <c r="B165" s="832"/>
      <c r="C165" s="834"/>
      <c r="D165" s="862"/>
      <c r="E165" s="837"/>
      <c r="F165" s="831"/>
      <c r="G165" s="832"/>
      <c r="H165" s="425">
        <v>4474450</v>
      </c>
      <c r="I165" s="425">
        <v>3081263</v>
      </c>
      <c r="J165" s="830">
        <f aca="true" t="shared" si="29" ref="J165:W165">J162+J164</f>
        <v>1393187</v>
      </c>
      <c r="K165" s="830">
        <f t="shared" si="29"/>
        <v>0</v>
      </c>
      <c r="L165" s="828">
        <f t="shared" si="29"/>
        <v>0</v>
      </c>
      <c r="M165" s="828">
        <f t="shared" si="29"/>
        <v>0</v>
      </c>
      <c r="N165" s="830">
        <f t="shared" si="29"/>
        <v>1393187</v>
      </c>
      <c r="O165" s="830">
        <f t="shared" si="29"/>
        <v>0</v>
      </c>
      <c r="P165" s="828">
        <f t="shared" si="29"/>
        <v>0</v>
      </c>
      <c r="Q165" s="828">
        <f t="shared" si="29"/>
        <v>0</v>
      </c>
      <c r="R165" s="830">
        <f t="shared" si="29"/>
        <v>1393187</v>
      </c>
      <c r="S165" s="828">
        <f t="shared" si="29"/>
        <v>0</v>
      </c>
      <c r="T165" s="828">
        <f t="shared" si="29"/>
        <v>1393187</v>
      </c>
      <c r="U165" s="830">
        <f t="shared" si="29"/>
        <v>0</v>
      </c>
      <c r="V165" s="828">
        <f t="shared" si="29"/>
        <v>0</v>
      </c>
      <c r="W165" s="828">
        <f t="shared" si="29"/>
        <v>0</v>
      </c>
    </row>
    <row r="166" spans="1:23" s="426" customFormat="1" ht="15.75" customHeight="1" hidden="1">
      <c r="A166" s="831"/>
      <c r="B166" s="832"/>
      <c r="C166" s="834"/>
      <c r="D166" s="862"/>
      <c r="E166" s="838"/>
      <c r="F166" s="831"/>
      <c r="G166" s="832"/>
      <c r="H166" s="425">
        <v>0</v>
      </c>
      <c r="I166" s="425">
        <v>0</v>
      </c>
      <c r="J166" s="830"/>
      <c r="K166" s="830"/>
      <c r="L166" s="828"/>
      <c r="M166" s="828"/>
      <c r="N166" s="830"/>
      <c r="O166" s="830"/>
      <c r="P166" s="828"/>
      <c r="Q166" s="828"/>
      <c r="R166" s="830"/>
      <c r="S166" s="828"/>
      <c r="T166" s="828"/>
      <c r="U166" s="830"/>
      <c r="V166" s="828"/>
      <c r="W166" s="828"/>
    </row>
    <row r="167" spans="1:23" s="426" customFormat="1" ht="15.75" customHeight="1" hidden="1">
      <c r="A167" s="831">
        <v>30</v>
      </c>
      <c r="B167" s="832" t="s">
        <v>537</v>
      </c>
      <c r="C167" s="834" t="s">
        <v>659</v>
      </c>
      <c r="D167" s="862" t="s">
        <v>667</v>
      </c>
      <c r="E167" s="836" t="s">
        <v>623</v>
      </c>
      <c r="F167" s="831" t="s">
        <v>624</v>
      </c>
      <c r="G167" s="832" t="s">
        <v>630</v>
      </c>
      <c r="H167" s="425">
        <f>H168+H169+H170+H171</f>
        <v>65000000</v>
      </c>
      <c r="I167" s="425">
        <f>I168+I169+I170+I171</f>
        <v>125795</v>
      </c>
      <c r="J167" s="830">
        <f>K167+N167</f>
        <v>9027144</v>
      </c>
      <c r="K167" s="830">
        <f>L167+M167</f>
        <v>7673073</v>
      </c>
      <c r="L167" s="828">
        <v>0</v>
      </c>
      <c r="M167" s="828">
        <v>7673073</v>
      </c>
      <c r="N167" s="830">
        <f>O167+R167+U167</f>
        <v>1354071</v>
      </c>
      <c r="O167" s="830">
        <f>P167+Q167</f>
        <v>0</v>
      </c>
      <c r="P167" s="828">
        <v>0</v>
      </c>
      <c r="Q167" s="828">
        <v>0</v>
      </c>
      <c r="R167" s="830">
        <f>S167+T167</f>
        <v>1354071</v>
      </c>
      <c r="S167" s="828">
        <v>0</v>
      </c>
      <c r="T167" s="828">
        <v>1354071</v>
      </c>
      <c r="U167" s="830">
        <f>V167+W167</f>
        <v>0</v>
      </c>
      <c r="V167" s="828">
        <v>0</v>
      </c>
      <c r="W167" s="828">
        <v>0</v>
      </c>
    </row>
    <row r="168" spans="1:23" s="426" customFormat="1" ht="15.75" customHeight="1" hidden="1">
      <c r="A168" s="831"/>
      <c r="B168" s="832"/>
      <c r="C168" s="834"/>
      <c r="D168" s="862"/>
      <c r="E168" s="837"/>
      <c r="F168" s="831"/>
      <c r="G168" s="832"/>
      <c r="H168" s="425">
        <v>55250000</v>
      </c>
      <c r="I168" s="425">
        <v>0</v>
      </c>
      <c r="J168" s="830"/>
      <c r="K168" s="830"/>
      <c r="L168" s="828"/>
      <c r="M168" s="828"/>
      <c r="N168" s="830"/>
      <c r="O168" s="830"/>
      <c r="P168" s="828"/>
      <c r="Q168" s="828"/>
      <c r="R168" s="830"/>
      <c r="S168" s="828"/>
      <c r="T168" s="828"/>
      <c r="U168" s="830"/>
      <c r="V168" s="828"/>
      <c r="W168" s="828"/>
    </row>
    <row r="169" spans="1:23" s="426" customFormat="1" ht="15.75" customHeight="1" hidden="1">
      <c r="A169" s="831"/>
      <c r="B169" s="832"/>
      <c r="C169" s="834"/>
      <c r="D169" s="862"/>
      <c r="E169" s="837"/>
      <c r="F169" s="831"/>
      <c r="G169" s="832"/>
      <c r="H169" s="425">
        <v>0</v>
      </c>
      <c r="I169" s="425">
        <v>0</v>
      </c>
      <c r="J169" s="427">
        <f>K169+N169</f>
        <v>0</v>
      </c>
      <c r="K169" s="427">
        <f>L169+M169</f>
        <v>0</v>
      </c>
      <c r="L169" s="428">
        <v>0</v>
      </c>
      <c r="M169" s="428">
        <v>0</v>
      </c>
      <c r="N169" s="427">
        <f>O169+R169+U169</f>
        <v>0</v>
      </c>
      <c r="O169" s="427">
        <f>P169+Q169</f>
        <v>0</v>
      </c>
      <c r="P169" s="428">
        <v>0</v>
      </c>
      <c r="Q169" s="428">
        <v>0</v>
      </c>
      <c r="R169" s="427">
        <f>S169+T169</f>
        <v>0</v>
      </c>
      <c r="S169" s="428">
        <v>0</v>
      </c>
      <c r="T169" s="428">
        <v>0</v>
      </c>
      <c r="U169" s="427">
        <f>V169+W169</f>
        <v>0</v>
      </c>
      <c r="V169" s="428">
        <v>0</v>
      </c>
      <c r="W169" s="428">
        <v>0</v>
      </c>
    </row>
    <row r="170" spans="1:23" s="426" customFormat="1" ht="15.75" customHeight="1" hidden="1">
      <c r="A170" s="831"/>
      <c r="B170" s="832"/>
      <c r="C170" s="834"/>
      <c r="D170" s="862"/>
      <c r="E170" s="837"/>
      <c r="F170" s="831"/>
      <c r="G170" s="832"/>
      <c r="H170" s="425">
        <v>9750000</v>
      </c>
      <c r="I170" s="425">
        <v>125795</v>
      </c>
      <c r="J170" s="830">
        <f aca="true" t="shared" si="30" ref="J170:W170">J167+J169</f>
        <v>9027144</v>
      </c>
      <c r="K170" s="830">
        <f t="shared" si="30"/>
        <v>7673073</v>
      </c>
      <c r="L170" s="828">
        <f t="shared" si="30"/>
        <v>0</v>
      </c>
      <c r="M170" s="828">
        <f t="shared" si="30"/>
        <v>7673073</v>
      </c>
      <c r="N170" s="830">
        <f t="shared" si="30"/>
        <v>1354071</v>
      </c>
      <c r="O170" s="830">
        <f t="shared" si="30"/>
        <v>0</v>
      </c>
      <c r="P170" s="828">
        <f t="shared" si="30"/>
        <v>0</v>
      </c>
      <c r="Q170" s="828">
        <f t="shared" si="30"/>
        <v>0</v>
      </c>
      <c r="R170" s="830">
        <f t="shared" si="30"/>
        <v>1354071</v>
      </c>
      <c r="S170" s="828">
        <f t="shared" si="30"/>
        <v>0</v>
      </c>
      <c r="T170" s="828">
        <f t="shared" si="30"/>
        <v>1354071</v>
      </c>
      <c r="U170" s="830">
        <f t="shared" si="30"/>
        <v>0</v>
      </c>
      <c r="V170" s="828">
        <f t="shared" si="30"/>
        <v>0</v>
      </c>
      <c r="W170" s="828">
        <f t="shared" si="30"/>
        <v>0</v>
      </c>
    </row>
    <row r="171" spans="1:23" s="426" customFormat="1" ht="15.75" customHeight="1" hidden="1">
      <c r="A171" s="831"/>
      <c r="B171" s="832"/>
      <c r="C171" s="834"/>
      <c r="D171" s="862"/>
      <c r="E171" s="838"/>
      <c r="F171" s="831"/>
      <c r="G171" s="832"/>
      <c r="H171" s="425">
        <v>0</v>
      </c>
      <c r="I171" s="425">
        <v>0</v>
      </c>
      <c r="J171" s="830"/>
      <c r="K171" s="830"/>
      <c r="L171" s="828"/>
      <c r="M171" s="828"/>
      <c r="N171" s="830"/>
      <c r="O171" s="830"/>
      <c r="P171" s="828"/>
      <c r="Q171" s="828"/>
      <c r="R171" s="830"/>
      <c r="S171" s="828"/>
      <c r="T171" s="828"/>
      <c r="U171" s="830"/>
      <c r="V171" s="828"/>
      <c r="W171" s="828"/>
    </row>
    <row r="172" spans="1:23" s="426" customFormat="1" ht="15.75" customHeight="1" hidden="1">
      <c r="A172" s="831">
        <v>31</v>
      </c>
      <c r="B172" s="832" t="s">
        <v>537</v>
      </c>
      <c r="C172" s="834" t="s">
        <v>659</v>
      </c>
      <c r="D172" s="862" t="s">
        <v>668</v>
      </c>
      <c r="E172" s="836" t="s">
        <v>623</v>
      </c>
      <c r="F172" s="831" t="s">
        <v>624</v>
      </c>
      <c r="G172" s="832" t="s">
        <v>630</v>
      </c>
      <c r="H172" s="425">
        <f>H173+H174+H175+H176</f>
        <v>46000000</v>
      </c>
      <c r="I172" s="425">
        <f>I173+I174+I175+I176</f>
        <v>27675</v>
      </c>
      <c r="J172" s="830">
        <f>K172+N172</f>
        <v>2682779</v>
      </c>
      <c r="K172" s="830">
        <f>L172+M172</f>
        <v>2303886</v>
      </c>
      <c r="L172" s="828">
        <v>0</v>
      </c>
      <c r="M172" s="828">
        <v>2303886</v>
      </c>
      <c r="N172" s="830">
        <f>O172+R172+U172</f>
        <v>378893</v>
      </c>
      <c r="O172" s="830">
        <f>P172+Q172</f>
        <v>0</v>
      </c>
      <c r="P172" s="828">
        <v>0</v>
      </c>
      <c r="Q172" s="828">
        <v>0</v>
      </c>
      <c r="R172" s="830">
        <f>S172+T172</f>
        <v>378893</v>
      </c>
      <c r="S172" s="828">
        <v>0</v>
      </c>
      <c r="T172" s="828">
        <v>378893</v>
      </c>
      <c r="U172" s="830">
        <f>V172+W172</f>
        <v>0</v>
      </c>
      <c r="V172" s="828">
        <v>0</v>
      </c>
      <c r="W172" s="828">
        <v>0</v>
      </c>
    </row>
    <row r="173" spans="1:23" s="426" customFormat="1" ht="15.75" customHeight="1" hidden="1">
      <c r="A173" s="831"/>
      <c r="B173" s="832"/>
      <c r="C173" s="834"/>
      <c r="D173" s="862"/>
      <c r="E173" s="837"/>
      <c r="F173" s="831"/>
      <c r="G173" s="832"/>
      <c r="H173" s="425">
        <v>39100000</v>
      </c>
      <c r="I173" s="425">
        <v>0</v>
      </c>
      <c r="J173" s="830"/>
      <c r="K173" s="830"/>
      <c r="L173" s="828"/>
      <c r="M173" s="828"/>
      <c r="N173" s="830"/>
      <c r="O173" s="830"/>
      <c r="P173" s="828"/>
      <c r="Q173" s="828"/>
      <c r="R173" s="830"/>
      <c r="S173" s="828"/>
      <c r="T173" s="828"/>
      <c r="U173" s="830"/>
      <c r="V173" s="828"/>
      <c r="W173" s="828"/>
    </row>
    <row r="174" spans="1:23" s="426" customFormat="1" ht="15.75" customHeight="1" hidden="1">
      <c r="A174" s="831"/>
      <c r="B174" s="832"/>
      <c r="C174" s="834"/>
      <c r="D174" s="862"/>
      <c r="E174" s="837"/>
      <c r="F174" s="831"/>
      <c r="G174" s="832"/>
      <c r="H174" s="425">
        <v>0</v>
      </c>
      <c r="I174" s="425">
        <v>0</v>
      </c>
      <c r="J174" s="427">
        <f>K174+N174</f>
        <v>0</v>
      </c>
      <c r="K174" s="427">
        <f>L174+M174</f>
        <v>0</v>
      </c>
      <c r="L174" s="428">
        <v>0</v>
      </c>
      <c r="M174" s="428">
        <v>0</v>
      </c>
      <c r="N174" s="427">
        <f>O174+R174+U174</f>
        <v>0</v>
      </c>
      <c r="O174" s="427">
        <f>P174+Q174</f>
        <v>0</v>
      </c>
      <c r="P174" s="428">
        <v>0</v>
      </c>
      <c r="Q174" s="428">
        <v>0</v>
      </c>
      <c r="R174" s="427">
        <f>S174+T174</f>
        <v>0</v>
      </c>
      <c r="S174" s="428">
        <v>0</v>
      </c>
      <c r="T174" s="428">
        <v>0</v>
      </c>
      <c r="U174" s="427">
        <f>V174+W174</f>
        <v>0</v>
      </c>
      <c r="V174" s="428">
        <v>0</v>
      </c>
      <c r="W174" s="428">
        <v>0</v>
      </c>
    </row>
    <row r="175" spans="1:23" s="426" customFormat="1" ht="15.75" customHeight="1" hidden="1">
      <c r="A175" s="831"/>
      <c r="B175" s="832"/>
      <c r="C175" s="834"/>
      <c r="D175" s="862"/>
      <c r="E175" s="837"/>
      <c r="F175" s="831"/>
      <c r="G175" s="832"/>
      <c r="H175" s="425">
        <v>6900000</v>
      </c>
      <c r="I175" s="425">
        <v>27675</v>
      </c>
      <c r="J175" s="830">
        <f aca="true" t="shared" si="31" ref="J175:W175">J172+J174</f>
        <v>2682779</v>
      </c>
      <c r="K175" s="830">
        <f t="shared" si="31"/>
        <v>2303886</v>
      </c>
      <c r="L175" s="828">
        <f t="shared" si="31"/>
        <v>0</v>
      </c>
      <c r="M175" s="828">
        <f t="shared" si="31"/>
        <v>2303886</v>
      </c>
      <c r="N175" s="830">
        <f t="shared" si="31"/>
        <v>378893</v>
      </c>
      <c r="O175" s="830">
        <f t="shared" si="31"/>
        <v>0</v>
      </c>
      <c r="P175" s="828">
        <f t="shared" si="31"/>
        <v>0</v>
      </c>
      <c r="Q175" s="828">
        <f t="shared" si="31"/>
        <v>0</v>
      </c>
      <c r="R175" s="830">
        <f t="shared" si="31"/>
        <v>378893</v>
      </c>
      <c r="S175" s="828">
        <f t="shared" si="31"/>
        <v>0</v>
      </c>
      <c r="T175" s="828">
        <f t="shared" si="31"/>
        <v>378893</v>
      </c>
      <c r="U175" s="830">
        <f t="shared" si="31"/>
        <v>0</v>
      </c>
      <c r="V175" s="828">
        <f t="shared" si="31"/>
        <v>0</v>
      </c>
      <c r="W175" s="828">
        <f t="shared" si="31"/>
        <v>0</v>
      </c>
    </row>
    <row r="176" spans="1:23" s="426" customFormat="1" ht="15.75" customHeight="1" hidden="1">
      <c r="A176" s="831"/>
      <c r="B176" s="832"/>
      <c r="C176" s="834"/>
      <c r="D176" s="862"/>
      <c r="E176" s="838"/>
      <c r="F176" s="831"/>
      <c r="G176" s="832"/>
      <c r="H176" s="425">
        <v>0</v>
      </c>
      <c r="I176" s="425">
        <v>0</v>
      </c>
      <c r="J176" s="830"/>
      <c r="K176" s="830"/>
      <c r="L176" s="828"/>
      <c r="M176" s="828"/>
      <c r="N176" s="830"/>
      <c r="O176" s="830"/>
      <c r="P176" s="828"/>
      <c r="Q176" s="828"/>
      <c r="R176" s="830"/>
      <c r="S176" s="828"/>
      <c r="T176" s="828"/>
      <c r="U176" s="830"/>
      <c r="V176" s="828"/>
      <c r="W176" s="828"/>
    </row>
    <row r="177" spans="1:23" s="426" customFormat="1" ht="15.75" customHeight="1" hidden="1">
      <c r="A177" s="831">
        <v>32</v>
      </c>
      <c r="B177" s="832" t="s">
        <v>537</v>
      </c>
      <c r="C177" s="834" t="s">
        <v>659</v>
      </c>
      <c r="D177" s="862" t="s">
        <v>669</v>
      </c>
      <c r="E177" s="836" t="s">
        <v>623</v>
      </c>
      <c r="F177" s="831" t="s">
        <v>624</v>
      </c>
      <c r="G177" s="832" t="s">
        <v>613</v>
      </c>
      <c r="H177" s="425">
        <f>H178+H179+H180+H181</f>
        <v>19703603</v>
      </c>
      <c r="I177" s="425">
        <f>I178+I179+I180+I181</f>
        <v>3161102</v>
      </c>
      <c r="J177" s="830">
        <f>K177+N177</f>
        <v>12976021</v>
      </c>
      <c r="K177" s="830">
        <f>L177+M177</f>
        <v>11034259</v>
      </c>
      <c r="L177" s="828">
        <v>55571</v>
      </c>
      <c r="M177" s="828">
        <v>10978688</v>
      </c>
      <c r="N177" s="830">
        <f>O177+R177+U177</f>
        <v>1941762</v>
      </c>
      <c r="O177" s="830">
        <f>P177+Q177</f>
        <v>0</v>
      </c>
      <c r="P177" s="828">
        <v>0</v>
      </c>
      <c r="Q177" s="828">
        <v>0</v>
      </c>
      <c r="R177" s="830">
        <f>S177+T177</f>
        <v>936853</v>
      </c>
      <c r="S177" s="828">
        <v>9808</v>
      </c>
      <c r="T177" s="828">
        <v>927045</v>
      </c>
      <c r="U177" s="830">
        <f>V177+W177</f>
        <v>1004909</v>
      </c>
      <c r="V177" s="828">
        <v>0</v>
      </c>
      <c r="W177" s="828">
        <v>1004909</v>
      </c>
    </row>
    <row r="178" spans="1:23" s="426" customFormat="1" ht="15.75" customHeight="1" hidden="1">
      <c r="A178" s="831"/>
      <c r="B178" s="832"/>
      <c r="C178" s="834"/>
      <c r="D178" s="862"/>
      <c r="E178" s="837"/>
      <c r="F178" s="831"/>
      <c r="G178" s="832"/>
      <c r="H178" s="425">
        <v>15768662</v>
      </c>
      <c r="I178" s="425">
        <v>1167923</v>
      </c>
      <c r="J178" s="830"/>
      <c r="K178" s="830"/>
      <c r="L178" s="828"/>
      <c r="M178" s="828"/>
      <c r="N178" s="830"/>
      <c r="O178" s="830"/>
      <c r="P178" s="828"/>
      <c r="Q178" s="828"/>
      <c r="R178" s="830"/>
      <c r="S178" s="828"/>
      <c r="T178" s="828"/>
      <c r="U178" s="830"/>
      <c r="V178" s="828"/>
      <c r="W178" s="828"/>
    </row>
    <row r="179" spans="1:23" s="426" customFormat="1" ht="15.75" customHeight="1" hidden="1">
      <c r="A179" s="831"/>
      <c r="B179" s="832"/>
      <c r="C179" s="834"/>
      <c r="D179" s="862"/>
      <c r="E179" s="837"/>
      <c r="F179" s="831"/>
      <c r="G179" s="832"/>
      <c r="H179" s="425">
        <v>0</v>
      </c>
      <c r="I179" s="425">
        <v>0</v>
      </c>
      <c r="J179" s="427">
        <f>K179+N179</f>
        <v>0</v>
      </c>
      <c r="K179" s="427">
        <f>L179+M179</f>
        <v>0</v>
      </c>
      <c r="L179" s="428">
        <v>0</v>
      </c>
      <c r="M179" s="428">
        <v>0</v>
      </c>
      <c r="N179" s="427">
        <f>O179+R179+U179</f>
        <v>0</v>
      </c>
      <c r="O179" s="427">
        <f>P179+Q179</f>
        <v>0</v>
      </c>
      <c r="P179" s="428">
        <v>0</v>
      </c>
      <c r="Q179" s="428">
        <v>0</v>
      </c>
      <c r="R179" s="427">
        <f>S179+T179</f>
        <v>0</v>
      </c>
      <c r="S179" s="428">
        <v>0</v>
      </c>
      <c r="T179" s="428">
        <v>0</v>
      </c>
      <c r="U179" s="427">
        <f>V179+W179</f>
        <v>0</v>
      </c>
      <c r="V179" s="428">
        <v>0</v>
      </c>
      <c r="W179" s="428">
        <v>0</v>
      </c>
    </row>
    <row r="180" spans="1:23" s="426" customFormat="1" ht="15.75" customHeight="1" hidden="1">
      <c r="A180" s="831"/>
      <c r="B180" s="832"/>
      <c r="C180" s="834"/>
      <c r="D180" s="862"/>
      <c r="E180" s="837"/>
      <c r="F180" s="831"/>
      <c r="G180" s="832"/>
      <c r="H180" s="425">
        <v>2553411</v>
      </c>
      <c r="I180" s="425">
        <v>1616558</v>
      </c>
      <c r="J180" s="830">
        <f aca="true" t="shared" si="32" ref="J180:W180">J177+J179</f>
        <v>12976021</v>
      </c>
      <c r="K180" s="830">
        <f t="shared" si="32"/>
        <v>11034259</v>
      </c>
      <c r="L180" s="828">
        <f t="shared" si="32"/>
        <v>55571</v>
      </c>
      <c r="M180" s="828">
        <f t="shared" si="32"/>
        <v>10978688</v>
      </c>
      <c r="N180" s="830">
        <f t="shared" si="32"/>
        <v>1941762</v>
      </c>
      <c r="O180" s="830">
        <f t="shared" si="32"/>
        <v>0</v>
      </c>
      <c r="P180" s="828">
        <f t="shared" si="32"/>
        <v>0</v>
      </c>
      <c r="Q180" s="828">
        <f t="shared" si="32"/>
        <v>0</v>
      </c>
      <c r="R180" s="830">
        <f t="shared" si="32"/>
        <v>936853</v>
      </c>
      <c r="S180" s="828">
        <f t="shared" si="32"/>
        <v>9808</v>
      </c>
      <c r="T180" s="828">
        <f t="shared" si="32"/>
        <v>927045</v>
      </c>
      <c r="U180" s="830">
        <f t="shared" si="32"/>
        <v>1004909</v>
      </c>
      <c r="V180" s="828">
        <f t="shared" si="32"/>
        <v>0</v>
      </c>
      <c r="W180" s="828">
        <f t="shared" si="32"/>
        <v>1004909</v>
      </c>
    </row>
    <row r="181" spans="1:23" s="426" customFormat="1" ht="15.75" customHeight="1" hidden="1">
      <c r="A181" s="831"/>
      <c r="B181" s="832"/>
      <c r="C181" s="834"/>
      <c r="D181" s="862"/>
      <c r="E181" s="838"/>
      <c r="F181" s="831"/>
      <c r="G181" s="832"/>
      <c r="H181" s="425">
        <v>1381530</v>
      </c>
      <c r="I181" s="425">
        <v>376621</v>
      </c>
      <c r="J181" s="830"/>
      <c r="K181" s="830"/>
      <c r="L181" s="828"/>
      <c r="M181" s="828"/>
      <c r="N181" s="830"/>
      <c r="O181" s="830"/>
      <c r="P181" s="828"/>
      <c r="Q181" s="828"/>
      <c r="R181" s="830"/>
      <c r="S181" s="828"/>
      <c r="T181" s="828"/>
      <c r="U181" s="830"/>
      <c r="V181" s="828"/>
      <c r="W181" s="828"/>
    </row>
    <row r="182" spans="1:23" s="426" customFormat="1" ht="15.75" customHeight="1" hidden="1">
      <c r="A182" s="831">
        <v>33</v>
      </c>
      <c r="B182" s="832" t="s">
        <v>670</v>
      </c>
      <c r="C182" s="834" t="s">
        <v>671</v>
      </c>
      <c r="D182" s="862" t="s">
        <v>672</v>
      </c>
      <c r="E182" s="831" t="s">
        <v>598</v>
      </c>
      <c r="F182" s="831" t="s">
        <v>673</v>
      </c>
      <c r="G182" s="832" t="s">
        <v>625</v>
      </c>
      <c r="H182" s="425">
        <f>H183+H184+H185+H186</f>
        <v>7809884</v>
      </c>
      <c r="I182" s="425">
        <f>I183+I184+I185+I186</f>
        <v>964862</v>
      </c>
      <c r="J182" s="830">
        <f>K182+N182</f>
        <v>6845022</v>
      </c>
      <c r="K182" s="830">
        <f>L182+M182</f>
        <v>3996287</v>
      </c>
      <c r="L182" s="828">
        <v>92406</v>
      </c>
      <c r="M182" s="828">
        <v>3903881</v>
      </c>
      <c r="N182" s="830">
        <f>O182+R182+U182</f>
        <v>2848735</v>
      </c>
      <c r="O182" s="830">
        <f>P182+Q182</f>
        <v>0</v>
      </c>
      <c r="P182" s="828">
        <v>0</v>
      </c>
      <c r="Q182" s="828">
        <v>0</v>
      </c>
      <c r="R182" s="830">
        <f>S182+T182</f>
        <v>2848735</v>
      </c>
      <c r="S182" s="828">
        <v>16306</v>
      </c>
      <c r="T182" s="828">
        <v>2832429</v>
      </c>
      <c r="U182" s="830">
        <f>V182+W182</f>
        <v>0</v>
      </c>
      <c r="V182" s="828">
        <v>0</v>
      </c>
      <c r="W182" s="828">
        <v>0</v>
      </c>
    </row>
    <row r="183" spans="1:23" s="426" customFormat="1" ht="15.75" customHeight="1" hidden="1">
      <c r="A183" s="831"/>
      <c r="B183" s="832"/>
      <c r="C183" s="834"/>
      <c r="D183" s="862"/>
      <c r="E183" s="831"/>
      <c r="F183" s="831"/>
      <c r="G183" s="832"/>
      <c r="H183" s="425">
        <v>4395978</v>
      </c>
      <c r="I183" s="425">
        <v>399691</v>
      </c>
      <c r="J183" s="830"/>
      <c r="K183" s="830"/>
      <c r="L183" s="828"/>
      <c r="M183" s="828"/>
      <c r="N183" s="830"/>
      <c r="O183" s="830"/>
      <c r="P183" s="828"/>
      <c r="Q183" s="828"/>
      <c r="R183" s="830"/>
      <c r="S183" s="828"/>
      <c r="T183" s="828"/>
      <c r="U183" s="830"/>
      <c r="V183" s="828"/>
      <c r="W183" s="828"/>
    </row>
    <row r="184" spans="1:23" s="426" customFormat="1" ht="15.75" customHeight="1" hidden="1">
      <c r="A184" s="831"/>
      <c r="B184" s="832"/>
      <c r="C184" s="834"/>
      <c r="D184" s="862"/>
      <c r="E184" s="831"/>
      <c r="F184" s="831"/>
      <c r="G184" s="832"/>
      <c r="H184" s="425">
        <v>0</v>
      </c>
      <c r="I184" s="425">
        <v>0</v>
      </c>
      <c r="J184" s="427">
        <f>K184+N184</f>
        <v>0</v>
      </c>
      <c r="K184" s="427">
        <f>L184+M184</f>
        <v>0</v>
      </c>
      <c r="L184" s="428">
        <v>0</v>
      </c>
      <c r="M184" s="428">
        <v>0</v>
      </c>
      <c r="N184" s="427">
        <f>O184+R184+U184</f>
        <v>0</v>
      </c>
      <c r="O184" s="427">
        <f>P184+Q184</f>
        <v>0</v>
      </c>
      <c r="P184" s="428">
        <v>0</v>
      </c>
      <c r="Q184" s="428">
        <v>0</v>
      </c>
      <c r="R184" s="427">
        <f>S184+T184</f>
        <v>0</v>
      </c>
      <c r="S184" s="428">
        <v>0</v>
      </c>
      <c r="T184" s="428">
        <v>0</v>
      </c>
      <c r="U184" s="427">
        <f>V184+W184</f>
        <v>0</v>
      </c>
      <c r="V184" s="428">
        <v>0</v>
      </c>
      <c r="W184" s="428">
        <v>0</v>
      </c>
    </row>
    <row r="185" spans="1:23" s="426" customFormat="1" ht="15.75" customHeight="1" hidden="1">
      <c r="A185" s="831"/>
      <c r="B185" s="832"/>
      <c r="C185" s="834"/>
      <c r="D185" s="862"/>
      <c r="E185" s="831"/>
      <c r="F185" s="831"/>
      <c r="G185" s="832"/>
      <c r="H185" s="425">
        <v>3413906</v>
      </c>
      <c r="I185" s="425">
        <v>565171</v>
      </c>
      <c r="J185" s="830">
        <f aca="true" t="shared" si="33" ref="J185:W185">J182+J184</f>
        <v>6845022</v>
      </c>
      <c r="K185" s="830">
        <f t="shared" si="33"/>
        <v>3996287</v>
      </c>
      <c r="L185" s="828">
        <f t="shared" si="33"/>
        <v>92406</v>
      </c>
      <c r="M185" s="828">
        <f t="shared" si="33"/>
        <v>3903881</v>
      </c>
      <c r="N185" s="830">
        <f t="shared" si="33"/>
        <v>2848735</v>
      </c>
      <c r="O185" s="830">
        <f t="shared" si="33"/>
        <v>0</v>
      </c>
      <c r="P185" s="828">
        <f t="shared" si="33"/>
        <v>0</v>
      </c>
      <c r="Q185" s="828">
        <f t="shared" si="33"/>
        <v>0</v>
      </c>
      <c r="R185" s="830">
        <f t="shared" si="33"/>
        <v>2848735</v>
      </c>
      <c r="S185" s="828">
        <f t="shared" si="33"/>
        <v>16306</v>
      </c>
      <c r="T185" s="828">
        <f t="shared" si="33"/>
        <v>2832429</v>
      </c>
      <c r="U185" s="830">
        <f t="shared" si="33"/>
        <v>0</v>
      </c>
      <c r="V185" s="828">
        <f t="shared" si="33"/>
        <v>0</v>
      </c>
      <c r="W185" s="828">
        <f t="shared" si="33"/>
        <v>0</v>
      </c>
    </row>
    <row r="186" spans="1:23" s="426" customFormat="1" ht="15.75" customHeight="1" hidden="1">
      <c r="A186" s="831"/>
      <c r="B186" s="832"/>
      <c r="C186" s="834"/>
      <c r="D186" s="862"/>
      <c r="E186" s="831"/>
      <c r="F186" s="831"/>
      <c r="G186" s="832"/>
      <c r="H186" s="425">
        <v>0</v>
      </c>
      <c r="I186" s="425">
        <v>0</v>
      </c>
      <c r="J186" s="830"/>
      <c r="K186" s="830"/>
      <c r="L186" s="828"/>
      <c r="M186" s="828"/>
      <c r="N186" s="830"/>
      <c r="O186" s="830"/>
      <c r="P186" s="828"/>
      <c r="Q186" s="828"/>
      <c r="R186" s="830"/>
      <c r="S186" s="828"/>
      <c r="T186" s="828"/>
      <c r="U186" s="830"/>
      <c r="V186" s="828"/>
      <c r="W186" s="828"/>
    </row>
    <row r="187" spans="1:23" s="426" customFormat="1" ht="16.5" customHeight="1">
      <c r="A187" s="831">
        <v>10</v>
      </c>
      <c r="B187" s="832" t="s">
        <v>670</v>
      </c>
      <c r="C187" s="834" t="s">
        <v>671</v>
      </c>
      <c r="D187" s="862" t="s">
        <v>674</v>
      </c>
      <c r="E187" s="831" t="s">
        <v>598</v>
      </c>
      <c r="F187" s="831" t="s">
        <v>673</v>
      </c>
      <c r="G187" s="832" t="s">
        <v>610</v>
      </c>
      <c r="H187" s="425">
        <f>H188+H189+H190+H191</f>
        <v>4885843</v>
      </c>
      <c r="I187" s="425">
        <f>I188+I189+I190+I191</f>
        <v>30986</v>
      </c>
      <c r="J187" s="830">
        <f>K187+N187</f>
        <v>2182634</v>
      </c>
      <c r="K187" s="830">
        <f>L187+M187</f>
        <v>1855239</v>
      </c>
      <c r="L187" s="828">
        <v>66356</v>
      </c>
      <c r="M187" s="828">
        <v>1788883</v>
      </c>
      <c r="N187" s="830">
        <f>O187+R187+U187</f>
        <v>327395</v>
      </c>
      <c r="O187" s="830">
        <f>P187+Q187</f>
        <v>218264</v>
      </c>
      <c r="P187" s="828">
        <v>7807</v>
      </c>
      <c r="Q187" s="828">
        <v>210457</v>
      </c>
      <c r="R187" s="830">
        <f>S187+T187</f>
        <v>109131</v>
      </c>
      <c r="S187" s="828">
        <v>3903</v>
      </c>
      <c r="T187" s="828">
        <v>105228</v>
      </c>
      <c r="U187" s="830">
        <f>V187+W187</f>
        <v>0</v>
      </c>
      <c r="V187" s="828">
        <v>0</v>
      </c>
      <c r="W187" s="828">
        <v>0</v>
      </c>
    </row>
    <row r="188" spans="1:23" s="426" customFormat="1" ht="16.5" customHeight="1">
      <c r="A188" s="831"/>
      <c r="B188" s="832"/>
      <c r="C188" s="834"/>
      <c r="D188" s="862"/>
      <c r="E188" s="831"/>
      <c r="F188" s="831"/>
      <c r="G188" s="832"/>
      <c r="H188" s="425">
        <v>4152967</v>
      </c>
      <c r="I188" s="425">
        <v>26338</v>
      </c>
      <c r="J188" s="830"/>
      <c r="K188" s="830"/>
      <c r="L188" s="828"/>
      <c r="M188" s="828"/>
      <c r="N188" s="830"/>
      <c r="O188" s="830"/>
      <c r="P188" s="828"/>
      <c r="Q188" s="828"/>
      <c r="R188" s="830"/>
      <c r="S188" s="828"/>
      <c r="T188" s="828"/>
      <c r="U188" s="830"/>
      <c r="V188" s="828"/>
      <c r="W188" s="828"/>
    </row>
    <row r="189" spans="1:23" s="426" customFormat="1" ht="16.5" customHeight="1">
      <c r="A189" s="831"/>
      <c r="B189" s="832"/>
      <c r="C189" s="834"/>
      <c r="D189" s="862"/>
      <c r="E189" s="831"/>
      <c r="F189" s="831"/>
      <c r="G189" s="832"/>
      <c r="H189" s="425">
        <v>488586</v>
      </c>
      <c r="I189" s="425">
        <v>3099</v>
      </c>
      <c r="J189" s="427">
        <f>K189+N189</f>
        <v>-1000000</v>
      </c>
      <c r="K189" s="427">
        <f>L189+M189</f>
        <v>-850000</v>
      </c>
      <c r="L189" s="428">
        <v>0</v>
      </c>
      <c r="M189" s="428">
        <v>-850000</v>
      </c>
      <c r="N189" s="427">
        <f>O189+R189+U189</f>
        <v>-150000</v>
      </c>
      <c r="O189" s="427">
        <f>P189+Q189</f>
        <v>-100000</v>
      </c>
      <c r="P189" s="428">
        <v>0</v>
      </c>
      <c r="Q189" s="428">
        <v>-100000</v>
      </c>
      <c r="R189" s="427">
        <f>S189+T189</f>
        <v>-50000</v>
      </c>
      <c r="S189" s="428">
        <v>0</v>
      </c>
      <c r="T189" s="428">
        <v>-50000</v>
      </c>
      <c r="U189" s="427">
        <f>V189+W189</f>
        <v>0</v>
      </c>
      <c r="V189" s="428">
        <v>0</v>
      </c>
      <c r="W189" s="428">
        <v>0</v>
      </c>
    </row>
    <row r="190" spans="1:23" s="426" customFormat="1" ht="16.5" customHeight="1">
      <c r="A190" s="831"/>
      <c r="B190" s="832"/>
      <c r="C190" s="834"/>
      <c r="D190" s="862"/>
      <c r="E190" s="831"/>
      <c r="F190" s="831"/>
      <c r="G190" s="832"/>
      <c r="H190" s="425">
        <v>244290</v>
      </c>
      <c r="I190" s="425">
        <v>1549</v>
      </c>
      <c r="J190" s="830">
        <f aca="true" t="shared" si="34" ref="J190:W190">J187+J189</f>
        <v>1182634</v>
      </c>
      <c r="K190" s="830">
        <f t="shared" si="34"/>
        <v>1005239</v>
      </c>
      <c r="L190" s="828">
        <f t="shared" si="34"/>
        <v>66356</v>
      </c>
      <c r="M190" s="828">
        <f t="shared" si="34"/>
        <v>938883</v>
      </c>
      <c r="N190" s="830">
        <f t="shared" si="34"/>
        <v>177395</v>
      </c>
      <c r="O190" s="830">
        <f t="shared" si="34"/>
        <v>118264</v>
      </c>
      <c r="P190" s="828">
        <f t="shared" si="34"/>
        <v>7807</v>
      </c>
      <c r="Q190" s="828">
        <f t="shared" si="34"/>
        <v>110457</v>
      </c>
      <c r="R190" s="830">
        <f t="shared" si="34"/>
        <v>59131</v>
      </c>
      <c r="S190" s="828">
        <f t="shared" si="34"/>
        <v>3903</v>
      </c>
      <c r="T190" s="828">
        <f t="shared" si="34"/>
        <v>55228</v>
      </c>
      <c r="U190" s="830">
        <f t="shared" si="34"/>
        <v>0</v>
      </c>
      <c r="V190" s="828">
        <f t="shared" si="34"/>
        <v>0</v>
      </c>
      <c r="W190" s="828">
        <f t="shared" si="34"/>
        <v>0</v>
      </c>
    </row>
    <row r="191" spans="1:23" s="426" customFormat="1" ht="16.5" customHeight="1">
      <c r="A191" s="831"/>
      <c r="B191" s="832"/>
      <c r="C191" s="834"/>
      <c r="D191" s="862"/>
      <c r="E191" s="831"/>
      <c r="F191" s="831"/>
      <c r="G191" s="832"/>
      <c r="H191" s="425">
        <v>0</v>
      </c>
      <c r="I191" s="425">
        <v>0</v>
      </c>
      <c r="J191" s="830"/>
      <c r="K191" s="830"/>
      <c r="L191" s="828"/>
      <c r="M191" s="828"/>
      <c r="N191" s="830"/>
      <c r="O191" s="830"/>
      <c r="P191" s="828"/>
      <c r="Q191" s="828"/>
      <c r="R191" s="830"/>
      <c r="S191" s="828"/>
      <c r="T191" s="828"/>
      <c r="U191" s="830"/>
      <c r="V191" s="828"/>
      <c r="W191" s="828"/>
    </row>
    <row r="192" spans="1:23" s="426" customFormat="1" ht="15.75" customHeight="1" hidden="1">
      <c r="A192" s="831">
        <v>35</v>
      </c>
      <c r="B192" s="832" t="s">
        <v>675</v>
      </c>
      <c r="C192" s="834" t="s">
        <v>66</v>
      </c>
      <c r="D192" s="862" t="s">
        <v>676</v>
      </c>
      <c r="E192" s="831" t="s">
        <v>598</v>
      </c>
      <c r="F192" s="831" t="s">
        <v>673</v>
      </c>
      <c r="G192" s="832" t="s">
        <v>657</v>
      </c>
      <c r="H192" s="425">
        <f>H193+H194+H195+H196</f>
        <v>25761212</v>
      </c>
      <c r="I192" s="425">
        <f>I193+I194+I195+I196</f>
        <v>2838796</v>
      </c>
      <c r="J192" s="830">
        <f>K192+N192</f>
        <v>14370916</v>
      </c>
      <c r="K192" s="830">
        <f>L192+M192</f>
        <v>4239112</v>
      </c>
      <c r="L192" s="828">
        <v>354875</v>
      </c>
      <c r="M192" s="828">
        <v>3884237</v>
      </c>
      <c r="N192" s="830">
        <f>O192+R192+U192</f>
        <v>10131804</v>
      </c>
      <c r="O192" s="830">
        <f>P192+Q192</f>
        <v>0</v>
      </c>
      <c r="P192" s="828">
        <v>0</v>
      </c>
      <c r="Q192" s="828">
        <v>0</v>
      </c>
      <c r="R192" s="830">
        <f>S192+T192</f>
        <v>10131804</v>
      </c>
      <c r="S192" s="828">
        <v>62625</v>
      </c>
      <c r="T192" s="828">
        <v>10069179</v>
      </c>
      <c r="U192" s="830">
        <f>V192+W192</f>
        <v>0</v>
      </c>
      <c r="V192" s="828">
        <v>0</v>
      </c>
      <c r="W192" s="828">
        <v>0</v>
      </c>
    </row>
    <row r="193" spans="1:23" s="426" customFormat="1" ht="15.75" customHeight="1" hidden="1">
      <c r="A193" s="831"/>
      <c r="B193" s="832"/>
      <c r="C193" s="834"/>
      <c r="D193" s="862"/>
      <c r="E193" s="831"/>
      <c r="F193" s="831"/>
      <c r="G193" s="832"/>
      <c r="H193" s="425">
        <v>7574485</v>
      </c>
      <c r="I193" s="425">
        <v>542261</v>
      </c>
      <c r="J193" s="830"/>
      <c r="K193" s="830"/>
      <c r="L193" s="828"/>
      <c r="M193" s="828"/>
      <c r="N193" s="830"/>
      <c r="O193" s="830"/>
      <c r="P193" s="828"/>
      <c r="Q193" s="828"/>
      <c r="R193" s="830"/>
      <c r="S193" s="828"/>
      <c r="T193" s="828"/>
      <c r="U193" s="830"/>
      <c r="V193" s="828"/>
      <c r="W193" s="828"/>
    </row>
    <row r="194" spans="1:23" s="426" customFormat="1" ht="15.75" customHeight="1" hidden="1">
      <c r="A194" s="831"/>
      <c r="B194" s="832"/>
      <c r="C194" s="834"/>
      <c r="D194" s="862"/>
      <c r="E194" s="831"/>
      <c r="F194" s="831"/>
      <c r="G194" s="832"/>
      <c r="H194" s="425">
        <v>0</v>
      </c>
      <c r="I194" s="425">
        <v>0</v>
      </c>
      <c r="J194" s="427">
        <f>K194+N194</f>
        <v>0</v>
      </c>
      <c r="K194" s="427">
        <f>L194+M194</f>
        <v>0</v>
      </c>
      <c r="L194" s="428">
        <v>0</v>
      </c>
      <c r="M194" s="428">
        <v>0</v>
      </c>
      <c r="N194" s="427">
        <f>O194+R194+U194</f>
        <v>0</v>
      </c>
      <c r="O194" s="427">
        <f>P194+Q194</f>
        <v>0</v>
      </c>
      <c r="P194" s="428">
        <v>0</v>
      </c>
      <c r="Q194" s="428">
        <v>0</v>
      </c>
      <c r="R194" s="427">
        <f>S194+T194</f>
        <v>0</v>
      </c>
      <c r="S194" s="428">
        <v>0</v>
      </c>
      <c r="T194" s="428">
        <v>0</v>
      </c>
      <c r="U194" s="427">
        <f>V194+W194</f>
        <v>0</v>
      </c>
      <c r="V194" s="428">
        <v>0</v>
      </c>
      <c r="W194" s="428">
        <v>0</v>
      </c>
    </row>
    <row r="195" spans="1:23" s="426" customFormat="1" ht="15.75" customHeight="1" hidden="1">
      <c r="A195" s="831"/>
      <c r="B195" s="832"/>
      <c r="C195" s="834"/>
      <c r="D195" s="862"/>
      <c r="E195" s="831"/>
      <c r="F195" s="831"/>
      <c r="G195" s="832"/>
      <c r="H195" s="425">
        <v>18186727</v>
      </c>
      <c r="I195" s="425">
        <v>2296535</v>
      </c>
      <c r="J195" s="830">
        <f aca="true" t="shared" si="35" ref="J195:W195">J192+J194</f>
        <v>14370916</v>
      </c>
      <c r="K195" s="830">
        <f t="shared" si="35"/>
        <v>4239112</v>
      </c>
      <c r="L195" s="828">
        <f t="shared" si="35"/>
        <v>354875</v>
      </c>
      <c r="M195" s="828">
        <f t="shared" si="35"/>
        <v>3884237</v>
      </c>
      <c r="N195" s="830">
        <f t="shared" si="35"/>
        <v>10131804</v>
      </c>
      <c r="O195" s="830">
        <f t="shared" si="35"/>
        <v>0</v>
      </c>
      <c r="P195" s="828">
        <f t="shared" si="35"/>
        <v>0</v>
      </c>
      <c r="Q195" s="828">
        <f t="shared" si="35"/>
        <v>0</v>
      </c>
      <c r="R195" s="830">
        <f t="shared" si="35"/>
        <v>10131804</v>
      </c>
      <c r="S195" s="828">
        <f t="shared" si="35"/>
        <v>62625</v>
      </c>
      <c r="T195" s="828">
        <f t="shared" si="35"/>
        <v>10069179</v>
      </c>
      <c r="U195" s="830">
        <f t="shared" si="35"/>
        <v>0</v>
      </c>
      <c r="V195" s="828">
        <f t="shared" si="35"/>
        <v>0</v>
      </c>
      <c r="W195" s="828">
        <f t="shared" si="35"/>
        <v>0</v>
      </c>
    </row>
    <row r="196" spans="1:23" s="426" customFormat="1" ht="15.75" customHeight="1" hidden="1">
      <c r="A196" s="831"/>
      <c r="B196" s="832"/>
      <c r="C196" s="834"/>
      <c r="D196" s="862"/>
      <c r="E196" s="831"/>
      <c r="F196" s="831"/>
      <c r="G196" s="832"/>
      <c r="H196" s="425">
        <v>0</v>
      </c>
      <c r="I196" s="425">
        <v>0</v>
      </c>
      <c r="J196" s="830"/>
      <c r="K196" s="830"/>
      <c r="L196" s="828"/>
      <c r="M196" s="828"/>
      <c r="N196" s="830"/>
      <c r="O196" s="830"/>
      <c r="P196" s="828"/>
      <c r="Q196" s="828"/>
      <c r="R196" s="830"/>
      <c r="S196" s="828"/>
      <c r="T196" s="828"/>
      <c r="U196" s="830"/>
      <c r="V196" s="828"/>
      <c r="W196" s="828"/>
    </row>
    <row r="197" spans="1:23" s="426" customFormat="1" ht="15.75" customHeight="1">
      <c r="A197" s="831">
        <v>11</v>
      </c>
      <c r="B197" s="832" t="s">
        <v>675</v>
      </c>
      <c r="C197" s="834" t="s">
        <v>66</v>
      </c>
      <c r="D197" s="862" t="s">
        <v>677</v>
      </c>
      <c r="E197" s="831" t="s">
        <v>598</v>
      </c>
      <c r="F197" s="831" t="s">
        <v>673</v>
      </c>
      <c r="G197" s="832" t="s">
        <v>657</v>
      </c>
      <c r="H197" s="425">
        <f>H198+H199+H200+H201</f>
        <v>11218462</v>
      </c>
      <c r="I197" s="425">
        <f>I198+I199+I200+I201</f>
        <v>3339415</v>
      </c>
      <c r="J197" s="830">
        <f>K197+N197</f>
        <v>6054422</v>
      </c>
      <c r="K197" s="830">
        <f>L197+M197</f>
        <v>3284762</v>
      </c>
      <c r="L197" s="828">
        <v>359129</v>
      </c>
      <c r="M197" s="828">
        <v>2925633</v>
      </c>
      <c r="N197" s="830">
        <f>O197+R197+U197</f>
        <v>2769660</v>
      </c>
      <c r="O197" s="830">
        <f>P197+Q197</f>
        <v>0</v>
      </c>
      <c r="P197" s="828">
        <v>0</v>
      </c>
      <c r="Q197" s="828">
        <v>0</v>
      </c>
      <c r="R197" s="830">
        <f>S197+T197</f>
        <v>2769660</v>
      </c>
      <c r="S197" s="828">
        <v>63377</v>
      </c>
      <c r="T197" s="828">
        <v>2706283</v>
      </c>
      <c r="U197" s="830">
        <f>V197+W197</f>
        <v>0</v>
      </c>
      <c r="V197" s="828">
        <v>0</v>
      </c>
      <c r="W197" s="828">
        <v>0</v>
      </c>
    </row>
    <row r="198" spans="1:23" s="426" customFormat="1" ht="15.75" customHeight="1">
      <c r="A198" s="831"/>
      <c r="B198" s="832"/>
      <c r="C198" s="834"/>
      <c r="D198" s="862"/>
      <c r="E198" s="831"/>
      <c r="F198" s="831"/>
      <c r="G198" s="832"/>
      <c r="H198" s="425">
        <v>7046316</v>
      </c>
      <c r="I198" s="425">
        <v>2097486</v>
      </c>
      <c r="J198" s="830"/>
      <c r="K198" s="830"/>
      <c r="L198" s="828"/>
      <c r="M198" s="828"/>
      <c r="N198" s="830"/>
      <c r="O198" s="830"/>
      <c r="P198" s="828"/>
      <c r="Q198" s="828"/>
      <c r="R198" s="830"/>
      <c r="S198" s="828"/>
      <c r="T198" s="828"/>
      <c r="U198" s="830"/>
      <c r="V198" s="828"/>
      <c r="W198" s="828"/>
    </row>
    <row r="199" spans="1:23" s="426" customFormat="1" ht="15.75" customHeight="1">
      <c r="A199" s="831"/>
      <c r="B199" s="832"/>
      <c r="C199" s="834"/>
      <c r="D199" s="862"/>
      <c r="E199" s="831"/>
      <c r="F199" s="831"/>
      <c r="G199" s="832"/>
      <c r="H199" s="425">
        <v>0</v>
      </c>
      <c r="I199" s="425">
        <v>0</v>
      </c>
      <c r="J199" s="427">
        <f>K199+N199</f>
        <v>1602055</v>
      </c>
      <c r="K199" s="427">
        <f>L199+M199</f>
        <v>1524272</v>
      </c>
      <c r="L199" s="428">
        <v>-164403</v>
      </c>
      <c r="M199" s="428">
        <v>1688675</v>
      </c>
      <c r="N199" s="427">
        <f>O199+R199+U199</f>
        <v>77783</v>
      </c>
      <c r="O199" s="427">
        <f>P199+Q199</f>
        <v>0</v>
      </c>
      <c r="P199" s="428">
        <v>0</v>
      </c>
      <c r="Q199" s="428">
        <v>0</v>
      </c>
      <c r="R199" s="427">
        <f>S199+T199</f>
        <v>77783</v>
      </c>
      <c r="S199" s="428">
        <v>51920</v>
      </c>
      <c r="T199" s="428">
        <v>25863</v>
      </c>
      <c r="U199" s="427">
        <f>V199+W199</f>
        <v>0</v>
      </c>
      <c r="V199" s="428">
        <v>0</v>
      </c>
      <c r="W199" s="428">
        <v>0</v>
      </c>
    </row>
    <row r="200" spans="1:23" s="426" customFormat="1" ht="15.75" customHeight="1">
      <c r="A200" s="831"/>
      <c r="B200" s="832"/>
      <c r="C200" s="834"/>
      <c r="D200" s="862"/>
      <c r="E200" s="831"/>
      <c r="F200" s="831"/>
      <c r="G200" s="832"/>
      <c r="H200" s="425">
        <v>4172146</v>
      </c>
      <c r="I200" s="425">
        <v>1241929</v>
      </c>
      <c r="J200" s="830">
        <f aca="true" t="shared" si="36" ref="J200:W200">J197+J199</f>
        <v>7656477</v>
      </c>
      <c r="K200" s="830">
        <f t="shared" si="36"/>
        <v>4809034</v>
      </c>
      <c r="L200" s="828">
        <f t="shared" si="36"/>
        <v>194726</v>
      </c>
      <c r="M200" s="828">
        <f t="shared" si="36"/>
        <v>4614308</v>
      </c>
      <c r="N200" s="830">
        <f t="shared" si="36"/>
        <v>2847443</v>
      </c>
      <c r="O200" s="830">
        <f t="shared" si="36"/>
        <v>0</v>
      </c>
      <c r="P200" s="828">
        <f t="shared" si="36"/>
        <v>0</v>
      </c>
      <c r="Q200" s="828">
        <f t="shared" si="36"/>
        <v>0</v>
      </c>
      <c r="R200" s="830">
        <f t="shared" si="36"/>
        <v>2847443</v>
      </c>
      <c r="S200" s="828">
        <f t="shared" si="36"/>
        <v>115297</v>
      </c>
      <c r="T200" s="828">
        <f t="shared" si="36"/>
        <v>2732146</v>
      </c>
      <c r="U200" s="830">
        <f t="shared" si="36"/>
        <v>0</v>
      </c>
      <c r="V200" s="828">
        <f t="shared" si="36"/>
        <v>0</v>
      </c>
      <c r="W200" s="828">
        <f t="shared" si="36"/>
        <v>0</v>
      </c>
    </row>
    <row r="201" spans="1:23" s="426" customFormat="1" ht="15.75" customHeight="1">
      <c r="A201" s="831"/>
      <c r="B201" s="832"/>
      <c r="C201" s="834"/>
      <c r="D201" s="862"/>
      <c r="E201" s="831"/>
      <c r="F201" s="831"/>
      <c r="G201" s="832"/>
      <c r="H201" s="425">
        <v>0</v>
      </c>
      <c r="I201" s="425">
        <v>0</v>
      </c>
      <c r="J201" s="830"/>
      <c r="K201" s="830"/>
      <c r="L201" s="828"/>
      <c r="M201" s="828"/>
      <c r="N201" s="830"/>
      <c r="O201" s="830"/>
      <c r="P201" s="828"/>
      <c r="Q201" s="828"/>
      <c r="R201" s="830"/>
      <c r="S201" s="828"/>
      <c r="T201" s="828"/>
      <c r="U201" s="830"/>
      <c r="V201" s="828"/>
      <c r="W201" s="828"/>
    </row>
    <row r="202" spans="1:23" s="426" customFormat="1" ht="15.75" customHeight="1" hidden="1">
      <c r="A202" s="831">
        <v>37</v>
      </c>
      <c r="B202" s="832" t="s">
        <v>675</v>
      </c>
      <c r="C202" s="834" t="s">
        <v>66</v>
      </c>
      <c r="D202" s="862" t="s">
        <v>678</v>
      </c>
      <c r="E202" s="831" t="s">
        <v>598</v>
      </c>
      <c r="F202" s="831" t="s">
        <v>679</v>
      </c>
      <c r="G202" s="832" t="s">
        <v>637</v>
      </c>
      <c r="H202" s="425">
        <f>H203+H204+H205+H206</f>
        <v>5950628</v>
      </c>
      <c r="I202" s="425">
        <f>I203+I204+I205+I206</f>
        <v>578073</v>
      </c>
      <c r="J202" s="830">
        <f>K202+N202</f>
        <v>3578132</v>
      </c>
      <c r="K202" s="830">
        <f>L202+M202</f>
        <v>2012188</v>
      </c>
      <c r="L202" s="828">
        <v>62791</v>
      </c>
      <c r="M202" s="828">
        <v>1949397</v>
      </c>
      <c r="N202" s="830">
        <f>O202+R202+U202</f>
        <v>1565944</v>
      </c>
      <c r="O202" s="830">
        <f>P202+Q202</f>
        <v>0</v>
      </c>
      <c r="P202" s="828">
        <v>0</v>
      </c>
      <c r="Q202" s="828">
        <v>0</v>
      </c>
      <c r="R202" s="830">
        <f>S202+T202</f>
        <v>1565944</v>
      </c>
      <c r="S202" s="828">
        <v>11081</v>
      </c>
      <c r="T202" s="828">
        <v>1554863</v>
      </c>
      <c r="U202" s="830">
        <f>V202+W202</f>
        <v>0</v>
      </c>
      <c r="V202" s="828">
        <v>0</v>
      </c>
      <c r="W202" s="828">
        <v>0</v>
      </c>
    </row>
    <row r="203" spans="1:23" s="426" customFormat="1" ht="15.75" customHeight="1" hidden="1">
      <c r="A203" s="831"/>
      <c r="B203" s="832"/>
      <c r="C203" s="834"/>
      <c r="D203" s="862"/>
      <c r="E203" s="831"/>
      <c r="F203" s="831"/>
      <c r="G203" s="832"/>
      <c r="H203" s="425">
        <v>3943810</v>
      </c>
      <c r="I203" s="425">
        <v>406362</v>
      </c>
      <c r="J203" s="830"/>
      <c r="K203" s="830"/>
      <c r="L203" s="828"/>
      <c r="M203" s="828"/>
      <c r="N203" s="830"/>
      <c r="O203" s="830"/>
      <c r="P203" s="828"/>
      <c r="Q203" s="828"/>
      <c r="R203" s="830"/>
      <c r="S203" s="828"/>
      <c r="T203" s="828"/>
      <c r="U203" s="830"/>
      <c r="V203" s="828"/>
      <c r="W203" s="828"/>
    </row>
    <row r="204" spans="1:23" s="426" customFormat="1" ht="15.75" customHeight="1" hidden="1">
      <c r="A204" s="831"/>
      <c r="B204" s="832"/>
      <c r="C204" s="834"/>
      <c r="D204" s="862"/>
      <c r="E204" s="831"/>
      <c r="F204" s="831"/>
      <c r="G204" s="832"/>
      <c r="H204" s="425">
        <v>0</v>
      </c>
      <c r="I204" s="425">
        <v>0</v>
      </c>
      <c r="J204" s="427">
        <f>K204+N204</f>
        <v>0</v>
      </c>
      <c r="K204" s="427">
        <f>L204+M204</f>
        <v>0</v>
      </c>
      <c r="L204" s="428">
        <v>0</v>
      </c>
      <c r="M204" s="428">
        <v>0</v>
      </c>
      <c r="N204" s="427">
        <f>O204+R204+U204</f>
        <v>0</v>
      </c>
      <c r="O204" s="427">
        <f>P204+Q204</f>
        <v>0</v>
      </c>
      <c r="P204" s="428">
        <v>0</v>
      </c>
      <c r="Q204" s="428">
        <v>0</v>
      </c>
      <c r="R204" s="427">
        <f>S204+T204</f>
        <v>0</v>
      </c>
      <c r="S204" s="428">
        <v>0</v>
      </c>
      <c r="T204" s="428">
        <v>0</v>
      </c>
      <c r="U204" s="427">
        <f>V204+W204</f>
        <v>0</v>
      </c>
      <c r="V204" s="428">
        <v>0</v>
      </c>
      <c r="W204" s="428">
        <v>0</v>
      </c>
    </row>
    <row r="205" spans="1:23" s="426" customFormat="1" ht="15.75" customHeight="1" hidden="1">
      <c r="A205" s="831"/>
      <c r="B205" s="832"/>
      <c r="C205" s="834"/>
      <c r="D205" s="862"/>
      <c r="E205" s="831"/>
      <c r="F205" s="831"/>
      <c r="G205" s="832"/>
      <c r="H205" s="425">
        <v>2006818</v>
      </c>
      <c r="I205" s="425">
        <v>171711</v>
      </c>
      <c r="J205" s="830">
        <f aca="true" t="shared" si="37" ref="J205:W205">J202+J204</f>
        <v>3578132</v>
      </c>
      <c r="K205" s="830">
        <f t="shared" si="37"/>
        <v>2012188</v>
      </c>
      <c r="L205" s="828">
        <f t="shared" si="37"/>
        <v>62791</v>
      </c>
      <c r="M205" s="828">
        <f t="shared" si="37"/>
        <v>1949397</v>
      </c>
      <c r="N205" s="830">
        <f t="shared" si="37"/>
        <v>1565944</v>
      </c>
      <c r="O205" s="830">
        <f t="shared" si="37"/>
        <v>0</v>
      </c>
      <c r="P205" s="828">
        <f t="shared" si="37"/>
        <v>0</v>
      </c>
      <c r="Q205" s="828">
        <f t="shared" si="37"/>
        <v>0</v>
      </c>
      <c r="R205" s="830">
        <f t="shared" si="37"/>
        <v>1565944</v>
      </c>
      <c r="S205" s="828">
        <f t="shared" si="37"/>
        <v>11081</v>
      </c>
      <c r="T205" s="828">
        <f t="shared" si="37"/>
        <v>1554863</v>
      </c>
      <c r="U205" s="830">
        <f t="shared" si="37"/>
        <v>0</v>
      </c>
      <c r="V205" s="828">
        <f t="shared" si="37"/>
        <v>0</v>
      </c>
      <c r="W205" s="828">
        <f t="shared" si="37"/>
        <v>0</v>
      </c>
    </row>
    <row r="206" spans="1:23" s="426" customFormat="1" ht="15.75" customHeight="1" hidden="1">
      <c r="A206" s="831"/>
      <c r="B206" s="832"/>
      <c r="C206" s="834"/>
      <c r="D206" s="862"/>
      <c r="E206" s="831"/>
      <c r="F206" s="831"/>
      <c r="G206" s="832"/>
      <c r="H206" s="425">
        <v>0</v>
      </c>
      <c r="I206" s="425">
        <v>0</v>
      </c>
      <c r="J206" s="830"/>
      <c r="K206" s="830"/>
      <c r="L206" s="828"/>
      <c r="M206" s="828"/>
      <c r="N206" s="830"/>
      <c r="O206" s="830"/>
      <c r="P206" s="828"/>
      <c r="Q206" s="828"/>
      <c r="R206" s="830"/>
      <c r="S206" s="828"/>
      <c r="T206" s="828"/>
      <c r="U206" s="830"/>
      <c r="V206" s="828"/>
      <c r="W206" s="828"/>
    </row>
    <row r="207" spans="1:23" s="426" customFormat="1" ht="19.5" customHeight="1">
      <c r="A207" s="831">
        <v>12</v>
      </c>
      <c r="B207" s="832" t="s">
        <v>675</v>
      </c>
      <c r="C207" s="834" t="s">
        <v>66</v>
      </c>
      <c r="D207" s="862" t="s">
        <v>680</v>
      </c>
      <c r="E207" s="831" t="s">
        <v>598</v>
      </c>
      <c r="F207" s="831" t="s">
        <v>681</v>
      </c>
      <c r="G207" s="832" t="s">
        <v>637</v>
      </c>
      <c r="H207" s="425">
        <f>H208+H209+H210+H211</f>
        <v>11149070</v>
      </c>
      <c r="I207" s="425">
        <f>I208+I209+I210+I211</f>
        <v>33702</v>
      </c>
      <c r="J207" s="830">
        <f>K207+N207</f>
        <v>6694685</v>
      </c>
      <c r="K207" s="830">
        <f>L207+M207</f>
        <v>4395001</v>
      </c>
      <c r="L207" s="828">
        <v>110645</v>
      </c>
      <c r="M207" s="828">
        <v>4284356</v>
      </c>
      <c r="N207" s="830">
        <f>O207+R207+U207</f>
        <v>2299684</v>
      </c>
      <c r="O207" s="830">
        <f>P207+Q207</f>
        <v>0</v>
      </c>
      <c r="P207" s="828">
        <v>0</v>
      </c>
      <c r="Q207" s="828">
        <v>0</v>
      </c>
      <c r="R207" s="830">
        <f>S207+T207</f>
        <v>2299684</v>
      </c>
      <c r="S207" s="828">
        <v>19526</v>
      </c>
      <c r="T207" s="828">
        <v>2280158</v>
      </c>
      <c r="U207" s="830">
        <f>V207+W207</f>
        <v>0</v>
      </c>
      <c r="V207" s="828">
        <v>0</v>
      </c>
      <c r="W207" s="828">
        <v>0</v>
      </c>
    </row>
    <row r="208" spans="1:23" s="426" customFormat="1" ht="19.5" customHeight="1">
      <c r="A208" s="831"/>
      <c r="B208" s="832"/>
      <c r="C208" s="834"/>
      <c r="D208" s="862"/>
      <c r="E208" s="831"/>
      <c r="F208" s="831"/>
      <c r="G208" s="832"/>
      <c r="H208" s="425">
        <v>7423868</v>
      </c>
      <c r="I208" s="425">
        <v>17761</v>
      </c>
      <c r="J208" s="830"/>
      <c r="K208" s="830"/>
      <c r="L208" s="828"/>
      <c r="M208" s="828"/>
      <c r="N208" s="830"/>
      <c r="O208" s="830"/>
      <c r="P208" s="828"/>
      <c r="Q208" s="828"/>
      <c r="R208" s="830"/>
      <c r="S208" s="828"/>
      <c r="T208" s="828"/>
      <c r="U208" s="830"/>
      <c r="V208" s="828"/>
      <c r="W208" s="828"/>
    </row>
    <row r="209" spans="1:23" s="426" customFormat="1" ht="19.5" customHeight="1">
      <c r="A209" s="831"/>
      <c r="B209" s="832"/>
      <c r="C209" s="834"/>
      <c r="D209" s="862"/>
      <c r="E209" s="831"/>
      <c r="F209" s="831"/>
      <c r="G209" s="832"/>
      <c r="H209" s="425">
        <v>0</v>
      </c>
      <c r="I209" s="425">
        <v>0</v>
      </c>
      <c r="J209" s="427">
        <f>K209+N209</f>
        <v>0</v>
      </c>
      <c r="K209" s="427">
        <f>L209+M209</f>
        <v>0</v>
      </c>
      <c r="L209" s="428">
        <v>0</v>
      </c>
      <c r="M209" s="428">
        <v>0</v>
      </c>
      <c r="N209" s="427">
        <f>O209+R209+U209</f>
        <v>0</v>
      </c>
      <c r="O209" s="427">
        <f>P209+Q209</f>
        <v>0</v>
      </c>
      <c r="P209" s="428">
        <v>0</v>
      </c>
      <c r="Q209" s="428">
        <v>0</v>
      </c>
      <c r="R209" s="427">
        <f>S209+T209</f>
        <v>0</v>
      </c>
      <c r="S209" s="428">
        <v>0</v>
      </c>
      <c r="T209" s="428">
        <v>0</v>
      </c>
      <c r="U209" s="427">
        <f>V209+W209</f>
        <v>0</v>
      </c>
      <c r="V209" s="428">
        <v>0</v>
      </c>
      <c r="W209" s="428">
        <v>0</v>
      </c>
    </row>
    <row r="210" spans="1:23" s="426" customFormat="1" ht="19.5" customHeight="1">
      <c r="A210" s="831"/>
      <c r="B210" s="832"/>
      <c r="C210" s="834"/>
      <c r="D210" s="862"/>
      <c r="E210" s="831"/>
      <c r="F210" s="831"/>
      <c r="G210" s="832"/>
      <c r="H210" s="425">
        <v>3725202</v>
      </c>
      <c r="I210" s="425">
        <v>15941</v>
      </c>
      <c r="J210" s="830">
        <f aca="true" t="shared" si="38" ref="J210:W210">J207+J209</f>
        <v>6694685</v>
      </c>
      <c r="K210" s="830">
        <f t="shared" si="38"/>
        <v>4395001</v>
      </c>
      <c r="L210" s="828">
        <f t="shared" si="38"/>
        <v>110645</v>
      </c>
      <c r="M210" s="828">
        <f t="shared" si="38"/>
        <v>4284356</v>
      </c>
      <c r="N210" s="830">
        <f t="shared" si="38"/>
        <v>2299684</v>
      </c>
      <c r="O210" s="830">
        <f t="shared" si="38"/>
        <v>0</v>
      </c>
      <c r="P210" s="828">
        <f t="shared" si="38"/>
        <v>0</v>
      </c>
      <c r="Q210" s="828">
        <f t="shared" si="38"/>
        <v>0</v>
      </c>
      <c r="R210" s="830">
        <f t="shared" si="38"/>
        <v>2299684</v>
      </c>
      <c r="S210" s="828">
        <f t="shared" si="38"/>
        <v>19526</v>
      </c>
      <c r="T210" s="828">
        <f t="shared" si="38"/>
        <v>2280158</v>
      </c>
      <c r="U210" s="830">
        <f t="shared" si="38"/>
        <v>0</v>
      </c>
      <c r="V210" s="828">
        <f t="shared" si="38"/>
        <v>0</v>
      </c>
      <c r="W210" s="828">
        <f t="shared" si="38"/>
        <v>0</v>
      </c>
    </row>
    <row r="211" spans="1:23" s="426" customFormat="1" ht="19.5" customHeight="1">
      <c r="A211" s="831"/>
      <c r="B211" s="832"/>
      <c r="C211" s="834"/>
      <c r="D211" s="862"/>
      <c r="E211" s="831"/>
      <c r="F211" s="831"/>
      <c r="G211" s="832"/>
      <c r="H211" s="425">
        <v>0</v>
      </c>
      <c r="I211" s="425">
        <v>0</v>
      </c>
      <c r="J211" s="830"/>
      <c r="K211" s="830"/>
      <c r="L211" s="828"/>
      <c r="M211" s="828"/>
      <c r="N211" s="830"/>
      <c r="O211" s="830"/>
      <c r="P211" s="828"/>
      <c r="Q211" s="828"/>
      <c r="R211" s="830"/>
      <c r="S211" s="828"/>
      <c r="T211" s="828"/>
      <c r="U211" s="830"/>
      <c r="V211" s="828"/>
      <c r="W211" s="828"/>
    </row>
    <row r="212" spans="1:23" s="426" customFormat="1" ht="15.75" customHeight="1" hidden="1">
      <c r="A212" s="831">
        <v>39</v>
      </c>
      <c r="B212" s="832" t="s">
        <v>682</v>
      </c>
      <c r="C212" s="834" t="s">
        <v>683</v>
      </c>
      <c r="D212" s="862" t="s">
        <v>684</v>
      </c>
      <c r="E212" s="831" t="s">
        <v>685</v>
      </c>
      <c r="F212" s="831" t="s">
        <v>650</v>
      </c>
      <c r="G212" s="832" t="s">
        <v>657</v>
      </c>
      <c r="H212" s="425">
        <f>H213+H214+H215+H216</f>
        <v>3350626</v>
      </c>
      <c r="I212" s="425">
        <f>I213+I214+I215+I216</f>
        <v>68880</v>
      </c>
      <c r="J212" s="830">
        <f>K212+N212</f>
        <v>1096071</v>
      </c>
      <c r="K212" s="830">
        <f>L212+M212</f>
        <v>927594</v>
      </c>
      <c r="L212" s="828">
        <v>47660</v>
      </c>
      <c r="M212" s="828">
        <v>879934</v>
      </c>
      <c r="N212" s="830">
        <f>O212+R212+U212</f>
        <v>168477</v>
      </c>
      <c r="O212" s="830">
        <f>P212+Q212</f>
        <v>0</v>
      </c>
      <c r="P212" s="828">
        <v>0</v>
      </c>
      <c r="Q212" s="828">
        <v>0</v>
      </c>
      <c r="R212" s="830">
        <f>S212+T212</f>
        <v>168477</v>
      </c>
      <c r="S212" s="828">
        <v>8411</v>
      </c>
      <c r="T212" s="828">
        <v>160066</v>
      </c>
      <c r="U212" s="830">
        <f>V212+W212</f>
        <v>0</v>
      </c>
      <c r="V212" s="828">
        <v>0</v>
      </c>
      <c r="W212" s="828">
        <v>0</v>
      </c>
    </row>
    <row r="213" spans="1:23" s="426" customFormat="1" ht="15.75" customHeight="1" hidden="1">
      <c r="A213" s="831"/>
      <c r="B213" s="832"/>
      <c r="C213" s="834"/>
      <c r="D213" s="862"/>
      <c r="E213" s="831"/>
      <c r="F213" s="831"/>
      <c r="G213" s="832"/>
      <c r="H213" s="425">
        <v>2839143</v>
      </c>
      <c r="I213" s="425">
        <v>58279</v>
      </c>
      <c r="J213" s="830"/>
      <c r="K213" s="830"/>
      <c r="L213" s="828"/>
      <c r="M213" s="828"/>
      <c r="N213" s="830"/>
      <c r="O213" s="830"/>
      <c r="P213" s="828"/>
      <c r="Q213" s="828"/>
      <c r="R213" s="830"/>
      <c r="S213" s="828"/>
      <c r="T213" s="828"/>
      <c r="U213" s="830"/>
      <c r="V213" s="828"/>
      <c r="W213" s="828"/>
    </row>
    <row r="214" spans="1:23" s="426" customFormat="1" ht="15.75" customHeight="1" hidden="1">
      <c r="A214" s="831"/>
      <c r="B214" s="832"/>
      <c r="C214" s="834"/>
      <c r="D214" s="862"/>
      <c r="E214" s="831"/>
      <c r="F214" s="831"/>
      <c r="G214" s="832"/>
      <c r="H214" s="425">
        <v>0</v>
      </c>
      <c r="I214" s="425">
        <v>0</v>
      </c>
      <c r="J214" s="427">
        <f>K214+N214</f>
        <v>0</v>
      </c>
      <c r="K214" s="427">
        <f>L214+M214</f>
        <v>0</v>
      </c>
      <c r="L214" s="428">
        <v>0</v>
      </c>
      <c r="M214" s="428">
        <v>0</v>
      </c>
      <c r="N214" s="427">
        <f>O214+R214+U214</f>
        <v>0</v>
      </c>
      <c r="O214" s="427">
        <f>P214+Q214</f>
        <v>0</v>
      </c>
      <c r="P214" s="428">
        <v>0</v>
      </c>
      <c r="Q214" s="428">
        <v>0</v>
      </c>
      <c r="R214" s="427">
        <f>S214+T214</f>
        <v>0</v>
      </c>
      <c r="S214" s="428">
        <v>0</v>
      </c>
      <c r="T214" s="428">
        <v>0</v>
      </c>
      <c r="U214" s="427">
        <f>V214+W214</f>
        <v>0</v>
      </c>
      <c r="V214" s="428">
        <v>0</v>
      </c>
      <c r="W214" s="428">
        <v>0</v>
      </c>
    </row>
    <row r="215" spans="1:23" s="426" customFormat="1" ht="15.75" customHeight="1" hidden="1">
      <c r="A215" s="831"/>
      <c r="B215" s="832"/>
      <c r="C215" s="834"/>
      <c r="D215" s="862"/>
      <c r="E215" s="831"/>
      <c r="F215" s="831"/>
      <c r="G215" s="832"/>
      <c r="H215" s="425">
        <v>511483</v>
      </c>
      <c r="I215" s="425">
        <v>10601</v>
      </c>
      <c r="J215" s="830">
        <f aca="true" t="shared" si="39" ref="J215:W215">J212+J214</f>
        <v>1096071</v>
      </c>
      <c r="K215" s="830">
        <f t="shared" si="39"/>
        <v>927594</v>
      </c>
      <c r="L215" s="828">
        <f t="shared" si="39"/>
        <v>47660</v>
      </c>
      <c r="M215" s="828">
        <f t="shared" si="39"/>
        <v>879934</v>
      </c>
      <c r="N215" s="830">
        <f t="shared" si="39"/>
        <v>168477</v>
      </c>
      <c r="O215" s="830">
        <f t="shared" si="39"/>
        <v>0</v>
      </c>
      <c r="P215" s="828">
        <f t="shared" si="39"/>
        <v>0</v>
      </c>
      <c r="Q215" s="828">
        <f t="shared" si="39"/>
        <v>0</v>
      </c>
      <c r="R215" s="830">
        <f t="shared" si="39"/>
        <v>168477</v>
      </c>
      <c r="S215" s="828">
        <f t="shared" si="39"/>
        <v>8411</v>
      </c>
      <c r="T215" s="828">
        <f t="shared" si="39"/>
        <v>160066</v>
      </c>
      <c r="U215" s="830">
        <f t="shared" si="39"/>
        <v>0</v>
      </c>
      <c r="V215" s="828">
        <f t="shared" si="39"/>
        <v>0</v>
      </c>
      <c r="W215" s="828">
        <f t="shared" si="39"/>
        <v>0</v>
      </c>
    </row>
    <row r="216" spans="1:23" s="426" customFormat="1" ht="15.75" customHeight="1" hidden="1">
      <c r="A216" s="831"/>
      <c r="B216" s="832"/>
      <c r="C216" s="834"/>
      <c r="D216" s="862"/>
      <c r="E216" s="831"/>
      <c r="F216" s="831"/>
      <c r="G216" s="832"/>
      <c r="H216" s="425">
        <v>0</v>
      </c>
      <c r="I216" s="425">
        <v>0</v>
      </c>
      <c r="J216" s="830"/>
      <c r="K216" s="830"/>
      <c r="L216" s="828"/>
      <c r="M216" s="828"/>
      <c r="N216" s="830"/>
      <c r="O216" s="830"/>
      <c r="P216" s="828"/>
      <c r="Q216" s="828"/>
      <c r="R216" s="830"/>
      <c r="S216" s="828"/>
      <c r="T216" s="828"/>
      <c r="U216" s="830"/>
      <c r="V216" s="828"/>
      <c r="W216" s="828"/>
    </row>
    <row r="217" spans="1:23" s="426" customFormat="1" ht="15.75" customHeight="1">
      <c r="A217" s="831">
        <v>13</v>
      </c>
      <c r="B217" s="832" t="s">
        <v>686</v>
      </c>
      <c r="C217" s="834" t="s">
        <v>687</v>
      </c>
      <c r="D217" s="862" t="s">
        <v>688</v>
      </c>
      <c r="E217" s="831" t="s">
        <v>617</v>
      </c>
      <c r="F217" s="831" t="s">
        <v>689</v>
      </c>
      <c r="G217" s="832" t="s">
        <v>690</v>
      </c>
      <c r="H217" s="425">
        <f>H218+H219+H220+H221</f>
        <v>12276164</v>
      </c>
      <c r="I217" s="425">
        <f>I218+I219+I220+I221</f>
        <v>1329429</v>
      </c>
      <c r="J217" s="830">
        <f>K217+N217</f>
        <v>7041533</v>
      </c>
      <c r="K217" s="830">
        <f>L217+M217</f>
        <v>6300319</v>
      </c>
      <c r="L217" s="828">
        <v>6300319</v>
      </c>
      <c r="M217" s="828">
        <v>0</v>
      </c>
      <c r="N217" s="830">
        <f>O217+R217+U217</f>
        <v>741214</v>
      </c>
      <c r="O217" s="830">
        <f>P217+Q217</f>
        <v>741214</v>
      </c>
      <c r="P217" s="828">
        <v>741214</v>
      </c>
      <c r="Q217" s="828">
        <v>0</v>
      </c>
      <c r="R217" s="830">
        <f>S217+T217</f>
        <v>0</v>
      </c>
      <c r="S217" s="828">
        <v>0</v>
      </c>
      <c r="T217" s="828">
        <v>0</v>
      </c>
      <c r="U217" s="830">
        <f>V217+W217</f>
        <v>0</v>
      </c>
      <c r="V217" s="828">
        <v>0</v>
      </c>
      <c r="W217" s="828">
        <v>0</v>
      </c>
    </row>
    <row r="218" spans="1:23" s="426" customFormat="1" ht="15.75" customHeight="1">
      <c r="A218" s="831"/>
      <c r="B218" s="832"/>
      <c r="C218" s="834"/>
      <c r="D218" s="862"/>
      <c r="E218" s="831"/>
      <c r="F218" s="831"/>
      <c r="G218" s="832"/>
      <c r="H218" s="425">
        <v>10983936</v>
      </c>
      <c r="I218" s="425">
        <v>1189489</v>
      </c>
      <c r="J218" s="830"/>
      <c r="K218" s="830"/>
      <c r="L218" s="828"/>
      <c r="M218" s="828"/>
      <c r="N218" s="830"/>
      <c r="O218" s="830"/>
      <c r="P218" s="828"/>
      <c r="Q218" s="828"/>
      <c r="R218" s="830"/>
      <c r="S218" s="828"/>
      <c r="T218" s="828"/>
      <c r="U218" s="830"/>
      <c r="V218" s="828"/>
      <c r="W218" s="828"/>
    </row>
    <row r="219" spans="1:23" s="426" customFormat="1" ht="15.75" customHeight="1">
      <c r="A219" s="831"/>
      <c r="B219" s="832"/>
      <c r="C219" s="834"/>
      <c r="D219" s="862"/>
      <c r="E219" s="831"/>
      <c r="F219" s="831"/>
      <c r="G219" s="832"/>
      <c r="H219" s="425">
        <v>1292228</v>
      </c>
      <c r="I219" s="425">
        <v>139940</v>
      </c>
      <c r="J219" s="427">
        <f>K219+N219</f>
        <v>2369309</v>
      </c>
      <c r="K219" s="427">
        <f>L219+M219</f>
        <v>2119907</v>
      </c>
      <c r="L219" s="428">
        <v>2119907</v>
      </c>
      <c r="M219" s="428">
        <v>0</v>
      </c>
      <c r="N219" s="427">
        <f>O219+R219+U219</f>
        <v>249402</v>
      </c>
      <c r="O219" s="427">
        <f>P219+Q219</f>
        <v>249402</v>
      </c>
      <c r="P219" s="428">
        <v>249402</v>
      </c>
      <c r="Q219" s="428">
        <v>0</v>
      </c>
      <c r="R219" s="427">
        <f>S219+T219</f>
        <v>0</v>
      </c>
      <c r="S219" s="428">
        <v>0</v>
      </c>
      <c r="T219" s="428">
        <v>0</v>
      </c>
      <c r="U219" s="427">
        <f>V219+W219</f>
        <v>0</v>
      </c>
      <c r="V219" s="428">
        <v>0</v>
      </c>
      <c r="W219" s="428">
        <v>0</v>
      </c>
    </row>
    <row r="220" spans="1:23" s="426" customFormat="1" ht="15.75" customHeight="1">
      <c r="A220" s="831"/>
      <c r="B220" s="832"/>
      <c r="C220" s="834"/>
      <c r="D220" s="862"/>
      <c r="E220" s="831"/>
      <c r="F220" s="831"/>
      <c r="G220" s="832"/>
      <c r="H220" s="425">
        <v>0</v>
      </c>
      <c r="I220" s="425">
        <v>0</v>
      </c>
      <c r="J220" s="830">
        <f aca="true" t="shared" si="40" ref="J220:W220">J217+J219</f>
        <v>9410842</v>
      </c>
      <c r="K220" s="830">
        <f t="shared" si="40"/>
        <v>8420226</v>
      </c>
      <c r="L220" s="828">
        <f t="shared" si="40"/>
        <v>8420226</v>
      </c>
      <c r="M220" s="828">
        <f t="shared" si="40"/>
        <v>0</v>
      </c>
      <c r="N220" s="830">
        <f t="shared" si="40"/>
        <v>990616</v>
      </c>
      <c r="O220" s="830">
        <f t="shared" si="40"/>
        <v>990616</v>
      </c>
      <c r="P220" s="828">
        <f t="shared" si="40"/>
        <v>990616</v>
      </c>
      <c r="Q220" s="828">
        <f t="shared" si="40"/>
        <v>0</v>
      </c>
      <c r="R220" s="830">
        <f t="shared" si="40"/>
        <v>0</v>
      </c>
      <c r="S220" s="828">
        <f t="shared" si="40"/>
        <v>0</v>
      </c>
      <c r="T220" s="828">
        <f t="shared" si="40"/>
        <v>0</v>
      </c>
      <c r="U220" s="830">
        <f t="shared" si="40"/>
        <v>0</v>
      </c>
      <c r="V220" s="828">
        <f t="shared" si="40"/>
        <v>0</v>
      </c>
      <c r="W220" s="828">
        <f t="shared" si="40"/>
        <v>0</v>
      </c>
    </row>
    <row r="221" spans="1:23" s="426" customFormat="1" ht="15.75" customHeight="1">
      <c r="A221" s="831"/>
      <c r="B221" s="832"/>
      <c r="C221" s="834"/>
      <c r="D221" s="862"/>
      <c r="E221" s="831"/>
      <c r="F221" s="831"/>
      <c r="G221" s="832"/>
      <c r="H221" s="425">
        <v>0</v>
      </c>
      <c r="I221" s="425">
        <v>0</v>
      </c>
      <c r="J221" s="830"/>
      <c r="K221" s="830"/>
      <c r="L221" s="828"/>
      <c r="M221" s="828"/>
      <c r="N221" s="830"/>
      <c r="O221" s="830"/>
      <c r="P221" s="828"/>
      <c r="Q221" s="828"/>
      <c r="R221" s="830"/>
      <c r="S221" s="828"/>
      <c r="T221" s="828"/>
      <c r="U221" s="830"/>
      <c r="V221" s="828"/>
      <c r="W221" s="828"/>
    </row>
    <row r="222" spans="1:23" s="426" customFormat="1" ht="15.75" customHeight="1" hidden="1">
      <c r="A222" s="831">
        <v>41</v>
      </c>
      <c r="B222" s="832" t="s">
        <v>691</v>
      </c>
      <c r="C222" s="834" t="s">
        <v>692</v>
      </c>
      <c r="D222" s="862" t="s">
        <v>693</v>
      </c>
      <c r="E222" s="831" t="s">
        <v>598</v>
      </c>
      <c r="F222" s="831" t="s">
        <v>694</v>
      </c>
      <c r="G222" s="832" t="s">
        <v>603</v>
      </c>
      <c r="H222" s="425">
        <f>H223+H224+H225+H226</f>
        <v>1078200</v>
      </c>
      <c r="I222" s="425">
        <f>I223+I224+I225+I226</f>
        <v>636631</v>
      </c>
      <c r="J222" s="830">
        <f>K222+N222</f>
        <v>441569</v>
      </c>
      <c r="K222" s="830">
        <f>L222+M222</f>
        <v>375334</v>
      </c>
      <c r="L222" s="828">
        <v>375334</v>
      </c>
      <c r="M222" s="828">
        <v>0</v>
      </c>
      <c r="N222" s="830">
        <f>O222+R222+U222</f>
        <v>66235</v>
      </c>
      <c r="O222" s="830">
        <f>P222+Q222</f>
        <v>44157</v>
      </c>
      <c r="P222" s="828">
        <v>44157</v>
      </c>
      <c r="Q222" s="828">
        <v>0</v>
      </c>
      <c r="R222" s="830">
        <f>S222+T222</f>
        <v>22078</v>
      </c>
      <c r="S222" s="828">
        <v>22078</v>
      </c>
      <c r="T222" s="828">
        <v>0</v>
      </c>
      <c r="U222" s="830">
        <f>V222+W222</f>
        <v>0</v>
      </c>
      <c r="V222" s="828">
        <v>0</v>
      </c>
      <c r="W222" s="828">
        <v>0</v>
      </c>
    </row>
    <row r="223" spans="1:23" s="426" customFormat="1" ht="15.75" customHeight="1" hidden="1">
      <c r="A223" s="831"/>
      <c r="B223" s="832"/>
      <c r="C223" s="834"/>
      <c r="D223" s="862"/>
      <c r="E223" s="831"/>
      <c r="F223" s="831"/>
      <c r="G223" s="832"/>
      <c r="H223" s="425">
        <v>916470</v>
      </c>
      <c r="I223" s="425">
        <v>541136</v>
      </c>
      <c r="J223" s="830"/>
      <c r="K223" s="830"/>
      <c r="L223" s="828"/>
      <c r="M223" s="828"/>
      <c r="N223" s="830"/>
      <c r="O223" s="830"/>
      <c r="P223" s="828"/>
      <c r="Q223" s="828"/>
      <c r="R223" s="830"/>
      <c r="S223" s="828"/>
      <c r="T223" s="828"/>
      <c r="U223" s="830"/>
      <c r="V223" s="828"/>
      <c r="W223" s="828"/>
    </row>
    <row r="224" spans="1:23" s="426" customFormat="1" ht="15.75" customHeight="1" hidden="1">
      <c r="A224" s="831"/>
      <c r="B224" s="832"/>
      <c r="C224" s="834"/>
      <c r="D224" s="862"/>
      <c r="E224" s="831"/>
      <c r="F224" s="831"/>
      <c r="G224" s="832"/>
      <c r="H224" s="425">
        <v>107820</v>
      </c>
      <c r="I224" s="425">
        <v>63663</v>
      </c>
      <c r="J224" s="427">
        <f>K224+N224</f>
        <v>0</v>
      </c>
      <c r="K224" s="427">
        <f>L224+M224</f>
        <v>0</v>
      </c>
      <c r="L224" s="428">
        <v>0</v>
      </c>
      <c r="M224" s="428">
        <v>0</v>
      </c>
      <c r="N224" s="427">
        <f>O224+R224+U224</f>
        <v>0</v>
      </c>
      <c r="O224" s="427">
        <f>P224+Q224</f>
        <v>0</v>
      </c>
      <c r="P224" s="428">
        <v>0</v>
      </c>
      <c r="Q224" s="428">
        <v>0</v>
      </c>
      <c r="R224" s="427">
        <f>S224+T224</f>
        <v>0</v>
      </c>
      <c r="S224" s="428">
        <v>0</v>
      </c>
      <c r="T224" s="428">
        <v>0</v>
      </c>
      <c r="U224" s="427">
        <f>V224+W224</f>
        <v>0</v>
      </c>
      <c r="V224" s="428">
        <v>0</v>
      </c>
      <c r="W224" s="428">
        <v>0</v>
      </c>
    </row>
    <row r="225" spans="1:23" s="426" customFormat="1" ht="15.75" customHeight="1" hidden="1">
      <c r="A225" s="831"/>
      <c r="B225" s="832"/>
      <c r="C225" s="834"/>
      <c r="D225" s="862"/>
      <c r="E225" s="831"/>
      <c r="F225" s="831"/>
      <c r="G225" s="832"/>
      <c r="H225" s="425">
        <v>53910</v>
      </c>
      <c r="I225" s="425">
        <v>31832</v>
      </c>
      <c r="J225" s="830">
        <f aca="true" t="shared" si="41" ref="J225:W225">J222+J224</f>
        <v>441569</v>
      </c>
      <c r="K225" s="830">
        <f t="shared" si="41"/>
        <v>375334</v>
      </c>
      <c r="L225" s="828">
        <f t="shared" si="41"/>
        <v>375334</v>
      </c>
      <c r="M225" s="828">
        <f t="shared" si="41"/>
        <v>0</v>
      </c>
      <c r="N225" s="830">
        <f t="shared" si="41"/>
        <v>66235</v>
      </c>
      <c r="O225" s="830">
        <f t="shared" si="41"/>
        <v>44157</v>
      </c>
      <c r="P225" s="828">
        <f t="shared" si="41"/>
        <v>44157</v>
      </c>
      <c r="Q225" s="828">
        <f t="shared" si="41"/>
        <v>0</v>
      </c>
      <c r="R225" s="830">
        <f t="shared" si="41"/>
        <v>22078</v>
      </c>
      <c r="S225" s="828">
        <f t="shared" si="41"/>
        <v>22078</v>
      </c>
      <c r="T225" s="828">
        <f t="shared" si="41"/>
        <v>0</v>
      </c>
      <c r="U225" s="830">
        <f t="shared" si="41"/>
        <v>0</v>
      </c>
      <c r="V225" s="828">
        <f t="shared" si="41"/>
        <v>0</v>
      </c>
      <c r="W225" s="828">
        <f t="shared" si="41"/>
        <v>0</v>
      </c>
    </row>
    <row r="226" spans="1:23" s="426" customFormat="1" ht="15.75" customHeight="1" hidden="1">
      <c r="A226" s="831"/>
      <c r="B226" s="832"/>
      <c r="C226" s="834"/>
      <c r="D226" s="862"/>
      <c r="E226" s="831"/>
      <c r="F226" s="831"/>
      <c r="G226" s="832"/>
      <c r="H226" s="425">
        <v>0</v>
      </c>
      <c r="I226" s="425">
        <v>0</v>
      </c>
      <c r="J226" s="830"/>
      <c r="K226" s="830"/>
      <c r="L226" s="828"/>
      <c r="M226" s="828"/>
      <c r="N226" s="830"/>
      <c r="O226" s="830"/>
      <c r="P226" s="828"/>
      <c r="Q226" s="828"/>
      <c r="R226" s="830"/>
      <c r="S226" s="828"/>
      <c r="T226" s="828"/>
      <c r="U226" s="830"/>
      <c r="V226" s="828"/>
      <c r="W226" s="828"/>
    </row>
    <row r="227" spans="1:23" s="426" customFormat="1" ht="15.75" customHeight="1" hidden="1">
      <c r="A227" s="831">
        <v>42</v>
      </c>
      <c r="B227" s="832" t="s">
        <v>691</v>
      </c>
      <c r="C227" s="834" t="s">
        <v>692</v>
      </c>
      <c r="D227" s="859" t="s">
        <v>695</v>
      </c>
      <c r="E227" s="836" t="s">
        <v>696</v>
      </c>
      <c r="F227" s="836" t="s">
        <v>697</v>
      </c>
      <c r="G227" s="839" t="s">
        <v>698</v>
      </c>
      <c r="H227" s="425">
        <f>H228+H229+H230+H231</f>
        <v>427204</v>
      </c>
      <c r="I227" s="425">
        <f>I228+I229+I230+I231</f>
        <v>0</v>
      </c>
      <c r="J227" s="830">
        <f>K227+N227</f>
        <v>294892</v>
      </c>
      <c r="K227" s="830">
        <f>L227+M227</f>
        <v>263851</v>
      </c>
      <c r="L227" s="828">
        <v>245956</v>
      </c>
      <c r="M227" s="828">
        <v>17895</v>
      </c>
      <c r="N227" s="830">
        <f>O227+R227+U227</f>
        <v>31041</v>
      </c>
      <c r="O227" s="830">
        <f>P227+Q227</f>
        <v>31041</v>
      </c>
      <c r="P227" s="828">
        <v>28936</v>
      </c>
      <c r="Q227" s="828">
        <v>2105</v>
      </c>
      <c r="R227" s="830">
        <f>S227+T227</f>
        <v>0</v>
      </c>
      <c r="S227" s="828">
        <v>0</v>
      </c>
      <c r="T227" s="828">
        <v>0</v>
      </c>
      <c r="U227" s="830">
        <f>V227+W227</f>
        <v>0</v>
      </c>
      <c r="V227" s="828">
        <v>0</v>
      </c>
      <c r="W227" s="828">
        <v>0</v>
      </c>
    </row>
    <row r="228" spans="1:23" s="426" customFormat="1" ht="15.75" customHeight="1" hidden="1">
      <c r="A228" s="831"/>
      <c r="B228" s="832"/>
      <c r="C228" s="834"/>
      <c r="D228" s="860"/>
      <c r="E228" s="837"/>
      <c r="F228" s="837"/>
      <c r="G228" s="840"/>
      <c r="H228" s="425">
        <v>382236</v>
      </c>
      <c r="I228" s="425">
        <v>0</v>
      </c>
      <c r="J228" s="830"/>
      <c r="K228" s="830"/>
      <c r="L228" s="828"/>
      <c r="M228" s="828"/>
      <c r="N228" s="830"/>
      <c r="O228" s="830"/>
      <c r="P228" s="828"/>
      <c r="Q228" s="828"/>
      <c r="R228" s="830"/>
      <c r="S228" s="828"/>
      <c r="T228" s="828"/>
      <c r="U228" s="830"/>
      <c r="V228" s="828"/>
      <c r="W228" s="828"/>
    </row>
    <row r="229" spans="1:23" s="426" customFormat="1" ht="15.75" customHeight="1" hidden="1">
      <c r="A229" s="831"/>
      <c r="B229" s="832"/>
      <c r="C229" s="834"/>
      <c r="D229" s="860"/>
      <c r="E229" s="837"/>
      <c r="F229" s="837"/>
      <c r="G229" s="840"/>
      <c r="H229" s="425">
        <v>44968</v>
      </c>
      <c r="I229" s="425">
        <v>0</v>
      </c>
      <c r="J229" s="427">
        <f>K229+N229</f>
        <v>0</v>
      </c>
      <c r="K229" s="427">
        <f>L229+M229</f>
        <v>0</v>
      </c>
      <c r="L229" s="428">
        <v>0</v>
      </c>
      <c r="M229" s="428">
        <v>0</v>
      </c>
      <c r="N229" s="427">
        <f>O229+R229+U229</f>
        <v>0</v>
      </c>
      <c r="O229" s="427">
        <f>P229+Q229</f>
        <v>0</v>
      </c>
      <c r="P229" s="428">
        <v>0</v>
      </c>
      <c r="Q229" s="428">
        <v>0</v>
      </c>
      <c r="R229" s="427">
        <f>S229+T229</f>
        <v>0</v>
      </c>
      <c r="S229" s="428">
        <v>0</v>
      </c>
      <c r="T229" s="428">
        <v>0</v>
      </c>
      <c r="U229" s="427">
        <f>V229+W229</f>
        <v>0</v>
      </c>
      <c r="V229" s="428">
        <v>0</v>
      </c>
      <c r="W229" s="428">
        <v>0</v>
      </c>
    </row>
    <row r="230" spans="1:23" s="426" customFormat="1" ht="15.75" customHeight="1" hidden="1">
      <c r="A230" s="831"/>
      <c r="B230" s="832"/>
      <c r="C230" s="834"/>
      <c r="D230" s="860"/>
      <c r="E230" s="837"/>
      <c r="F230" s="837"/>
      <c r="G230" s="840"/>
      <c r="H230" s="425">
        <v>0</v>
      </c>
      <c r="I230" s="425">
        <v>0</v>
      </c>
      <c r="J230" s="830">
        <f aca="true" t="shared" si="42" ref="J230:W230">J227+J229</f>
        <v>294892</v>
      </c>
      <c r="K230" s="830">
        <f t="shared" si="42"/>
        <v>263851</v>
      </c>
      <c r="L230" s="828">
        <f t="shared" si="42"/>
        <v>245956</v>
      </c>
      <c r="M230" s="828">
        <f t="shared" si="42"/>
        <v>17895</v>
      </c>
      <c r="N230" s="830">
        <f t="shared" si="42"/>
        <v>31041</v>
      </c>
      <c r="O230" s="830">
        <f t="shared" si="42"/>
        <v>31041</v>
      </c>
      <c r="P230" s="828">
        <f t="shared" si="42"/>
        <v>28936</v>
      </c>
      <c r="Q230" s="828">
        <f t="shared" si="42"/>
        <v>2105</v>
      </c>
      <c r="R230" s="830">
        <f t="shared" si="42"/>
        <v>0</v>
      </c>
      <c r="S230" s="828">
        <f t="shared" si="42"/>
        <v>0</v>
      </c>
      <c r="T230" s="828">
        <f t="shared" si="42"/>
        <v>0</v>
      </c>
      <c r="U230" s="830">
        <f t="shared" si="42"/>
        <v>0</v>
      </c>
      <c r="V230" s="828">
        <f t="shared" si="42"/>
        <v>0</v>
      </c>
      <c r="W230" s="828">
        <f t="shared" si="42"/>
        <v>0</v>
      </c>
    </row>
    <row r="231" spans="1:23" s="426" customFormat="1" ht="15.75" customHeight="1" hidden="1">
      <c r="A231" s="831"/>
      <c r="B231" s="832"/>
      <c r="C231" s="834"/>
      <c r="D231" s="861"/>
      <c r="E231" s="838"/>
      <c r="F231" s="838"/>
      <c r="G231" s="841"/>
      <c r="H231" s="425">
        <v>0</v>
      </c>
      <c r="I231" s="425">
        <v>0</v>
      </c>
      <c r="J231" s="830"/>
      <c r="K231" s="830"/>
      <c r="L231" s="828"/>
      <c r="M231" s="828"/>
      <c r="N231" s="830"/>
      <c r="O231" s="830"/>
      <c r="P231" s="828"/>
      <c r="Q231" s="828"/>
      <c r="R231" s="830"/>
      <c r="S231" s="828"/>
      <c r="T231" s="828"/>
      <c r="U231" s="830"/>
      <c r="V231" s="828"/>
      <c r="W231" s="828"/>
    </row>
    <row r="232" spans="1:23" s="426" customFormat="1" ht="15.75" customHeight="1">
      <c r="A232" s="831">
        <v>14</v>
      </c>
      <c r="B232" s="839" t="s">
        <v>699</v>
      </c>
      <c r="C232" s="834" t="s">
        <v>700</v>
      </c>
      <c r="D232" s="859" t="s">
        <v>701</v>
      </c>
      <c r="E232" s="831" t="s">
        <v>617</v>
      </c>
      <c r="F232" s="836" t="s">
        <v>702</v>
      </c>
      <c r="G232" s="839" t="s">
        <v>637</v>
      </c>
      <c r="H232" s="425">
        <f>H233+H234+H235+H236</f>
        <v>4691046</v>
      </c>
      <c r="I232" s="425">
        <f>I233+I234+I235+I236</f>
        <v>1810672</v>
      </c>
      <c r="J232" s="830">
        <f>K232+N232</f>
        <v>1487301</v>
      </c>
      <c r="K232" s="830">
        <f>L232+M232</f>
        <v>1330743</v>
      </c>
      <c r="L232" s="828">
        <v>1330743</v>
      </c>
      <c r="M232" s="828">
        <v>0</v>
      </c>
      <c r="N232" s="830">
        <f>O232+R232+U232</f>
        <v>156558</v>
      </c>
      <c r="O232" s="830">
        <f>P232+Q232</f>
        <v>156558</v>
      </c>
      <c r="P232" s="828">
        <v>156558</v>
      </c>
      <c r="Q232" s="828">
        <v>0</v>
      </c>
      <c r="R232" s="830">
        <f>S232+T232</f>
        <v>0</v>
      </c>
      <c r="S232" s="828">
        <v>0</v>
      </c>
      <c r="T232" s="828">
        <v>0</v>
      </c>
      <c r="U232" s="830">
        <f>V232+W232</f>
        <v>0</v>
      </c>
      <c r="V232" s="828">
        <v>0</v>
      </c>
      <c r="W232" s="828">
        <v>0</v>
      </c>
    </row>
    <row r="233" spans="1:23" s="426" customFormat="1" ht="15.75" customHeight="1">
      <c r="A233" s="831"/>
      <c r="B233" s="840"/>
      <c r="C233" s="834"/>
      <c r="D233" s="860"/>
      <c r="E233" s="831"/>
      <c r="F233" s="837"/>
      <c r="G233" s="840"/>
      <c r="H233" s="425">
        <v>4197251</v>
      </c>
      <c r="I233" s="425">
        <v>1620075</v>
      </c>
      <c r="J233" s="830"/>
      <c r="K233" s="830"/>
      <c r="L233" s="828"/>
      <c r="M233" s="828"/>
      <c r="N233" s="830"/>
      <c r="O233" s="830"/>
      <c r="P233" s="828"/>
      <c r="Q233" s="828"/>
      <c r="R233" s="830"/>
      <c r="S233" s="828"/>
      <c r="T233" s="828"/>
      <c r="U233" s="830"/>
      <c r="V233" s="828"/>
      <c r="W233" s="828"/>
    </row>
    <row r="234" spans="1:23" s="426" customFormat="1" ht="15.75" customHeight="1">
      <c r="A234" s="831"/>
      <c r="B234" s="840"/>
      <c r="C234" s="834"/>
      <c r="D234" s="860"/>
      <c r="E234" s="831"/>
      <c r="F234" s="837"/>
      <c r="G234" s="840"/>
      <c r="H234" s="425">
        <v>493795</v>
      </c>
      <c r="I234" s="425">
        <v>190597</v>
      </c>
      <c r="J234" s="427">
        <f>K234+N234</f>
        <v>261886</v>
      </c>
      <c r="K234" s="427">
        <f>L234+M234</f>
        <v>234319</v>
      </c>
      <c r="L234" s="428">
        <v>234319</v>
      </c>
      <c r="M234" s="428">
        <v>0</v>
      </c>
      <c r="N234" s="427">
        <f>O234+R234+U234</f>
        <v>27567</v>
      </c>
      <c r="O234" s="427">
        <f>P234+Q234</f>
        <v>27567</v>
      </c>
      <c r="P234" s="428">
        <v>27567</v>
      </c>
      <c r="Q234" s="428">
        <v>0</v>
      </c>
      <c r="R234" s="427">
        <f>S234+T234</f>
        <v>0</v>
      </c>
      <c r="S234" s="428">
        <v>0</v>
      </c>
      <c r="T234" s="428">
        <v>0</v>
      </c>
      <c r="U234" s="427">
        <f>V234+W234</f>
        <v>0</v>
      </c>
      <c r="V234" s="428">
        <v>0</v>
      </c>
      <c r="W234" s="428">
        <v>0</v>
      </c>
    </row>
    <row r="235" spans="1:23" s="426" customFormat="1" ht="15.75" customHeight="1">
      <c r="A235" s="831"/>
      <c r="B235" s="840"/>
      <c r="C235" s="834"/>
      <c r="D235" s="860"/>
      <c r="E235" s="831"/>
      <c r="F235" s="837"/>
      <c r="G235" s="840"/>
      <c r="H235" s="425">
        <v>0</v>
      </c>
      <c r="I235" s="425">
        <v>0</v>
      </c>
      <c r="J235" s="830">
        <f aca="true" t="shared" si="43" ref="J235:W235">J232+J234</f>
        <v>1749187</v>
      </c>
      <c r="K235" s="830">
        <f t="shared" si="43"/>
        <v>1565062</v>
      </c>
      <c r="L235" s="828">
        <f t="shared" si="43"/>
        <v>1565062</v>
      </c>
      <c r="M235" s="828">
        <f t="shared" si="43"/>
        <v>0</v>
      </c>
      <c r="N235" s="830">
        <f t="shared" si="43"/>
        <v>184125</v>
      </c>
      <c r="O235" s="830">
        <f t="shared" si="43"/>
        <v>184125</v>
      </c>
      <c r="P235" s="828">
        <f t="shared" si="43"/>
        <v>184125</v>
      </c>
      <c r="Q235" s="828">
        <f t="shared" si="43"/>
        <v>0</v>
      </c>
      <c r="R235" s="830">
        <f t="shared" si="43"/>
        <v>0</v>
      </c>
      <c r="S235" s="828">
        <f t="shared" si="43"/>
        <v>0</v>
      </c>
      <c r="T235" s="828">
        <f t="shared" si="43"/>
        <v>0</v>
      </c>
      <c r="U235" s="830">
        <f t="shared" si="43"/>
        <v>0</v>
      </c>
      <c r="V235" s="828">
        <f t="shared" si="43"/>
        <v>0</v>
      </c>
      <c r="W235" s="828">
        <f t="shared" si="43"/>
        <v>0</v>
      </c>
    </row>
    <row r="236" spans="1:23" s="426" customFormat="1" ht="15.75" customHeight="1">
      <c r="A236" s="831"/>
      <c r="B236" s="841"/>
      <c r="C236" s="834"/>
      <c r="D236" s="861"/>
      <c r="E236" s="831"/>
      <c r="F236" s="838"/>
      <c r="G236" s="841"/>
      <c r="H236" s="425">
        <v>0</v>
      </c>
      <c r="I236" s="425">
        <v>0</v>
      </c>
      <c r="J236" s="830"/>
      <c r="K236" s="830"/>
      <c r="L236" s="828"/>
      <c r="M236" s="828"/>
      <c r="N236" s="830"/>
      <c r="O236" s="830"/>
      <c r="P236" s="828"/>
      <c r="Q236" s="828"/>
      <c r="R236" s="830"/>
      <c r="S236" s="828"/>
      <c r="T236" s="828"/>
      <c r="U236" s="830"/>
      <c r="V236" s="828"/>
      <c r="W236" s="828"/>
    </row>
    <row r="237" spans="1:23" s="426" customFormat="1" ht="15.75" customHeight="1" hidden="1">
      <c r="A237" s="831">
        <v>44</v>
      </c>
      <c r="B237" s="839" t="s">
        <v>699</v>
      </c>
      <c r="C237" s="834" t="s">
        <v>700</v>
      </c>
      <c r="D237" s="859" t="s">
        <v>703</v>
      </c>
      <c r="E237" s="831" t="s">
        <v>617</v>
      </c>
      <c r="F237" s="836" t="s">
        <v>702</v>
      </c>
      <c r="G237" s="839" t="s">
        <v>603</v>
      </c>
      <c r="H237" s="425">
        <f>H238+H239+H240+H241</f>
        <v>7315715</v>
      </c>
      <c r="I237" s="425">
        <f>I238+I239+I240+I241</f>
        <v>4755683</v>
      </c>
      <c r="J237" s="830">
        <f>K237+N237</f>
        <v>2560032</v>
      </c>
      <c r="K237" s="830">
        <f>L237+M237</f>
        <v>2290555</v>
      </c>
      <c r="L237" s="828">
        <v>2290555</v>
      </c>
      <c r="M237" s="828">
        <v>0</v>
      </c>
      <c r="N237" s="830">
        <f>O237+R237+U237</f>
        <v>269477</v>
      </c>
      <c r="O237" s="830">
        <f>P237+Q237</f>
        <v>269477</v>
      </c>
      <c r="P237" s="828">
        <v>269477</v>
      </c>
      <c r="Q237" s="828">
        <v>0</v>
      </c>
      <c r="R237" s="830">
        <f>S237+T237</f>
        <v>0</v>
      </c>
      <c r="S237" s="828">
        <v>0</v>
      </c>
      <c r="T237" s="828">
        <v>0</v>
      </c>
      <c r="U237" s="830">
        <f>V237+W237</f>
        <v>0</v>
      </c>
      <c r="V237" s="828">
        <v>0</v>
      </c>
      <c r="W237" s="828">
        <v>0</v>
      </c>
    </row>
    <row r="238" spans="1:23" s="426" customFormat="1" ht="15.75" customHeight="1" hidden="1">
      <c r="A238" s="831"/>
      <c r="B238" s="840"/>
      <c r="C238" s="834"/>
      <c r="D238" s="860"/>
      <c r="E238" s="831"/>
      <c r="F238" s="837"/>
      <c r="G238" s="840"/>
      <c r="H238" s="425">
        <v>6545639</v>
      </c>
      <c r="I238" s="425">
        <v>4255084</v>
      </c>
      <c r="J238" s="830"/>
      <c r="K238" s="830"/>
      <c r="L238" s="828"/>
      <c r="M238" s="828"/>
      <c r="N238" s="830"/>
      <c r="O238" s="830"/>
      <c r="P238" s="828"/>
      <c r="Q238" s="828"/>
      <c r="R238" s="830"/>
      <c r="S238" s="828"/>
      <c r="T238" s="828"/>
      <c r="U238" s="830"/>
      <c r="V238" s="828"/>
      <c r="W238" s="828"/>
    </row>
    <row r="239" spans="1:23" s="426" customFormat="1" ht="15.75" customHeight="1" hidden="1">
      <c r="A239" s="831"/>
      <c r="B239" s="840"/>
      <c r="C239" s="834"/>
      <c r="D239" s="860"/>
      <c r="E239" s="831"/>
      <c r="F239" s="837"/>
      <c r="G239" s="840"/>
      <c r="H239" s="425">
        <v>770076</v>
      </c>
      <c r="I239" s="425">
        <v>500599</v>
      </c>
      <c r="J239" s="427">
        <f>K239+N239</f>
        <v>0</v>
      </c>
      <c r="K239" s="427">
        <f>L239+M239</f>
        <v>0</v>
      </c>
      <c r="L239" s="428">
        <v>0</v>
      </c>
      <c r="M239" s="428">
        <v>0</v>
      </c>
      <c r="N239" s="427">
        <f>O239+R239+U239</f>
        <v>0</v>
      </c>
      <c r="O239" s="427">
        <f>P239+Q239</f>
        <v>0</v>
      </c>
      <c r="P239" s="428">
        <v>0</v>
      </c>
      <c r="Q239" s="428">
        <v>0</v>
      </c>
      <c r="R239" s="427">
        <f>S239+T239</f>
        <v>0</v>
      </c>
      <c r="S239" s="428">
        <v>0</v>
      </c>
      <c r="T239" s="428">
        <v>0</v>
      </c>
      <c r="U239" s="427">
        <f>V239+W239</f>
        <v>0</v>
      </c>
      <c r="V239" s="428">
        <v>0</v>
      </c>
      <c r="W239" s="428">
        <v>0</v>
      </c>
    </row>
    <row r="240" spans="1:23" s="426" customFormat="1" ht="15.75" customHeight="1" hidden="1">
      <c r="A240" s="831"/>
      <c r="B240" s="840"/>
      <c r="C240" s="834"/>
      <c r="D240" s="860"/>
      <c r="E240" s="831"/>
      <c r="F240" s="837"/>
      <c r="G240" s="840"/>
      <c r="H240" s="425">
        <v>0</v>
      </c>
      <c r="I240" s="425">
        <v>0</v>
      </c>
      <c r="J240" s="830">
        <f aca="true" t="shared" si="44" ref="J240:W240">J237+J239</f>
        <v>2560032</v>
      </c>
      <c r="K240" s="830">
        <f t="shared" si="44"/>
        <v>2290555</v>
      </c>
      <c r="L240" s="828">
        <f t="shared" si="44"/>
        <v>2290555</v>
      </c>
      <c r="M240" s="828">
        <f t="shared" si="44"/>
        <v>0</v>
      </c>
      <c r="N240" s="830">
        <f t="shared" si="44"/>
        <v>269477</v>
      </c>
      <c r="O240" s="830">
        <f t="shared" si="44"/>
        <v>269477</v>
      </c>
      <c r="P240" s="828">
        <f t="shared" si="44"/>
        <v>269477</v>
      </c>
      <c r="Q240" s="828">
        <f t="shared" si="44"/>
        <v>0</v>
      </c>
      <c r="R240" s="830">
        <f t="shared" si="44"/>
        <v>0</v>
      </c>
      <c r="S240" s="828">
        <f t="shared" si="44"/>
        <v>0</v>
      </c>
      <c r="T240" s="828">
        <f t="shared" si="44"/>
        <v>0</v>
      </c>
      <c r="U240" s="830">
        <f t="shared" si="44"/>
        <v>0</v>
      </c>
      <c r="V240" s="828">
        <f t="shared" si="44"/>
        <v>0</v>
      </c>
      <c r="W240" s="828">
        <f t="shared" si="44"/>
        <v>0</v>
      </c>
    </row>
    <row r="241" spans="1:23" s="426" customFormat="1" ht="15.75" customHeight="1" hidden="1">
      <c r="A241" s="831"/>
      <c r="B241" s="841"/>
      <c r="C241" s="834"/>
      <c r="D241" s="861"/>
      <c r="E241" s="831"/>
      <c r="F241" s="838"/>
      <c r="G241" s="841"/>
      <c r="H241" s="425">
        <v>0</v>
      </c>
      <c r="I241" s="425">
        <v>0</v>
      </c>
      <c r="J241" s="830"/>
      <c r="K241" s="830"/>
      <c r="L241" s="828"/>
      <c r="M241" s="828"/>
      <c r="N241" s="830"/>
      <c r="O241" s="830"/>
      <c r="P241" s="828"/>
      <c r="Q241" s="828"/>
      <c r="R241" s="830"/>
      <c r="S241" s="828"/>
      <c r="T241" s="828"/>
      <c r="U241" s="830"/>
      <c r="V241" s="828"/>
      <c r="W241" s="828"/>
    </row>
    <row r="242" spans="1:23" s="426" customFormat="1" ht="15" customHeight="1">
      <c r="A242" s="831">
        <v>15</v>
      </c>
      <c r="B242" s="839" t="s">
        <v>704</v>
      </c>
      <c r="C242" s="834" t="s">
        <v>705</v>
      </c>
      <c r="D242" s="859" t="s">
        <v>706</v>
      </c>
      <c r="E242" s="831" t="s">
        <v>598</v>
      </c>
      <c r="F242" s="836" t="s">
        <v>707</v>
      </c>
      <c r="G242" s="839">
        <v>2020</v>
      </c>
      <c r="H242" s="425">
        <f>H243+H244+H245+H246</f>
        <v>2352942</v>
      </c>
      <c r="I242" s="425">
        <f>I243+I244+I245+I246</f>
        <v>0</v>
      </c>
      <c r="J242" s="830">
        <f>K242+N242</f>
        <v>0</v>
      </c>
      <c r="K242" s="830">
        <f>L242+M242</f>
        <v>0</v>
      </c>
      <c r="L242" s="828">
        <v>0</v>
      </c>
      <c r="M242" s="828">
        <v>0</v>
      </c>
      <c r="N242" s="830">
        <f>O242+R242+U242</f>
        <v>0</v>
      </c>
      <c r="O242" s="830">
        <f>P242+Q242</f>
        <v>0</v>
      </c>
      <c r="P242" s="828">
        <v>0</v>
      </c>
      <c r="Q242" s="828">
        <v>0</v>
      </c>
      <c r="R242" s="830">
        <f>S242+T242</f>
        <v>0</v>
      </c>
      <c r="S242" s="828">
        <v>0</v>
      </c>
      <c r="T242" s="828">
        <v>0</v>
      </c>
      <c r="U242" s="830">
        <f>V242+W242</f>
        <v>0</v>
      </c>
      <c r="V242" s="828">
        <v>0</v>
      </c>
      <c r="W242" s="828">
        <v>0</v>
      </c>
    </row>
    <row r="243" spans="1:23" s="426" customFormat="1" ht="15" customHeight="1">
      <c r="A243" s="831"/>
      <c r="B243" s="840"/>
      <c r="C243" s="834"/>
      <c r="D243" s="860"/>
      <c r="E243" s="831"/>
      <c r="F243" s="837"/>
      <c r="G243" s="840"/>
      <c r="H243" s="425">
        <v>2000000</v>
      </c>
      <c r="I243" s="425">
        <v>0</v>
      </c>
      <c r="J243" s="830"/>
      <c r="K243" s="830"/>
      <c r="L243" s="828"/>
      <c r="M243" s="828"/>
      <c r="N243" s="830"/>
      <c r="O243" s="830"/>
      <c r="P243" s="828"/>
      <c r="Q243" s="828"/>
      <c r="R243" s="830"/>
      <c r="S243" s="828"/>
      <c r="T243" s="828"/>
      <c r="U243" s="830"/>
      <c r="V243" s="828"/>
      <c r="W243" s="828"/>
    </row>
    <row r="244" spans="1:23" s="426" customFormat="1" ht="15" customHeight="1">
      <c r="A244" s="831"/>
      <c r="B244" s="840"/>
      <c r="C244" s="834"/>
      <c r="D244" s="860"/>
      <c r="E244" s="831"/>
      <c r="F244" s="837"/>
      <c r="G244" s="840"/>
      <c r="H244" s="425">
        <v>235294</v>
      </c>
      <c r="I244" s="425">
        <v>0</v>
      </c>
      <c r="J244" s="427">
        <f>K244+N244</f>
        <v>2352942</v>
      </c>
      <c r="K244" s="427">
        <f>L244+M244</f>
        <v>2000000</v>
      </c>
      <c r="L244" s="428">
        <v>2000000</v>
      </c>
      <c r="M244" s="428">
        <v>0</v>
      </c>
      <c r="N244" s="427">
        <f>O244+R244+U244</f>
        <v>352942</v>
      </c>
      <c r="O244" s="427">
        <f>P244+Q244</f>
        <v>235294</v>
      </c>
      <c r="P244" s="428">
        <v>235294</v>
      </c>
      <c r="Q244" s="428">
        <v>0</v>
      </c>
      <c r="R244" s="427">
        <f>S244+T244</f>
        <v>117648</v>
      </c>
      <c r="S244" s="428">
        <v>117648</v>
      </c>
      <c r="T244" s="428">
        <v>0</v>
      </c>
      <c r="U244" s="427">
        <f>V244+W244</f>
        <v>0</v>
      </c>
      <c r="V244" s="428">
        <v>0</v>
      </c>
      <c r="W244" s="428">
        <v>0</v>
      </c>
    </row>
    <row r="245" spans="1:23" s="426" customFormat="1" ht="15" customHeight="1">
      <c r="A245" s="831"/>
      <c r="B245" s="840"/>
      <c r="C245" s="834"/>
      <c r="D245" s="860"/>
      <c r="E245" s="831"/>
      <c r="F245" s="837"/>
      <c r="G245" s="840"/>
      <c r="H245" s="425">
        <v>117648</v>
      </c>
      <c r="I245" s="425">
        <v>0</v>
      </c>
      <c r="J245" s="830">
        <f aca="true" t="shared" si="45" ref="J245:W245">J242+J244</f>
        <v>2352942</v>
      </c>
      <c r="K245" s="830">
        <f t="shared" si="45"/>
        <v>2000000</v>
      </c>
      <c r="L245" s="828">
        <f t="shared" si="45"/>
        <v>2000000</v>
      </c>
      <c r="M245" s="828">
        <f t="shared" si="45"/>
        <v>0</v>
      </c>
      <c r="N245" s="830">
        <f t="shared" si="45"/>
        <v>352942</v>
      </c>
      <c r="O245" s="830">
        <f t="shared" si="45"/>
        <v>235294</v>
      </c>
      <c r="P245" s="828">
        <f t="shared" si="45"/>
        <v>235294</v>
      </c>
      <c r="Q245" s="828">
        <f t="shared" si="45"/>
        <v>0</v>
      </c>
      <c r="R245" s="830">
        <f t="shared" si="45"/>
        <v>117648</v>
      </c>
      <c r="S245" s="828">
        <f t="shared" si="45"/>
        <v>117648</v>
      </c>
      <c r="T245" s="828">
        <f t="shared" si="45"/>
        <v>0</v>
      </c>
      <c r="U245" s="830">
        <f t="shared" si="45"/>
        <v>0</v>
      </c>
      <c r="V245" s="828">
        <f t="shared" si="45"/>
        <v>0</v>
      </c>
      <c r="W245" s="828">
        <f t="shared" si="45"/>
        <v>0</v>
      </c>
    </row>
    <row r="246" spans="1:23" s="426" customFormat="1" ht="15" customHeight="1">
      <c r="A246" s="831"/>
      <c r="B246" s="841"/>
      <c r="C246" s="834"/>
      <c r="D246" s="861"/>
      <c r="E246" s="831"/>
      <c r="F246" s="838"/>
      <c r="G246" s="841"/>
      <c r="H246" s="425">
        <v>0</v>
      </c>
      <c r="I246" s="425">
        <v>0</v>
      </c>
      <c r="J246" s="830"/>
      <c r="K246" s="830"/>
      <c r="L246" s="828"/>
      <c r="M246" s="828"/>
      <c r="N246" s="830"/>
      <c r="O246" s="830"/>
      <c r="P246" s="828"/>
      <c r="Q246" s="828"/>
      <c r="R246" s="830"/>
      <c r="S246" s="828"/>
      <c r="T246" s="828"/>
      <c r="U246" s="830"/>
      <c r="V246" s="828"/>
      <c r="W246" s="828"/>
    </row>
    <row r="247" spans="1:23" s="426" customFormat="1" ht="15.75" customHeight="1">
      <c r="A247" s="831">
        <v>16</v>
      </c>
      <c r="B247" s="839" t="s">
        <v>704</v>
      </c>
      <c r="C247" s="834" t="s">
        <v>705</v>
      </c>
      <c r="D247" s="859" t="s">
        <v>708</v>
      </c>
      <c r="E247" s="831" t="s">
        <v>598</v>
      </c>
      <c r="F247" s="836" t="s">
        <v>707</v>
      </c>
      <c r="G247" s="839">
        <v>2020</v>
      </c>
      <c r="H247" s="425">
        <f>H248+H249+H250+H251</f>
        <v>1515000</v>
      </c>
      <c r="I247" s="425">
        <f>I248+I249+I250+I251</f>
        <v>0</v>
      </c>
      <c r="J247" s="830">
        <f>K247+N247</f>
        <v>0</v>
      </c>
      <c r="K247" s="830">
        <f>L247+M247</f>
        <v>0</v>
      </c>
      <c r="L247" s="828">
        <v>0</v>
      </c>
      <c r="M247" s="828">
        <v>0</v>
      </c>
      <c r="N247" s="830">
        <f>O247+R247+U247</f>
        <v>0</v>
      </c>
      <c r="O247" s="830">
        <f>P247+Q247</f>
        <v>0</v>
      </c>
      <c r="P247" s="828">
        <v>0</v>
      </c>
      <c r="Q247" s="828">
        <v>0</v>
      </c>
      <c r="R247" s="830">
        <f>S247+T247</f>
        <v>0</v>
      </c>
      <c r="S247" s="828">
        <v>0</v>
      </c>
      <c r="T247" s="828">
        <v>0</v>
      </c>
      <c r="U247" s="830">
        <f>V247+W247</f>
        <v>0</v>
      </c>
      <c r="V247" s="828">
        <v>0</v>
      </c>
      <c r="W247" s="828">
        <v>0</v>
      </c>
    </row>
    <row r="248" spans="1:23" s="426" customFormat="1" ht="15.75" customHeight="1">
      <c r="A248" s="831"/>
      <c r="B248" s="840"/>
      <c r="C248" s="834"/>
      <c r="D248" s="860"/>
      <c r="E248" s="831"/>
      <c r="F248" s="837"/>
      <c r="G248" s="840"/>
      <c r="H248" s="425">
        <v>0</v>
      </c>
      <c r="I248" s="425">
        <v>0</v>
      </c>
      <c r="J248" s="830"/>
      <c r="K248" s="830"/>
      <c r="L248" s="828"/>
      <c r="M248" s="828"/>
      <c r="N248" s="830"/>
      <c r="O248" s="830"/>
      <c r="P248" s="828"/>
      <c r="Q248" s="828"/>
      <c r="R248" s="830"/>
      <c r="S248" s="828"/>
      <c r="T248" s="828"/>
      <c r="U248" s="830"/>
      <c r="V248" s="828"/>
      <c r="W248" s="828"/>
    </row>
    <row r="249" spans="1:23" s="426" customFormat="1" ht="15.75" customHeight="1">
      <c r="A249" s="831"/>
      <c r="B249" s="840"/>
      <c r="C249" s="834"/>
      <c r="D249" s="860"/>
      <c r="E249" s="831"/>
      <c r="F249" s="837"/>
      <c r="G249" s="840"/>
      <c r="H249" s="425">
        <v>0</v>
      </c>
      <c r="I249" s="425">
        <v>0</v>
      </c>
      <c r="J249" s="427">
        <f>K249+N249</f>
        <v>1515000</v>
      </c>
      <c r="K249" s="427">
        <f>L249+M249</f>
        <v>0</v>
      </c>
      <c r="L249" s="428">
        <v>0</v>
      </c>
      <c r="M249" s="428">
        <v>0</v>
      </c>
      <c r="N249" s="427">
        <f>O249+R249+U249</f>
        <v>1515000</v>
      </c>
      <c r="O249" s="427">
        <f>P249+Q249</f>
        <v>0</v>
      </c>
      <c r="P249" s="428">
        <v>0</v>
      </c>
      <c r="Q249" s="428">
        <v>0</v>
      </c>
      <c r="R249" s="427">
        <f>S249+T249</f>
        <v>1515000</v>
      </c>
      <c r="S249" s="428">
        <v>1515000</v>
      </c>
      <c r="T249" s="428">
        <v>0</v>
      </c>
      <c r="U249" s="427">
        <f>V249+W249</f>
        <v>0</v>
      </c>
      <c r="V249" s="428">
        <v>0</v>
      </c>
      <c r="W249" s="428">
        <v>0</v>
      </c>
    </row>
    <row r="250" spans="1:23" s="426" customFormat="1" ht="15.75" customHeight="1">
      <c r="A250" s="831"/>
      <c r="B250" s="840"/>
      <c r="C250" s="834"/>
      <c r="D250" s="860"/>
      <c r="E250" s="831"/>
      <c r="F250" s="837"/>
      <c r="G250" s="840"/>
      <c r="H250" s="425">
        <v>1515000</v>
      </c>
      <c r="I250" s="425">
        <v>0</v>
      </c>
      <c r="J250" s="830">
        <f aca="true" t="shared" si="46" ref="J250:W250">J247+J249</f>
        <v>1515000</v>
      </c>
      <c r="K250" s="830">
        <f t="shared" si="46"/>
        <v>0</v>
      </c>
      <c r="L250" s="828">
        <f t="shared" si="46"/>
        <v>0</v>
      </c>
      <c r="M250" s="828">
        <f t="shared" si="46"/>
        <v>0</v>
      </c>
      <c r="N250" s="830">
        <f t="shared" si="46"/>
        <v>1515000</v>
      </c>
      <c r="O250" s="830">
        <f t="shared" si="46"/>
        <v>0</v>
      </c>
      <c r="P250" s="828">
        <f t="shared" si="46"/>
        <v>0</v>
      </c>
      <c r="Q250" s="828">
        <f t="shared" si="46"/>
        <v>0</v>
      </c>
      <c r="R250" s="830">
        <f t="shared" si="46"/>
        <v>1515000</v>
      </c>
      <c r="S250" s="828">
        <f t="shared" si="46"/>
        <v>1515000</v>
      </c>
      <c r="T250" s="828">
        <f t="shared" si="46"/>
        <v>0</v>
      </c>
      <c r="U250" s="830">
        <f t="shared" si="46"/>
        <v>0</v>
      </c>
      <c r="V250" s="828">
        <f t="shared" si="46"/>
        <v>0</v>
      </c>
      <c r="W250" s="828">
        <f t="shared" si="46"/>
        <v>0</v>
      </c>
    </row>
    <row r="251" spans="1:23" s="426" customFormat="1" ht="15.75" customHeight="1">
      <c r="A251" s="831"/>
      <c r="B251" s="841"/>
      <c r="C251" s="834"/>
      <c r="D251" s="861"/>
      <c r="E251" s="831"/>
      <c r="F251" s="838"/>
      <c r="G251" s="841"/>
      <c r="H251" s="425">
        <v>0</v>
      </c>
      <c r="I251" s="425">
        <v>0</v>
      </c>
      <c r="J251" s="830"/>
      <c r="K251" s="830"/>
      <c r="L251" s="828"/>
      <c r="M251" s="828"/>
      <c r="N251" s="830"/>
      <c r="O251" s="830"/>
      <c r="P251" s="828"/>
      <c r="Q251" s="828"/>
      <c r="R251" s="830"/>
      <c r="S251" s="828"/>
      <c r="T251" s="828"/>
      <c r="U251" s="830"/>
      <c r="V251" s="828"/>
      <c r="W251" s="828"/>
    </row>
    <row r="252" spans="1:23" s="426" customFormat="1" ht="15" customHeight="1">
      <c r="A252" s="831">
        <v>17</v>
      </c>
      <c r="B252" s="839" t="s">
        <v>709</v>
      </c>
      <c r="C252" s="834" t="s">
        <v>705</v>
      </c>
      <c r="D252" s="859" t="s">
        <v>710</v>
      </c>
      <c r="E252" s="831" t="s">
        <v>617</v>
      </c>
      <c r="F252" s="836" t="s">
        <v>711</v>
      </c>
      <c r="G252" s="839">
        <v>2020</v>
      </c>
      <c r="H252" s="425">
        <f>H253+H254+H255+H256</f>
        <v>39117647</v>
      </c>
      <c r="I252" s="425">
        <f>I253+I254+I255+I256</f>
        <v>0</v>
      </c>
      <c r="J252" s="830">
        <f>K252+N252</f>
        <v>0</v>
      </c>
      <c r="K252" s="830">
        <f>L252+M252</f>
        <v>0</v>
      </c>
      <c r="L252" s="828">
        <v>0</v>
      </c>
      <c r="M252" s="828">
        <v>0</v>
      </c>
      <c r="N252" s="830">
        <f>O252+R252+U252</f>
        <v>0</v>
      </c>
      <c r="O252" s="830">
        <f>P252+Q252</f>
        <v>0</v>
      </c>
      <c r="P252" s="828">
        <v>0</v>
      </c>
      <c r="Q252" s="828">
        <v>0</v>
      </c>
      <c r="R252" s="830">
        <f>S252+T252</f>
        <v>0</v>
      </c>
      <c r="S252" s="828">
        <v>0</v>
      </c>
      <c r="T252" s="828">
        <v>0</v>
      </c>
      <c r="U252" s="830">
        <f>V252+W252</f>
        <v>0</v>
      </c>
      <c r="V252" s="828">
        <v>0</v>
      </c>
      <c r="W252" s="828">
        <v>0</v>
      </c>
    </row>
    <row r="253" spans="1:23" s="426" customFormat="1" ht="15" customHeight="1">
      <c r="A253" s="831"/>
      <c r="B253" s="840"/>
      <c r="C253" s="834"/>
      <c r="D253" s="860"/>
      <c r="E253" s="831"/>
      <c r="F253" s="837"/>
      <c r="G253" s="840"/>
      <c r="H253" s="425">
        <v>35000000</v>
      </c>
      <c r="I253" s="425">
        <v>0</v>
      </c>
      <c r="J253" s="830"/>
      <c r="K253" s="830"/>
      <c r="L253" s="828"/>
      <c r="M253" s="828"/>
      <c r="N253" s="830"/>
      <c r="O253" s="830"/>
      <c r="P253" s="828"/>
      <c r="Q253" s="828"/>
      <c r="R253" s="830"/>
      <c r="S253" s="828"/>
      <c r="T253" s="828"/>
      <c r="U253" s="830"/>
      <c r="V253" s="828"/>
      <c r="W253" s="828"/>
    </row>
    <row r="254" spans="1:23" s="426" customFormat="1" ht="15" customHeight="1">
      <c r="A254" s="831"/>
      <c r="B254" s="840"/>
      <c r="C254" s="834"/>
      <c r="D254" s="860"/>
      <c r="E254" s="831"/>
      <c r="F254" s="837"/>
      <c r="G254" s="840"/>
      <c r="H254" s="425">
        <v>4117647</v>
      </c>
      <c r="I254" s="425">
        <v>0</v>
      </c>
      <c r="J254" s="427">
        <f>K254+N254</f>
        <v>39117647</v>
      </c>
      <c r="K254" s="427">
        <f>L254+M254</f>
        <v>35000000</v>
      </c>
      <c r="L254" s="428">
        <v>35000000</v>
      </c>
      <c r="M254" s="428">
        <v>0</v>
      </c>
      <c r="N254" s="427">
        <f>O254+R254+U254</f>
        <v>4117647</v>
      </c>
      <c r="O254" s="427">
        <f>P254+Q254</f>
        <v>4117647</v>
      </c>
      <c r="P254" s="428">
        <v>4117647</v>
      </c>
      <c r="Q254" s="428">
        <v>0</v>
      </c>
      <c r="R254" s="427">
        <f>S254+T254</f>
        <v>0</v>
      </c>
      <c r="S254" s="428">
        <v>0</v>
      </c>
      <c r="T254" s="428">
        <v>0</v>
      </c>
      <c r="U254" s="427">
        <f>V254+W254</f>
        <v>0</v>
      </c>
      <c r="V254" s="428">
        <v>0</v>
      </c>
      <c r="W254" s="428">
        <v>0</v>
      </c>
    </row>
    <row r="255" spans="1:23" s="426" customFormat="1" ht="15" customHeight="1">
      <c r="A255" s="831"/>
      <c r="B255" s="840"/>
      <c r="C255" s="834"/>
      <c r="D255" s="860"/>
      <c r="E255" s="831"/>
      <c r="F255" s="837"/>
      <c r="G255" s="840"/>
      <c r="H255" s="425">
        <v>0</v>
      </c>
      <c r="I255" s="425">
        <v>0</v>
      </c>
      <c r="J255" s="830">
        <f aca="true" t="shared" si="47" ref="J255:W255">J252+J254</f>
        <v>39117647</v>
      </c>
      <c r="K255" s="830">
        <f t="shared" si="47"/>
        <v>35000000</v>
      </c>
      <c r="L255" s="828">
        <f t="shared" si="47"/>
        <v>35000000</v>
      </c>
      <c r="M255" s="828">
        <f t="shared" si="47"/>
        <v>0</v>
      </c>
      <c r="N255" s="830">
        <f t="shared" si="47"/>
        <v>4117647</v>
      </c>
      <c r="O255" s="830">
        <f t="shared" si="47"/>
        <v>4117647</v>
      </c>
      <c r="P255" s="828">
        <f t="shared" si="47"/>
        <v>4117647</v>
      </c>
      <c r="Q255" s="828">
        <f t="shared" si="47"/>
        <v>0</v>
      </c>
      <c r="R255" s="830">
        <f t="shared" si="47"/>
        <v>0</v>
      </c>
      <c r="S255" s="828">
        <f t="shared" si="47"/>
        <v>0</v>
      </c>
      <c r="T255" s="828">
        <f t="shared" si="47"/>
        <v>0</v>
      </c>
      <c r="U255" s="830">
        <f t="shared" si="47"/>
        <v>0</v>
      </c>
      <c r="V255" s="828">
        <f t="shared" si="47"/>
        <v>0</v>
      </c>
      <c r="W255" s="828">
        <f t="shared" si="47"/>
        <v>0</v>
      </c>
    </row>
    <row r="256" spans="1:23" s="426" customFormat="1" ht="15" customHeight="1">
      <c r="A256" s="831"/>
      <c r="B256" s="841"/>
      <c r="C256" s="834"/>
      <c r="D256" s="861"/>
      <c r="E256" s="831"/>
      <c r="F256" s="838"/>
      <c r="G256" s="841"/>
      <c r="H256" s="425">
        <v>0</v>
      </c>
      <c r="I256" s="425">
        <v>0</v>
      </c>
      <c r="J256" s="830"/>
      <c r="K256" s="830"/>
      <c r="L256" s="828"/>
      <c r="M256" s="828"/>
      <c r="N256" s="830"/>
      <c r="O256" s="830"/>
      <c r="P256" s="828"/>
      <c r="Q256" s="828"/>
      <c r="R256" s="830"/>
      <c r="S256" s="828"/>
      <c r="T256" s="828"/>
      <c r="U256" s="830"/>
      <c r="V256" s="828"/>
      <c r="W256" s="828"/>
    </row>
    <row r="257" spans="1:23" s="426" customFormat="1" ht="17.25" customHeight="1">
      <c r="A257" s="831">
        <v>18</v>
      </c>
      <c r="B257" s="839" t="s">
        <v>709</v>
      </c>
      <c r="C257" s="834" t="s">
        <v>705</v>
      </c>
      <c r="D257" s="859" t="s">
        <v>712</v>
      </c>
      <c r="E257" s="831" t="s">
        <v>617</v>
      </c>
      <c r="F257" s="836" t="s">
        <v>702</v>
      </c>
      <c r="G257" s="839" t="s">
        <v>603</v>
      </c>
      <c r="H257" s="425">
        <f>H258+H259+H260+H261</f>
        <v>11609693</v>
      </c>
      <c r="I257" s="425">
        <f>I258+I259+I260+I261</f>
        <v>7904539</v>
      </c>
      <c r="J257" s="830">
        <f>K257+N257</f>
        <v>3000936</v>
      </c>
      <c r="K257" s="830">
        <f>L257+M257</f>
        <v>2772604</v>
      </c>
      <c r="L257" s="828">
        <v>2772604</v>
      </c>
      <c r="M257" s="828">
        <v>0</v>
      </c>
      <c r="N257" s="830">
        <f>O257+R257+U257</f>
        <v>228332</v>
      </c>
      <c r="O257" s="830">
        <f>P257+Q257</f>
        <v>228332</v>
      </c>
      <c r="P257" s="828">
        <v>228332</v>
      </c>
      <c r="Q257" s="828">
        <v>0</v>
      </c>
      <c r="R257" s="830">
        <f>S257+T257</f>
        <v>0</v>
      </c>
      <c r="S257" s="828">
        <v>0</v>
      </c>
      <c r="T257" s="828">
        <v>0</v>
      </c>
      <c r="U257" s="830">
        <f>V257+W257</f>
        <v>0</v>
      </c>
      <c r="V257" s="828">
        <v>0</v>
      </c>
      <c r="W257" s="828">
        <v>0</v>
      </c>
    </row>
    <row r="258" spans="1:23" s="426" customFormat="1" ht="17.25" customHeight="1">
      <c r="A258" s="831"/>
      <c r="B258" s="840"/>
      <c r="C258" s="834"/>
      <c r="D258" s="860"/>
      <c r="E258" s="831"/>
      <c r="F258" s="837"/>
      <c r="G258" s="840"/>
      <c r="H258" s="425">
        <v>10726347</v>
      </c>
      <c r="I258" s="425">
        <v>7303107</v>
      </c>
      <c r="J258" s="830"/>
      <c r="K258" s="830"/>
      <c r="L258" s="828"/>
      <c r="M258" s="828"/>
      <c r="N258" s="830"/>
      <c r="O258" s="830"/>
      <c r="P258" s="828"/>
      <c r="Q258" s="828"/>
      <c r="R258" s="830"/>
      <c r="S258" s="828"/>
      <c r="T258" s="828"/>
      <c r="U258" s="830"/>
      <c r="V258" s="828"/>
      <c r="W258" s="828"/>
    </row>
    <row r="259" spans="1:23" s="426" customFormat="1" ht="17.25" customHeight="1">
      <c r="A259" s="831"/>
      <c r="B259" s="840"/>
      <c r="C259" s="834"/>
      <c r="D259" s="860"/>
      <c r="E259" s="831"/>
      <c r="F259" s="837"/>
      <c r="G259" s="840"/>
      <c r="H259" s="425">
        <v>883346</v>
      </c>
      <c r="I259" s="425">
        <v>601432</v>
      </c>
      <c r="J259" s="427">
        <f>K259+N259</f>
        <v>704218</v>
      </c>
      <c r="K259" s="427">
        <f>L259+M259</f>
        <v>650636</v>
      </c>
      <c r="L259" s="428">
        <v>650636</v>
      </c>
      <c r="M259" s="428">
        <v>0</v>
      </c>
      <c r="N259" s="427">
        <f>O259+R259+U259</f>
        <v>53582</v>
      </c>
      <c r="O259" s="427">
        <f>P259+Q259</f>
        <v>53582</v>
      </c>
      <c r="P259" s="428">
        <v>53582</v>
      </c>
      <c r="Q259" s="428">
        <v>0</v>
      </c>
      <c r="R259" s="427">
        <f>S259+T259</f>
        <v>0</v>
      </c>
      <c r="S259" s="428">
        <v>0</v>
      </c>
      <c r="T259" s="428">
        <v>0</v>
      </c>
      <c r="U259" s="427">
        <f>V259+W259</f>
        <v>0</v>
      </c>
      <c r="V259" s="428">
        <v>0</v>
      </c>
      <c r="W259" s="428">
        <v>0</v>
      </c>
    </row>
    <row r="260" spans="1:23" s="426" customFormat="1" ht="17.25" customHeight="1">
      <c r="A260" s="831"/>
      <c r="B260" s="840"/>
      <c r="C260" s="834"/>
      <c r="D260" s="860"/>
      <c r="E260" s="831"/>
      <c r="F260" s="837"/>
      <c r="G260" s="840"/>
      <c r="H260" s="425">
        <v>0</v>
      </c>
      <c r="I260" s="425">
        <v>0</v>
      </c>
      <c r="J260" s="830">
        <f aca="true" t="shared" si="48" ref="J260:W260">J257+J259</f>
        <v>3705154</v>
      </c>
      <c r="K260" s="830">
        <f t="shared" si="48"/>
        <v>3423240</v>
      </c>
      <c r="L260" s="828">
        <f t="shared" si="48"/>
        <v>3423240</v>
      </c>
      <c r="M260" s="828">
        <f t="shared" si="48"/>
        <v>0</v>
      </c>
      <c r="N260" s="830">
        <f t="shared" si="48"/>
        <v>281914</v>
      </c>
      <c r="O260" s="830">
        <f t="shared" si="48"/>
        <v>281914</v>
      </c>
      <c r="P260" s="828">
        <f t="shared" si="48"/>
        <v>281914</v>
      </c>
      <c r="Q260" s="828">
        <f t="shared" si="48"/>
        <v>0</v>
      </c>
      <c r="R260" s="830">
        <f t="shared" si="48"/>
        <v>0</v>
      </c>
      <c r="S260" s="828">
        <f t="shared" si="48"/>
        <v>0</v>
      </c>
      <c r="T260" s="828">
        <f t="shared" si="48"/>
        <v>0</v>
      </c>
      <c r="U260" s="830">
        <f t="shared" si="48"/>
        <v>0</v>
      </c>
      <c r="V260" s="828">
        <f t="shared" si="48"/>
        <v>0</v>
      </c>
      <c r="W260" s="828">
        <f t="shared" si="48"/>
        <v>0</v>
      </c>
    </row>
    <row r="261" spans="1:23" s="426" customFormat="1" ht="17.25" customHeight="1">
      <c r="A261" s="831"/>
      <c r="B261" s="841"/>
      <c r="C261" s="834"/>
      <c r="D261" s="861"/>
      <c r="E261" s="831"/>
      <c r="F261" s="838"/>
      <c r="G261" s="841"/>
      <c r="H261" s="425">
        <v>0</v>
      </c>
      <c r="I261" s="425">
        <v>0</v>
      </c>
      <c r="J261" s="830"/>
      <c r="K261" s="830"/>
      <c r="L261" s="828"/>
      <c r="M261" s="828"/>
      <c r="N261" s="830"/>
      <c r="O261" s="830"/>
      <c r="P261" s="828"/>
      <c r="Q261" s="828"/>
      <c r="R261" s="830"/>
      <c r="S261" s="828"/>
      <c r="T261" s="828"/>
      <c r="U261" s="830"/>
      <c r="V261" s="828"/>
      <c r="W261" s="828"/>
    </row>
    <row r="262" spans="1:23" s="426" customFormat="1" ht="16.5" customHeight="1">
      <c r="A262" s="831">
        <v>19</v>
      </c>
      <c r="B262" s="839" t="s">
        <v>709</v>
      </c>
      <c r="C262" s="834" t="s">
        <v>705</v>
      </c>
      <c r="D262" s="859" t="s">
        <v>713</v>
      </c>
      <c r="E262" s="831" t="s">
        <v>617</v>
      </c>
      <c r="F262" s="836" t="s">
        <v>702</v>
      </c>
      <c r="G262" s="839" t="s">
        <v>603</v>
      </c>
      <c r="H262" s="425">
        <f>H263+H264+H265+H266</f>
        <v>2098243</v>
      </c>
      <c r="I262" s="425">
        <f>I263+I264+I265+I266</f>
        <v>1246690</v>
      </c>
      <c r="J262" s="830">
        <f>K262+N262</f>
        <v>30513</v>
      </c>
      <c r="K262" s="830">
        <f>L262+M262</f>
        <v>28239</v>
      </c>
      <c r="L262" s="828">
        <v>28239</v>
      </c>
      <c r="M262" s="828">
        <v>0</v>
      </c>
      <c r="N262" s="830">
        <f>O262+R262+U262</f>
        <v>2274</v>
      </c>
      <c r="O262" s="830">
        <f>P262+Q262</f>
        <v>2274</v>
      </c>
      <c r="P262" s="828">
        <v>2274</v>
      </c>
      <c r="Q262" s="828">
        <v>0</v>
      </c>
      <c r="R262" s="830">
        <f>S262+T262</f>
        <v>0</v>
      </c>
      <c r="S262" s="828">
        <v>0</v>
      </c>
      <c r="T262" s="828">
        <v>0</v>
      </c>
      <c r="U262" s="830">
        <f>V262+W262</f>
        <v>0</v>
      </c>
      <c r="V262" s="828">
        <v>0</v>
      </c>
      <c r="W262" s="828">
        <v>0</v>
      </c>
    </row>
    <row r="263" spans="1:23" s="426" customFormat="1" ht="16.5" customHeight="1">
      <c r="A263" s="831"/>
      <c r="B263" s="840"/>
      <c r="C263" s="834"/>
      <c r="D263" s="860"/>
      <c r="E263" s="831"/>
      <c r="F263" s="837"/>
      <c r="G263" s="840"/>
      <c r="H263" s="425">
        <v>1938642</v>
      </c>
      <c r="I263" s="425">
        <v>1153773</v>
      </c>
      <c r="J263" s="830"/>
      <c r="K263" s="830"/>
      <c r="L263" s="828"/>
      <c r="M263" s="828"/>
      <c r="N263" s="830"/>
      <c r="O263" s="830"/>
      <c r="P263" s="828"/>
      <c r="Q263" s="828"/>
      <c r="R263" s="830"/>
      <c r="S263" s="828"/>
      <c r="T263" s="828"/>
      <c r="U263" s="830"/>
      <c r="V263" s="828"/>
      <c r="W263" s="828"/>
    </row>
    <row r="264" spans="1:23" s="426" customFormat="1" ht="16.5" customHeight="1">
      <c r="A264" s="831"/>
      <c r="B264" s="840"/>
      <c r="C264" s="834"/>
      <c r="D264" s="860"/>
      <c r="E264" s="831"/>
      <c r="F264" s="837"/>
      <c r="G264" s="840"/>
      <c r="H264" s="425">
        <v>159601</v>
      </c>
      <c r="I264" s="425">
        <v>92917</v>
      </c>
      <c r="J264" s="427">
        <f>K264+N264</f>
        <v>821040</v>
      </c>
      <c r="K264" s="427">
        <f>L264+M264</f>
        <v>756630</v>
      </c>
      <c r="L264" s="428">
        <v>756630</v>
      </c>
      <c r="M264" s="428">
        <v>0</v>
      </c>
      <c r="N264" s="427">
        <f>O264+R264+U264</f>
        <v>64410</v>
      </c>
      <c r="O264" s="427">
        <f>P264+Q264</f>
        <v>64410</v>
      </c>
      <c r="P264" s="428">
        <v>64410</v>
      </c>
      <c r="Q264" s="428">
        <v>0</v>
      </c>
      <c r="R264" s="427">
        <f>S264+T264</f>
        <v>0</v>
      </c>
      <c r="S264" s="428">
        <v>0</v>
      </c>
      <c r="T264" s="428">
        <v>0</v>
      </c>
      <c r="U264" s="427">
        <f>V264+W264</f>
        <v>0</v>
      </c>
      <c r="V264" s="428">
        <v>0</v>
      </c>
      <c r="W264" s="428">
        <v>0</v>
      </c>
    </row>
    <row r="265" spans="1:23" s="426" customFormat="1" ht="16.5" customHeight="1">
      <c r="A265" s="831"/>
      <c r="B265" s="840"/>
      <c r="C265" s="834"/>
      <c r="D265" s="860"/>
      <c r="E265" s="831"/>
      <c r="F265" s="837"/>
      <c r="G265" s="840"/>
      <c r="H265" s="425">
        <v>0</v>
      </c>
      <c r="I265" s="425">
        <v>0</v>
      </c>
      <c r="J265" s="830">
        <f aca="true" t="shared" si="49" ref="J265:W265">J262+J264</f>
        <v>851553</v>
      </c>
      <c r="K265" s="830">
        <f t="shared" si="49"/>
        <v>784869</v>
      </c>
      <c r="L265" s="828">
        <f t="shared" si="49"/>
        <v>784869</v>
      </c>
      <c r="M265" s="828">
        <f t="shared" si="49"/>
        <v>0</v>
      </c>
      <c r="N265" s="830">
        <f t="shared" si="49"/>
        <v>66684</v>
      </c>
      <c r="O265" s="830">
        <f t="shared" si="49"/>
        <v>66684</v>
      </c>
      <c r="P265" s="828">
        <f t="shared" si="49"/>
        <v>66684</v>
      </c>
      <c r="Q265" s="828">
        <f t="shared" si="49"/>
        <v>0</v>
      </c>
      <c r="R265" s="830">
        <f t="shared" si="49"/>
        <v>0</v>
      </c>
      <c r="S265" s="828">
        <f t="shared" si="49"/>
        <v>0</v>
      </c>
      <c r="T265" s="828">
        <f t="shared" si="49"/>
        <v>0</v>
      </c>
      <c r="U265" s="830">
        <f t="shared" si="49"/>
        <v>0</v>
      </c>
      <c r="V265" s="828">
        <f t="shared" si="49"/>
        <v>0</v>
      </c>
      <c r="W265" s="828">
        <f t="shared" si="49"/>
        <v>0</v>
      </c>
    </row>
    <row r="266" spans="1:23" s="426" customFormat="1" ht="16.5" customHeight="1">
      <c r="A266" s="831"/>
      <c r="B266" s="841"/>
      <c r="C266" s="834"/>
      <c r="D266" s="861"/>
      <c r="E266" s="831"/>
      <c r="F266" s="838"/>
      <c r="G266" s="841"/>
      <c r="H266" s="425">
        <v>0</v>
      </c>
      <c r="I266" s="425">
        <v>0</v>
      </c>
      <c r="J266" s="830"/>
      <c r="K266" s="830"/>
      <c r="L266" s="828"/>
      <c r="M266" s="828"/>
      <c r="N266" s="830"/>
      <c r="O266" s="830"/>
      <c r="P266" s="828"/>
      <c r="Q266" s="828"/>
      <c r="R266" s="830"/>
      <c r="S266" s="828"/>
      <c r="T266" s="828"/>
      <c r="U266" s="830"/>
      <c r="V266" s="828"/>
      <c r="W266" s="828"/>
    </row>
    <row r="267" spans="1:23" s="426" customFormat="1" ht="16.5" customHeight="1">
      <c r="A267" s="831">
        <v>20</v>
      </c>
      <c r="B267" s="839" t="s">
        <v>714</v>
      </c>
      <c r="C267" s="834" t="s">
        <v>715</v>
      </c>
      <c r="D267" s="859" t="s">
        <v>716</v>
      </c>
      <c r="E267" s="831" t="s">
        <v>617</v>
      </c>
      <c r="F267" s="836" t="s">
        <v>702</v>
      </c>
      <c r="G267" s="839" t="s">
        <v>717</v>
      </c>
      <c r="H267" s="425">
        <f>H268+H269+H270+H271</f>
        <v>3240000</v>
      </c>
      <c r="I267" s="425">
        <f>I268+I269+I270+I271</f>
        <v>592087</v>
      </c>
      <c r="J267" s="830">
        <f>K267+N267</f>
        <v>653000</v>
      </c>
      <c r="K267" s="830">
        <f>L267+M267</f>
        <v>555050</v>
      </c>
      <c r="L267" s="828">
        <v>555050</v>
      </c>
      <c r="M267" s="828">
        <v>0</v>
      </c>
      <c r="N267" s="830">
        <f>O267+R267+U267</f>
        <v>97950</v>
      </c>
      <c r="O267" s="830">
        <f>P267+Q267</f>
        <v>0</v>
      </c>
      <c r="P267" s="828">
        <v>0</v>
      </c>
      <c r="Q267" s="828">
        <v>0</v>
      </c>
      <c r="R267" s="830">
        <f>S267+T267</f>
        <v>97950</v>
      </c>
      <c r="S267" s="828">
        <v>97950</v>
      </c>
      <c r="T267" s="828">
        <v>0</v>
      </c>
      <c r="U267" s="830">
        <f>V267+W267</f>
        <v>0</v>
      </c>
      <c r="V267" s="828">
        <v>0</v>
      </c>
      <c r="W267" s="828">
        <v>0</v>
      </c>
    </row>
    <row r="268" spans="1:23" s="426" customFormat="1" ht="16.5" customHeight="1">
      <c r="A268" s="831"/>
      <c r="B268" s="840"/>
      <c r="C268" s="834"/>
      <c r="D268" s="860"/>
      <c r="E268" s="831"/>
      <c r="F268" s="837"/>
      <c r="G268" s="840"/>
      <c r="H268" s="425">
        <v>2754000</v>
      </c>
      <c r="I268" s="425">
        <v>503274</v>
      </c>
      <c r="J268" s="830"/>
      <c r="K268" s="830"/>
      <c r="L268" s="828"/>
      <c r="M268" s="828"/>
      <c r="N268" s="830"/>
      <c r="O268" s="830"/>
      <c r="P268" s="828"/>
      <c r="Q268" s="828"/>
      <c r="R268" s="830"/>
      <c r="S268" s="828"/>
      <c r="T268" s="828"/>
      <c r="U268" s="830"/>
      <c r="V268" s="828"/>
      <c r="W268" s="828"/>
    </row>
    <row r="269" spans="1:23" s="426" customFormat="1" ht="16.5" customHeight="1">
      <c r="A269" s="831"/>
      <c r="B269" s="840"/>
      <c r="C269" s="834"/>
      <c r="D269" s="860"/>
      <c r="E269" s="831"/>
      <c r="F269" s="837"/>
      <c r="G269" s="840"/>
      <c r="H269" s="425">
        <v>0</v>
      </c>
      <c r="I269" s="425">
        <v>0</v>
      </c>
      <c r="J269" s="427">
        <f>K269+N269</f>
        <v>127913</v>
      </c>
      <c r="K269" s="427">
        <f>L269+M269</f>
        <v>108726</v>
      </c>
      <c r="L269" s="428">
        <v>108726</v>
      </c>
      <c r="M269" s="428">
        <v>0</v>
      </c>
      <c r="N269" s="427">
        <f>O269+R269+U269</f>
        <v>19187</v>
      </c>
      <c r="O269" s="427">
        <f>P269+Q269</f>
        <v>0</v>
      </c>
      <c r="P269" s="428">
        <v>0</v>
      </c>
      <c r="Q269" s="428">
        <v>0</v>
      </c>
      <c r="R269" s="427">
        <f>S269+T269</f>
        <v>19187</v>
      </c>
      <c r="S269" s="428">
        <v>19187</v>
      </c>
      <c r="T269" s="428">
        <v>0</v>
      </c>
      <c r="U269" s="427">
        <f>V269+W269</f>
        <v>0</v>
      </c>
      <c r="V269" s="428">
        <v>0</v>
      </c>
      <c r="W269" s="428">
        <v>0</v>
      </c>
    </row>
    <row r="270" spans="1:23" s="426" customFormat="1" ht="16.5" customHeight="1">
      <c r="A270" s="831"/>
      <c r="B270" s="840"/>
      <c r="C270" s="834"/>
      <c r="D270" s="860"/>
      <c r="E270" s="831"/>
      <c r="F270" s="837"/>
      <c r="G270" s="840"/>
      <c r="H270" s="425">
        <v>486000</v>
      </c>
      <c r="I270" s="425">
        <v>88813</v>
      </c>
      <c r="J270" s="830">
        <f aca="true" t="shared" si="50" ref="J270:W270">J267+J269</f>
        <v>780913</v>
      </c>
      <c r="K270" s="830">
        <f t="shared" si="50"/>
        <v>663776</v>
      </c>
      <c r="L270" s="828">
        <f t="shared" si="50"/>
        <v>663776</v>
      </c>
      <c r="M270" s="828">
        <f t="shared" si="50"/>
        <v>0</v>
      </c>
      <c r="N270" s="830">
        <f t="shared" si="50"/>
        <v>117137</v>
      </c>
      <c r="O270" s="830">
        <f t="shared" si="50"/>
        <v>0</v>
      </c>
      <c r="P270" s="828">
        <f t="shared" si="50"/>
        <v>0</v>
      </c>
      <c r="Q270" s="828">
        <f t="shared" si="50"/>
        <v>0</v>
      </c>
      <c r="R270" s="830">
        <f t="shared" si="50"/>
        <v>117137</v>
      </c>
      <c r="S270" s="828">
        <f t="shared" si="50"/>
        <v>117137</v>
      </c>
      <c r="T270" s="828">
        <f t="shared" si="50"/>
        <v>0</v>
      </c>
      <c r="U270" s="830">
        <f t="shared" si="50"/>
        <v>0</v>
      </c>
      <c r="V270" s="828">
        <f t="shared" si="50"/>
        <v>0</v>
      </c>
      <c r="W270" s="828">
        <f t="shared" si="50"/>
        <v>0</v>
      </c>
    </row>
    <row r="271" spans="1:23" s="426" customFormat="1" ht="16.5" customHeight="1">
      <c r="A271" s="831"/>
      <c r="B271" s="841"/>
      <c r="C271" s="834"/>
      <c r="D271" s="861"/>
      <c r="E271" s="831"/>
      <c r="F271" s="838"/>
      <c r="G271" s="841"/>
      <c r="H271" s="425">
        <v>0</v>
      </c>
      <c r="I271" s="425">
        <v>0</v>
      </c>
      <c r="J271" s="830"/>
      <c r="K271" s="830"/>
      <c r="L271" s="828"/>
      <c r="M271" s="828"/>
      <c r="N271" s="830"/>
      <c r="O271" s="830"/>
      <c r="P271" s="828"/>
      <c r="Q271" s="828"/>
      <c r="R271" s="830"/>
      <c r="S271" s="828"/>
      <c r="T271" s="828"/>
      <c r="U271" s="830"/>
      <c r="V271" s="828"/>
      <c r="W271" s="828"/>
    </row>
    <row r="272" spans="1:23" s="426" customFormat="1" ht="15.75" customHeight="1" hidden="1">
      <c r="A272" s="831">
        <v>48</v>
      </c>
      <c r="B272" s="839" t="s">
        <v>718</v>
      </c>
      <c r="C272" s="834" t="s">
        <v>719</v>
      </c>
      <c r="D272" s="859" t="s">
        <v>720</v>
      </c>
      <c r="E272" s="831" t="s">
        <v>598</v>
      </c>
      <c r="F272" s="836" t="s">
        <v>721</v>
      </c>
      <c r="G272" s="839" t="s">
        <v>722</v>
      </c>
      <c r="H272" s="425">
        <f>H273+H274+H275+H276</f>
        <v>2441365</v>
      </c>
      <c r="I272" s="425">
        <f>I273+I274+I275+I276</f>
        <v>0</v>
      </c>
      <c r="J272" s="830">
        <f>K272+N272</f>
        <v>787480</v>
      </c>
      <c r="K272" s="830">
        <f>L272+M272</f>
        <v>669358</v>
      </c>
      <c r="L272" s="828">
        <v>669358</v>
      </c>
      <c r="M272" s="828">
        <v>0</v>
      </c>
      <c r="N272" s="830">
        <f>O272+R272+U272</f>
        <v>118122</v>
      </c>
      <c r="O272" s="830">
        <f>P272+Q272</f>
        <v>0</v>
      </c>
      <c r="P272" s="828">
        <v>0</v>
      </c>
      <c r="Q272" s="828">
        <v>0</v>
      </c>
      <c r="R272" s="830">
        <f>S272+T272</f>
        <v>118122</v>
      </c>
      <c r="S272" s="828">
        <v>118122</v>
      </c>
      <c r="T272" s="828">
        <v>0</v>
      </c>
      <c r="U272" s="830">
        <f>V272+W272</f>
        <v>0</v>
      </c>
      <c r="V272" s="828">
        <v>0</v>
      </c>
      <c r="W272" s="828">
        <v>0</v>
      </c>
    </row>
    <row r="273" spans="1:23" s="426" customFormat="1" ht="15.75" customHeight="1" hidden="1">
      <c r="A273" s="831"/>
      <c r="B273" s="840"/>
      <c r="C273" s="834"/>
      <c r="D273" s="860"/>
      <c r="E273" s="831"/>
      <c r="F273" s="837"/>
      <c r="G273" s="840"/>
      <c r="H273" s="425">
        <v>2075160</v>
      </c>
      <c r="I273" s="425">
        <v>0</v>
      </c>
      <c r="J273" s="830"/>
      <c r="K273" s="830"/>
      <c r="L273" s="828"/>
      <c r="M273" s="828"/>
      <c r="N273" s="830"/>
      <c r="O273" s="830"/>
      <c r="P273" s="828"/>
      <c r="Q273" s="828"/>
      <c r="R273" s="830"/>
      <c r="S273" s="828"/>
      <c r="T273" s="828"/>
      <c r="U273" s="830"/>
      <c r="V273" s="828"/>
      <c r="W273" s="828"/>
    </row>
    <row r="274" spans="1:23" s="426" customFormat="1" ht="15.75" customHeight="1" hidden="1">
      <c r="A274" s="831"/>
      <c r="B274" s="840"/>
      <c r="C274" s="834"/>
      <c r="D274" s="860"/>
      <c r="E274" s="831"/>
      <c r="F274" s="837"/>
      <c r="G274" s="840"/>
      <c r="H274" s="425">
        <v>0</v>
      </c>
      <c r="I274" s="425">
        <v>0</v>
      </c>
      <c r="J274" s="427">
        <f>K274+N274</f>
        <v>0</v>
      </c>
      <c r="K274" s="427">
        <f>L274+M274</f>
        <v>0</v>
      </c>
      <c r="L274" s="428">
        <v>0</v>
      </c>
      <c r="M274" s="428">
        <v>0</v>
      </c>
      <c r="N274" s="427">
        <f>O274+R274+U274</f>
        <v>0</v>
      </c>
      <c r="O274" s="427">
        <f>P274+Q274</f>
        <v>0</v>
      </c>
      <c r="P274" s="428">
        <v>0</v>
      </c>
      <c r="Q274" s="428">
        <v>0</v>
      </c>
      <c r="R274" s="427">
        <f>S274+T274</f>
        <v>0</v>
      </c>
      <c r="S274" s="428">
        <v>0</v>
      </c>
      <c r="T274" s="428">
        <v>0</v>
      </c>
      <c r="U274" s="427">
        <f>V274+W274</f>
        <v>0</v>
      </c>
      <c r="V274" s="428">
        <v>0</v>
      </c>
      <c r="W274" s="428">
        <v>0</v>
      </c>
    </row>
    <row r="275" spans="1:23" s="426" customFormat="1" ht="15.75" customHeight="1" hidden="1">
      <c r="A275" s="831"/>
      <c r="B275" s="840"/>
      <c r="C275" s="834"/>
      <c r="D275" s="860"/>
      <c r="E275" s="831"/>
      <c r="F275" s="837"/>
      <c r="G275" s="840"/>
      <c r="H275" s="425">
        <v>366205</v>
      </c>
      <c r="I275" s="425">
        <v>0</v>
      </c>
      <c r="J275" s="830">
        <f aca="true" t="shared" si="51" ref="J275:W275">J272+J274</f>
        <v>787480</v>
      </c>
      <c r="K275" s="830">
        <f t="shared" si="51"/>
        <v>669358</v>
      </c>
      <c r="L275" s="828">
        <f t="shared" si="51"/>
        <v>669358</v>
      </c>
      <c r="M275" s="828">
        <f t="shared" si="51"/>
        <v>0</v>
      </c>
      <c r="N275" s="830">
        <f t="shared" si="51"/>
        <v>118122</v>
      </c>
      <c r="O275" s="830">
        <f t="shared" si="51"/>
        <v>0</v>
      </c>
      <c r="P275" s="828">
        <f t="shared" si="51"/>
        <v>0</v>
      </c>
      <c r="Q275" s="828">
        <f t="shared" si="51"/>
        <v>0</v>
      </c>
      <c r="R275" s="830">
        <f t="shared" si="51"/>
        <v>118122</v>
      </c>
      <c r="S275" s="828">
        <f t="shared" si="51"/>
        <v>118122</v>
      </c>
      <c r="T275" s="828">
        <f t="shared" si="51"/>
        <v>0</v>
      </c>
      <c r="U275" s="830">
        <f t="shared" si="51"/>
        <v>0</v>
      </c>
      <c r="V275" s="828">
        <f t="shared" si="51"/>
        <v>0</v>
      </c>
      <c r="W275" s="828">
        <f t="shared" si="51"/>
        <v>0</v>
      </c>
    </row>
    <row r="276" spans="1:23" s="426" customFormat="1" ht="15.75" customHeight="1" hidden="1">
      <c r="A276" s="831"/>
      <c r="B276" s="841"/>
      <c r="C276" s="834"/>
      <c r="D276" s="861"/>
      <c r="E276" s="831"/>
      <c r="F276" s="838"/>
      <c r="G276" s="841"/>
      <c r="H276" s="425">
        <v>0</v>
      </c>
      <c r="I276" s="425">
        <v>0</v>
      </c>
      <c r="J276" s="830"/>
      <c r="K276" s="830"/>
      <c r="L276" s="828"/>
      <c r="M276" s="828"/>
      <c r="N276" s="830"/>
      <c r="O276" s="830"/>
      <c r="P276" s="828"/>
      <c r="Q276" s="828"/>
      <c r="R276" s="830"/>
      <c r="S276" s="828"/>
      <c r="T276" s="828"/>
      <c r="U276" s="830"/>
      <c r="V276" s="828"/>
      <c r="W276" s="828"/>
    </row>
    <row r="277" spans="1:23" s="426" customFormat="1" ht="16.5" customHeight="1">
      <c r="A277" s="831">
        <v>21</v>
      </c>
      <c r="B277" s="839" t="s">
        <v>723</v>
      </c>
      <c r="C277" s="834" t="s">
        <v>719</v>
      </c>
      <c r="D277" s="859" t="s">
        <v>724</v>
      </c>
      <c r="E277" s="831" t="s">
        <v>598</v>
      </c>
      <c r="F277" s="836" t="s">
        <v>725</v>
      </c>
      <c r="G277" s="839" t="s">
        <v>637</v>
      </c>
      <c r="H277" s="425">
        <f>H278+H279+H280+H281</f>
        <v>2764483</v>
      </c>
      <c r="I277" s="425">
        <f>I278+I279+I280+I281</f>
        <v>1158748</v>
      </c>
      <c r="J277" s="830">
        <f>K277+N277</f>
        <v>1332550</v>
      </c>
      <c r="K277" s="830">
        <f>L277+M277</f>
        <v>1192282</v>
      </c>
      <c r="L277" s="828">
        <v>1192282</v>
      </c>
      <c r="M277" s="828">
        <v>0</v>
      </c>
      <c r="N277" s="830">
        <f>O277+R277+U277</f>
        <v>140268</v>
      </c>
      <c r="O277" s="830">
        <f>P277+Q277</f>
        <v>140268</v>
      </c>
      <c r="P277" s="828">
        <v>140268</v>
      </c>
      <c r="Q277" s="828">
        <v>0</v>
      </c>
      <c r="R277" s="830">
        <f>S277+T277</f>
        <v>0</v>
      </c>
      <c r="S277" s="828">
        <v>0</v>
      </c>
      <c r="T277" s="828">
        <v>0</v>
      </c>
      <c r="U277" s="830">
        <f>V277+W277</f>
        <v>0</v>
      </c>
      <c r="V277" s="828">
        <v>0</v>
      </c>
      <c r="W277" s="828">
        <v>0</v>
      </c>
    </row>
    <row r="278" spans="1:23" s="426" customFormat="1" ht="16.5" customHeight="1">
      <c r="A278" s="831"/>
      <c r="B278" s="840"/>
      <c r="C278" s="834"/>
      <c r="D278" s="860"/>
      <c r="E278" s="831"/>
      <c r="F278" s="837"/>
      <c r="G278" s="840"/>
      <c r="H278" s="425">
        <v>2473485</v>
      </c>
      <c r="I278" s="425">
        <v>1036773</v>
      </c>
      <c r="J278" s="830"/>
      <c r="K278" s="830"/>
      <c r="L278" s="828"/>
      <c r="M278" s="828"/>
      <c r="N278" s="830"/>
      <c r="O278" s="830"/>
      <c r="P278" s="828"/>
      <c r="Q278" s="828"/>
      <c r="R278" s="830"/>
      <c r="S278" s="828"/>
      <c r="T278" s="828"/>
      <c r="U278" s="830"/>
      <c r="V278" s="828"/>
      <c r="W278" s="828"/>
    </row>
    <row r="279" spans="1:23" s="426" customFormat="1" ht="16.5" customHeight="1">
      <c r="A279" s="831"/>
      <c r="B279" s="840"/>
      <c r="C279" s="834"/>
      <c r="D279" s="860"/>
      <c r="E279" s="831"/>
      <c r="F279" s="837"/>
      <c r="G279" s="840"/>
      <c r="H279" s="425">
        <v>290998</v>
      </c>
      <c r="I279" s="425">
        <v>121975</v>
      </c>
      <c r="J279" s="427">
        <f>K279+N279</f>
        <v>-322550</v>
      </c>
      <c r="K279" s="427">
        <f>L279+M279</f>
        <v>-288598</v>
      </c>
      <c r="L279" s="428">
        <v>-288598</v>
      </c>
      <c r="M279" s="428">
        <v>0</v>
      </c>
      <c r="N279" s="427">
        <f>O279+R279+U279</f>
        <v>-33952</v>
      </c>
      <c r="O279" s="427">
        <f>P279+Q279</f>
        <v>-33952</v>
      </c>
      <c r="P279" s="428">
        <v>-33952</v>
      </c>
      <c r="Q279" s="428">
        <v>0</v>
      </c>
      <c r="R279" s="427">
        <f>S279+T279</f>
        <v>0</v>
      </c>
      <c r="S279" s="428">
        <v>0</v>
      </c>
      <c r="T279" s="428">
        <v>0</v>
      </c>
      <c r="U279" s="427">
        <f>V279+W279</f>
        <v>0</v>
      </c>
      <c r="V279" s="428">
        <v>0</v>
      </c>
      <c r="W279" s="428">
        <v>0</v>
      </c>
    </row>
    <row r="280" spans="1:23" s="426" customFormat="1" ht="16.5" customHeight="1">
      <c r="A280" s="831"/>
      <c r="B280" s="840"/>
      <c r="C280" s="834"/>
      <c r="D280" s="860"/>
      <c r="E280" s="831"/>
      <c r="F280" s="837"/>
      <c r="G280" s="840"/>
      <c r="H280" s="425">
        <v>0</v>
      </c>
      <c r="I280" s="425">
        <v>0</v>
      </c>
      <c r="J280" s="830">
        <f aca="true" t="shared" si="52" ref="J280:W280">J277+J279</f>
        <v>1010000</v>
      </c>
      <c r="K280" s="830">
        <f t="shared" si="52"/>
        <v>903684</v>
      </c>
      <c r="L280" s="828">
        <f t="shared" si="52"/>
        <v>903684</v>
      </c>
      <c r="M280" s="828">
        <f t="shared" si="52"/>
        <v>0</v>
      </c>
      <c r="N280" s="830">
        <f t="shared" si="52"/>
        <v>106316</v>
      </c>
      <c r="O280" s="830">
        <f t="shared" si="52"/>
        <v>106316</v>
      </c>
      <c r="P280" s="828">
        <f t="shared" si="52"/>
        <v>106316</v>
      </c>
      <c r="Q280" s="828">
        <f t="shared" si="52"/>
        <v>0</v>
      </c>
      <c r="R280" s="830">
        <f t="shared" si="52"/>
        <v>0</v>
      </c>
      <c r="S280" s="828">
        <f t="shared" si="52"/>
        <v>0</v>
      </c>
      <c r="T280" s="828">
        <f t="shared" si="52"/>
        <v>0</v>
      </c>
      <c r="U280" s="830">
        <f t="shared" si="52"/>
        <v>0</v>
      </c>
      <c r="V280" s="828">
        <f t="shared" si="52"/>
        <v>0</v>
      </c>
      <c r="W280" s="828">
        <f t="shared" si="52"/>
        <v>0</v>
      </c>
    </row>
    <row r="281" spans="1:23" s="426" customFormat="1" ht="16.5" customHeight="1">
      <c r="A281" s="831"/>
      <c r="B281" s="841"/>
      <c r="C281" s="834"/>
      <c r="D281" s="861"/>
      <c r="E281" s="831"/>
      <c r="F281" s="838"/>
      <c r="G281" s="841"/>
      <c r="H281" s="425">
        <v>0</v>
      </c>
      <c r="I281" s="425">
        <v>0</v>
      </c>
      <c r="J281" s="830"/>
      <c r="K281" s="830"/>
      <c r="L281" s="828"/>
      <c r="M281" s="828"/>
      <c r="N281" s="830"/>
      <c r="O281" s="830"/>
      <c r="P281" s="828"/>
      <c r="Q281" s="828"/>
      <c r="R281" s="830"/>
      <c r="S281" s="828"/>
      <c r="T281" s="828"/>
      <c r="U281" s="830"/>
      <c r="V281" s="828"/>
      <c r="W281" s="828"/>
    </row>
    <row r="282" spans="1:23" s="426" customFormat="1" ht="15.75" customHeight="1" hidden="1">
      <c r="A282" s="831">
        <v>4</v>
      </c>
      <c r="B282" s="839" t="s">
        <v>723</v>
      </c>
      <c r="C282" s="834" t="s">
        <v>719</v>
      </c>
      <c r="D282" s="859" t="s">
        <v>726</v>
      </c>
      <c r="E282" s="831" t="s">
        <v>598</v>
      </c>
      <c r="F282" s="836" t="s">
        <v>725</v>
      </c>
      <c r="G282" s="839" t="s">
        <v>717</v>
      </c>
      <c r="H282" s="425">
        <f>H283+H284+H285+H286</f>
        <v>3517126</v>
      </c>
      <c r="I282" s="425">
        <f>I283+I284+I285+I286</f>
        <v>952191</v>
      </c>
      <c r="J282" s="830">
        <f>K282+N282</f>
        <v>1582391</v>
      </c>
      <c r="K282" s="830">
        <f>L282+M282</f>
        <v>1582391</v>
      </c>
      <c r="L282" s="828">
        <v>1582391</v>
      </c>
      <c r="M282" s="828">
        <v>0</v>
      </c>
      <c r="N282" s="830">
        <f>O282+R282+U282</f>
        <v>0</v>
      </c>
      <c r="O282" s="830">
        <f>P282+Q282</f>
        <v>0</v>
      </c>
      <c r="P282" s="828">
        <v>0</v>
      </c>
      <c r="Q282" s="828">
        <v>0</v>
      </c>
      <c r="R282" s="830">
        <f>S282+T282</f>
        <v>0</v>
      </c>
      <c r="S282" s="828">
        <v>0</v>
      </c>
      <c r="T282" s="828">
        <v>0</v>
      </c>
      <c r="U282" s="830">
        <f>V282+W282</f>
        <v>0</v>
      </c>
      <c r="V282" s="828">
        <v>0</v>
      </c>
      <c r="W282" s="828">
        <v>0</v>
      </c>
    </row>
    <row r="283" spans="1:23" s="426" customFormat="1" ht="15.75" customHeight="1" hidden="1">
      <c r="A283" s="831"/>
      <c r="B283" s="840"/>
      <c r="C283" s="834"/>
      <c r="D283" s="860"/>
      <c r="E283" s="831"/>
      <c r="F283" s="837"/>
      <c r="G283" s="840"/>
      <c r="H283" s="425">
        <v>3517126</v>
      </c>
      <c r="I283" s="425">
        <v>952191</v>
      </c>
      <c r="J283" s="830"/>
      <c r="K283" s="830"/>
      <c r="L283" s="828"/>
      <c r="M283" s="828"/>
      <c r="N283" s="830"/>
      <c r="O283" s="830"/>
      <c r="P283" s="828"/>
      <c r="Q283" s="828"/>
      <c r="R283" s="830"/>
      <c r="S283" s="828"/>
      <c r="T283" s="828"/>
      <c r="U283" s="830"/>
      <c r="V283" s="828"/>
      <c r="W283" s="828"/>
    </row>
    <row r="284" spans="1:23" s="426" customFormat="1" ht="15.75" customHeight="1" hidden="1">
      <c r="A284" s="831"/>
      <c r="B284" s="840"/>
      <c r="C284" s="834"/>
      <c r="D284" s="860"/>
      <c r="E284" s="831"/>
      <c r="F284" s="837"/>
      <c r="G284" s="840"/>
      <c r="H284" s="425">
        <v>0</v>
      </c>
      <c r="I284" s="425">
        <v>0</v>
      </c>
      <c r="J284" s="427">
        <f>K284+N284</f>
        <v>0</v>
      </c>
      <c r="K284" s="427">
        <f>L284+M284</f>
        <v>0</v>
      </c>
      <c r="L284" s="428">
        <v>0</v>
      </c>
      <c r="M284" s="428">
        <v>0</v>
      </c>
      <c r="N284" s="427">
        <f>O284+R284+U284</f>
        <v>0</v>
      </c>
      <c r="O284" s="427">
        <f>P284+Q284</f>
        <v>0</v>
      </c>
      <c r="P284" s="428">
        <v>0</v>
      </c>
      <c r="Q284" s="428">
        <v>0</v>
      </c>
      <c r="R284" s="427">
        <f>S284+T284</f>
        <v>0</v>
      </c>
      <c r="S284" s="428">
        <v>0</v>
      </c>
      <c r="T284" s="428">
        <v>0</v>
      </c>
      <c r="U284" s="427">
        <f>V284+W284</f>
        <v>0</v>
      </c>
      <c r="V284" s="428">
        <v>0</v>
      </c>
      <c r="W284" s="428">
        <v>0</v>
      </c>
    </row>
    <row r="285" spans="1:23" s="426" customFormat="1" ht="15.75" customHeight="1" hidden="1">
      <c r="A285" s="831"/>
      <c r="B285" s="840"/>
      <c r="C285" s="834"/>
      <c r="D285" s="860"/>
      <c r="E285" s="831"/>
      <c r="F285" s="837"/>
      <c r="G285" s="840"/>
      <c r="H285" s="425">
        <v>0</v>
      </c>
      <c r="I285" s="425">
        <v>0</v>
      </c>
      <c r="J285" s="830">
        <f aca="true" t="shared" si="53" ref="J285:W285">J282+J284</f>
        <v>1582391</v>
      </c>
      <c r="K285" s="830">
        <f t="shared" si="53"/>
        <v>1582391</v>
      </c>
      <c r="L285" s="828">
        <f t="shared" si="53"/>
        <v>1582391</v>
      </c>
      <c r="M285" s="828">
        <f t="shared" si="53"/>
        <v>0</v>
      </c>
      <c r="N285" s="830">
        <f t="shared" si="53"/>
        <v>0</v>
      </c>
      <c r="O285" s="830">
        <f t="shared" si="53"/>
        <v>0</v>
      </c>
      <c r="P285" s="828">
        <f t="shared" si="53"/>
        <v>0</v>
      </c>
      <c r="Q285" s="828">
        <f t="shared" si="53"/>
        <v>0</v>
      </c>
      <c r="R285" s="830">
        <f t="shared" si="53"/>
        <v>0</v>
      </c>
      <c r="S285" s="828">
        <f t="shared" si="53"/>
        <v>0</v>
      </c>
      <c r="T285" s="828">
        <f t="shared" si="53"/>
        <v>0</v>
      </c>
      <c r="U285" s="830">
        <f t="shared" si="53"/>
        <v>0</v>
      </c>
      <c r="V285" s="828">
        <f t="shared" si="53"/>
        <v>0</v>
      </c>
      <c r="W285" s="828">
        <f t="shared" si="53"/>
        <v>0</v>
      </c>
    </row>
    <row r="286" spans="1:23" s="426" customFormat="1" ht="15.75" customHeight="1" hidden="1">
      <c r="A286" s="831"/>
      <c r="B286" s="841"/>
      <c r="C286" s="834"/>
      <c r="D286" s="861"/>
      <c r="E286" s="831"/>
      <c r="F286" s="838"/>
      <c r="G286" s="841"/>
      <c r="H286" s="425">
        <v>0</v>
      </c>
      <c r="I286" s="425">
        <v>0</v>
      </c>
      <c r="J286" s="830"/>
      <c r="K286" s="830"/>
      <c r="L286" s="828"/>
      <c r="M286" s="828"/>
      <c r="N286" s="830"/>
      <c r="O286" s="830"/>
      <c r="P286" s="828"/>
      <c r="Q286" s="828"/>
      <c r="R286" s="830"/>
      <c r="S286" s="828"/>
      <c r="T286" s="828"/>
      <c r="U286" s="830"/>
      <c r="V286" s="828"/>
      <c r="W286" s="828"/>
    </row>
    <row r="287" spans="1:23" s="426" customFormat="1" ht="16.5" customHeight="1">
      <c r="A287" s="831">
        <v>22</v>
      </c>
      <c r="B287" s="839" t="s">
        <v>723</v>
      </c>
      <c r="C287" s="834" t="s">
        <v>719</v>
      </c>
      <c r="D287" s="859" t="s">
        <v>727</v>
      </c>
      <c r="E287" s="831" t="s">
        <v>598</v>
      </c>
      <c r="F287" s="836" t="s">
        <v>725</v>
      </c>
      <c r="G287" s="839">
        <v>2020</v>
      </c>
      <c r="H287" s="425">
        <f>H288+H289+H290+H291</f>
        <v>292765</v>
      </c>
      <c r="I287" s="425">
        <f>I288+I289+I290+I291</f>
        <v>0</v>
      </c>
      <c r="J287" s="830">
        <f>K287+N287</f>
        <v>0</v>
      </c>
      <c r="K287" s="830">
        <f>L287+M287</f>
        <v>0</v>
      </c>
      <c r="L287" s="828">
        <v>0</v>
      </c>
      <c r="M287" s="828">
        <v>0</v>
      </c>
      <c r="N287" s="830">
        <f>O287+R287+U287</f>
        <v>0</v>
      </c>
      <c r="O287" s="830">
        <f>P287+Q287</f>
        <v>0</v>
      </c>
      <c r="P287" s="828">
        <v>0</v>
      </c>
      <c r="Q287" s="828">
        <v>0</v>
      </c>
      <c r="R287" s="830">
        <f>S287+T287</f>
        <v>0</v>
      </c>
      <c r="S287" s="828">
        <v>0</v>
      </c>
      <c r="T287" s="828">
        <v>0</v>
      </c>
      <c r="U287" s="830">
        <f>V287+W287</f>
        <v>0</v>
      </c>
      <c r="V287" s="828">
        <v>0</v>
      </c>
      <c r="W287" s="828">
        <v>0</v>
      </c>
    </row>
    <row r="288" spans="1:23" s="426" customFormat="1" ht="16.5" customHeight="1">
      <c r="A288" s="831"/>
      <c r="B288" s="840"/>
      <c r="C288" s="834"/>
      <c r="D288" s="860"/>
      <c r="E288" s="831"/>
      <c r="F288" s="837"/>
      <c r="G288" s="840"/>
      <c r="H288" s="425">
        <v>0</v>
      </c>
      <c r="I288" s="425">
        <v>0</v>
      </c>
      <c r="J288" s="830"/>
      <c r="K288" s="830"/>
      <c r="L288" s="828"/>
      <c r="M288" s="828"/>
      <c r="N288" s="830"/>
      <c r="O288" s="830"/>
      <c r="P288" s="828"/>
      <c r="Q288" s="828"/>
      <c r="R288" s="830"/>
      <c r="S288" s="828"/>
      <c r="T288" s="828"/>
      <c r="U288" s="830"/>
      <c r="V288" s="828"/>
      <c r="W288" s="828"/>
    </row>
    <row r="289" spans="1:23" s="426" customFormat="1" ht="16.5" customHeight="1">
      <c r="A289" s="831"/>
      <c r="B289" s="840"/>
      <c r="C289" s="834"/>
      <c r="D289" s="860"/>
      <c r="E289" s="831"/>
      <c r="F289" s="837"/>
      <c r="G289" s="840"/>
      <c r="H289" s="425">
        <v>0</v>
      </c>
      <c r="I289" s="425">
        <v>0</v>
      </c>
      <c r="J289" s="427">
        <f>K289+N289</f>
        <v>292765</v>
      </c>
      <c r="K289" s="427">
        <f>L289+M289</f>
        <v>0</v>
      </c>
      <c r="L289" s="428">
        <v>0</v>
      </c>
      <c r="M289" s="428">
        <v>0</v>
      </c>
      <c r="N289" s="427">
        <f>O289+R289+U289</f>
        <v>292765</v>
      </c>
      <c r="O289" s="427">
        <f>P289+Q289</f>
        <v>0</v>
      </c>
      <c r="P289" s="428">
        <v>0</v>
      </c>
      <c r="Q289" s="428">
        <v>0</v>
      </c>
      <c r="R289" s="427">
        <f>S289+T289</f>
        <v>292765</v>
      </c>
      <c r="S289" s="428">
        <v>292765</v>
      </c>
      <c r="T289" s="428">
        <v>0</v>
      </c>
      <c r="U289" s="427">
        <f>V289+W289</f>
        <v>0</v>
      </c>
      <c r="V289" s="428">
        <v>0</v>
      </c>
      <c r="W289" s="428">
        <v>0</v>
      </c>
    </row>
    <row r="290" spans="1:23" s="426" customFormat="1" ht="16.5" customHeight="1">
      <c r="A290" s="831"/>
      <c r="B290" s="840"/>
      <c r="C290" s="834"/>
      <c r="D290" s="860"/>
      <c r="E290" s="831"/>
      <c r="F290" s="837"/>
      <c r="G290" s="840"/>
      <c r="H290" s="425">
        <v>292765</v>
      </c>
      <c r="I290" s="425">
        <v>0</v>
      </c>
      <c r="J290" s="830">
        <f aca="true" t="shared" si="54" ref="J290:W290">J287+J289</f>
        <v>292765</v>
      </c>
      <c r="K290" s="830">
        <f t="shared" si="54"/>
        <v>0</v>
      </c>
      <c r="L290" s="828">
        <f t="shared" si="54"/>
        <v>0</v>
      </c>
      <c r="M290" s="828">
        <f t="shared" si="54"/>
        <v>0</v>
      </c>
      <c r="N290" s="830">
        <f t="shared" si="54"/>
        <v>292765</v>
      </c>
      <c r="O290" s="830">
        <f t="shared" si="54"/>
        <v>0</v>
      </c>
      <c r="P290" s="828">
        <f t="shared" si="54"/>
        <v>0</v>
      </c>
      <c r="Q290" s="828">
        <f t="shared" si="54"/>
        <v>0</v>
      </c>
      <c r="R290" s="830">
        <f t="shared" si="54"/>
        <v>292765</v>
      </c>
      <c r="S290" s="828">
        <f t="shared" si="54"/>
        <v>292765</v>
      </c>
      <c r="T290" s="828">
        <f t="shared" si="54"/>
        <v>0</v>
      </c>
      <c r="U290" s="830">
        <f t="shared" si="54"/>
        <v>0</v>
      </c>
      <c r="V290" s="828">
        <f t="shared" si="54"/>
        <v>0</v>
      </c>
      <c r="W290" s="828">
        <f t="shared" si="54"/>
        <v>0</v>
      </c>
    </row>
    <row r="291" spans="1:23" s="426" customFormat="1" ht="16.5" customHeight="1">
      <c r="A291" s="831"/>
      <c r="B291" s="841"/>
      <c r="C291" s="834"/>
      <c r="D291" s="861"/>
      <c r="E291" s="831"/>
      <c r="F291" s="838"/>
      <c r="G291" s="841"/>
      <c r="H291" s="425">
        <v>0</v>
      </c>
      <c r="I291" s="425">
        <v>0</v>
      </c>
      <c r="J291" s="830"/>
      <c r="K291" s="830"/>
      <c r="L291" s="828"/>
      <c r="M291" s="828"/>
      <c r="N291" s="830"/>
      <c r="O291" s="830"/>
      <c r="P291" s="828"/>
      <c r="Q291" s="828"/>
      <c r="R291" s="830"/>
      <c r="S291" s="828"/>
      <c r="T291" s="828"/>
      <c r="U291" s="830"/>
      <c r="V291" s="828"/>
      <c r="W291" s="828"/>
    </row>
    <row r="292" spans="1:23" s="426" customFormat="1" ht="15" customHeight="1">
      <c r="A292" s="831">
        <v>23</v>
      </c>
      <c r="B292" s="839" t="s">
        <v>728</v>
      </c>
      <c r="C292" s="834" t="s">
        <v>719</v>
      </c>
      <c r="D292" s="859" t="s">
        <v>729</v>
      </c>
      <c r="E292" s="831" t="s">
        <v>598</v>
      </c>
      <c r="F292" s="836" t="s">
        <v>730</v>
      </c>
      <c r="G292" s="839" t="s">
        <v>600</v>
      </c>
      <c r="H292" s="425">
        <f>H293+H294+H295+H296</f>
        <v>19999350</v>
      </c>
      <c r="I292" s="425">
        <f>I293+I294+I295+I296</f>
        <v>12755753</v>
      </c>
      <c r="J292" s="830">
        <f>K292+N292</f>
        <v>2248700</v>
      </c>
      <c r="K292" s="830">
        <f>L292+M292</f>
        <v>1911395</v>
      </c>
      <c r="L292" s="828">
        <v>1911395</v>
      </c>
      <c r="M292" s="828">
        <v>0</v>
      </c>
      <c r="N292" s="830">
        <f>O292+R292+U292</f>
        <v>337305</v>
      </c>
      <c r="O292" s="830">
        <f>P292+Q292</f>
        <v>337305</v>
      </c>
      <c r="P292" s="828">
        <v>337305</v>
      </c>
      <c r="Q292" s="828">
        <v>0</v>
      </c>
      <c r="R292" s="830">
        <f>S292+T292</f>
        <v>0</v>
      </c>
      <c r="S292" s="828">
        <v>0</v>
      </c>
      <c r="T292" s="828">
        <v>0</v>
      </c>
      <c r="U292" s="830">
        <f>V292+W292</f>
        <v>0</v>
      </c>
      <c r="V292" s="828">
        <v>0</v>
      </c>
      <c r="W292" s="828">
        <v>0</v>
      </c>
    </row>
    <row r="293" spans="1:23" s="426" customFormat="1" ht="15" customHeight="1">
      <c r="A293" s="831"/>
      <c r="B293" s="840"/>
      <c r="C293" s="834"/>
      <c r="D293" s="860"/>
      <c r="E293" s="831"/>
      <c r="F293" s="837"/>
      <c r="G293" s="840"/>
      <c r="H293" s="425">
        <v>16999447</v>
      </c>
      <c r="I293" s="425">
        <v>10842390</v>
      </c>
      <c r="J293" s="830"/>
      <c r="K293" s="830"/>
      <c r="L293" s="828"/>
      <c r="M293" s="828"/>
      <c r="N293" s="830"/>
      <c r="O293" s="830"/>
      <c r="P293" s="828"/>
      <c r="Q293" s="828"/>
      <c r="R293" s="830"/>
      <c r="S293" s="828"/>
      <c r="T293" s="828"/>
      <c r="U293" s="830"/>
      <c r="V293" s="828"/>
      <c r="W293" s="828"/>
    </row>
    <row r="294" spans="1:23" s="426" customFormat="1" ht="15" customHeight="1">
      <c r="A294" s="831"/>
      <c r="B294" s="840"/>
      <c r="C294" s="834"/>
      <c r="D294" s="860"/>
      <c r="E294" s="831"/>
      <c r="F294" s="837"/>
      <c r="G294" s="840"/>
      <c r="H294" s="425">
        <v>2999903</v>
      </c>
      <c r="I294" s="425">
        <v>1913363</v>
      </c>
      <c r="J294" s="427">
        <f>K294+N294</f>
        <v>10000</v>
      </c>
      <c r="K294" s="427">
        <f>L294+M294</f>
        <v>8500</v>
      </c>
      <c r="L294" s="428">
        <v>8500</v>
      </c>
      <c r="M294" s="428">
        <v>0</v>
      </c>
      <c r="N294" s="427">
        <f>O294+R294+U294</f>
        <v>1500</v>
      </c>
      <c r="O294" s="427">
        <f>P294+Q294</f>
        <v>1500</v>
      </c>
      <c r="P294" s="428">
        <v>1500</v>
      </c>
      <c r="Q294" s="428">
        <v>0</v>
      </c>
      <c r="R294" s="427">
        <f>S294+T294</f>
        <v>0</v>
      </c>
      <c r="S294" s="428">
        <v>0</v>
      </c>
      <c r="T294" s="428">
        <v>0</v>
      </c>
      <c r="U294" s="427">
        <f>V294+W294</f>
        <v>0</v>
      </c>
      <c r="V294" s="428">
        <v>0</v>
      </c>
      <c r="W294" s="428">
        <v>0</v>
      </c>
    </row>
    <row r="295" spans="1:23" s="426" customFormat="1" ht="15" customHeight="1">
      <c r="A295" s="831"/>
      <c r="B295" s="840"/>
      <c r="C295" s="834"/>
      <c r="D295" s="860"/>
      <c r="E295" s="831"/>
      <c r="F295" s="837"/>
      <c r="G295" s="840"/>
      <c r="H295" s="425">
        <v>0</v>
      </c>
      <c r="I295" s="425">
        <v>0</v>
      </c>
      <c r="J295" s="830">
        <f aca="true" t="shared" si="55" ref="J295:W295">J292+J294</f>
        <v>2258700</v>
      </c>
      <c r="K295" s="830">
        <f t="shared" si="55"/>
        <v>1919895</v>
      </c>
      <c r="L295" s="828">
        <f t="shared" si="55"/>
        <v>1919895</v>
      </c>
      <c r="M295" s="828">
        <f t="shared" si="55"/>
        <v>0</v>
      </c>
      <c r="N295" s="830">
        <f t="shared" si="55"/>
        <v>338805</v>
      </c>
      <c r="O295" s="830">
        <f t="shared" si="55"/>
        <v>338805</v>
      </c>
      <c r="P295" s="828">
        <f t="shared" si="55"/>
        <v>338805</v>
      </c>
      <c r="Q295" s="828">
        <f t="shared" si="55"/>
        <v>0</v>
      </c>
      <c r="R295" s="830">
        <f t="shared" si="55"/>
        <v>0</v>
      </c>
      <c r="S295" s="828">
        <f t="shared" si="55"/>
        <v>0</v>
      </c>
      <c r="T295" s="828">
        <f t="shared" si="55"/>
        <v>0</v>
      </c>
      <c r="U295" s="830">
        <f t="shared" si="55"/>
        <v>0</v>
      </c>
      <c r="V295" s="828">
        <f t="shared" si="55"/>
        <v>0</v>
      </c>
      <c r="W295" s="828">
        <f t="shared" si="55"/>
        <v>0</v>
      </c>
    </row>
    <row r="296" spans="1:23" s="426" customFormat="1" ht="15" customHeight="1">
      <c r="A296" s="831"/>
      <c r="B296" s="841"/>
      <c r="C296" s="834"/>
      <c r="D296" s="861"/>
      <c r="E296" s="831"/>
      <c r="F296" s="838"/>
      <c r="G296" s="841"/>
      <c r="H296" s="425">
        <v>0</v>
      </c>
      <c r="I296" s="425">
        <v>0</v>
      </c>
      <c r="J296" s="830"/>
      <c r="K296" s="830"/>
      <c r="L296" s="828"/>
      <c r="M296" s="828"/>
      <c r="N296" s="830"/>
      <c r="O296" s="830"/>
      <c r="P296" s="828"/>
      <c r="Q296" s="828"/>
      <c r="R296" s="830"/>
      <c r="S296" s="828"/>
      <c r="T296" s="828"/>
      <c r="U296" s="830"/>
      <c r="V296" s="828"/>
      <c r="W296" s="828"/>
    </row>
    <row r="297" spans="1:23" s="426" customFormat="1" ht="15.75" customHeight="1">
      <c r="A297" s="831">
        <v>24</v>
      </c>
      <c r="B297" s="839" t="s">
        <v>728</v>
      </c>
      <c r="C297" s="834" t="s">
        <v>719</v>
      </c>
      <c r="D297" s="859" t="s">
        <v>731</v>
      </c>
      <c r="E297" s="831" t="s">
        <v>598</v>
      </c>
      <c r="F297" s="836" t="s">
        <v>730</v>
      </c>
      <c r="G297" s="839" t="s">
        <v>732</v>
      </c>
      <c r="H297" s="425">
        <f>H298+H299+H300+H301</f>
        <v>6100050</v>
      </c>
      <c r="I297" s="425">
        <f>I298+I299+I300+I301</f>
        <v>1216748</v>
      </c>
      <c r="J297" s="830">
        <f>K297+N297</f>
        <v>2081500</v>
      </c>
      <c r="K297" s="830">
        <f>L297+M297</f>
        <v>1769276</v>
      </c>
      <c r="L297" s="828">
        <v>1769276</v>
      </c>
      <c r="M297" s="828">
        <v>0</v>
      </c>
      <c r="N297" s="830">
        <f>O297+R297+U297</f>
        <v>312224</v>
      </c>
      <c r="O297" s="830">
        <f>P297+Q297</f>
        <v>312224</v>
      </c>
      <c r="P297" s="828">
        <v>312224</v>
      </c>
      <c r="Q297" s="828">
        <v>0</v>
      </c>
      <c r="R297" s="830">
        <f>S297+T297</f>
        <v>0</v>
      </c>
      <c r="S297" s="828">
        <v>0</v>
      </c>
      <c r="T297" s="828">
        <v>0</v>
      </c>
      <c r="U297" s="830">
        <f>V297+W297</f>
        <v>0</v>
      </c>
      <c r="V297" s="828">
        <v>0</v>
      </c>
      <c r="W297" s="828">
        <v>0</v>
      </c>
    </row>
    <row r="298" spans="1:23" s="426" customFormat="1" ht="15.75" customHeight="1">
      <c r="A298" s="831"/>
      <c r="B298" s="840"/>
      <c r="C298" s="834"/>
      <c r="D298" s="860"/>
      <c r="E298" s="831"/>
      <c r="F298" s="837"/>
      <c r="G298" s="840"/>
      <c r="H298" s="425">
        <v>5185043</v>
      </c>
      <c r="I298" s="425">
        <v>1034236</v>
      </c>
      <c r="J298" s="830"/>
      <c r="K298" s="830"/>
      <c r="L298" s="828"/>
      <c r="M298" s="828"/>
      <c r="N298" s="830"/>
      <c r="O298" s="830"/>
      <c r="P298" s="828"/>
      <c r="Q298" s="828"/>
      <c r="R298" s="830"/>
      <c r="S298" s="828"/>
      <c r="T298" s="828"/>
      <c r="U298" s="830"/>
      <c r="V298" s="828"/>
      <c r="W298" s="828"/>
    </row>
    <row r="299" spans="1:23" s="426" customFormat="1" ht="15.75" customHeight="1">
      <c r="A299" s="831"/>
      <c r="B299" s="840"/>
      <c r="C299" s="834"/>
      <c r="D299" s="860"/>
      <c r="E299" s="831"/>
      <c r="F299" s="837"/>
      <c r="G299" s="840"/>
      <c r="H299" s="425">
        <v>915007</v>
      </c>
      <c r="I299" s="425">
        <v>182512</v>
      </c>
      <c r="J299" s="427">
        <f>K299+N299</f>
        <v>-587150</v>
      </c>
      <c r="K299" s="427">
        <f>L299+M299</f>
        <v>-499078</v>
      </c>
      <c r="L299" s="428">
        <v>-499078</v>
      </c>
      <c r="M299" s="428">
        <v>0</v>
      </c>
      <c r="N299" s="427">
        <f>O299+R299+U299</f>
        <v>-88072</v>
      </c>
      <c r="O299" s="427">
        <f>P299+Q299</f>
        <v>-88072</v>
      </c>
      <c r="P299" s="428">
        <v>-88072</v>
      </c>
      <c r="Q299" s="428">
        <v>0</v>
      </c>
      <c r="R299" s="427">
        <f>S299+T299</f>
        <v>0</v>
      </c>
      <c r="S299" s="428">
        <v>0</v>
      </c>
      <c r="T299" s="428">
        <v>0</v>
      </c>
      <c r="U299" s="427">
        <f>V299+W299</f>
        <v>0</v>
      </c>
      <c r="V299" s="428">
        <v>0</v>
      </c>
      <c r="W299" s="428">
        <v>0</v>
      </c>
    </row>
    <row r="300" spans="1:23" s="426" customFormat="1" ht="15.75" customHeight="1">
      <c r="A300" s="831"/>
      <c r="B300" s="840"/>
      <c r="C300" s="834"/>
      <c r="D300" s="860"/>
      <c r="E300" s="831"/>
      <c r="F300" s="837"/>
      <c r="G300" s="840"/>
      <c r="H300" s="425">
        <v>0</v>
      </c>
      <c r="I300" s="425">
        <v>0</v>
      </c>
      <c r="J300" s="830">
        <f aca="true" t="shared" si="56" ref="J300:W300">J297+J299</f>
        <v>1494350</v>
      </c>
      <c r="K300" s="830">
        <f t="shared" si="56"/>
        <v>1270198</v>
      </c>
      <c r="L300" s="828">
        <f t="shared" si="56"/>
        <v>1270198</v>
      </c>
      <c r="M300" s="828">
        <f t="shared" si="56"/>
        <v>0</v>
      </c>
      <c r="N300" s="830">
        <f t="shared" si="56"/>
        <v>224152</v>
      </c>
      <c r="O300" s="830">
        <f t="shared" si="56"/>
        <v>224152</v>
      </c>
      <c r="P300" s="828">
        <f t="shared" si="56"/>
        <v>224152</v>
      </c>
      <c r="Q300" s="828">
        <f t="shared" si="56"/>
        <v>0</v>
      </c>
      <c r="R300" s="830">
        <f t="shared" si="56"/>
        <v>0</v>
      </c>
      <c r="S300" s="828">
        <f t="shared" si="56"/>
        <v>0</v>
      </c>
      <c r="T300" s="828">
        <f t="shared" si="56"/>
        <v>0</v>
      </c>
      <c r="U300" s="830">
        <f t="shared" si="56"/>
        <v>0</v>
      </c>
      <c r="V300" s="828">
        <f t="shared" si="56"/>
        <v>0</v>
      </c>
      <c r="W300" s="828">
        <f t="shared" si="56"/>
        <v>0</v>
      </c>
    </row>
    <row r="301" spans="1:23" s="426" customFormat="1" ht="15.75" customHeight="1">
      <c r="A301" s="831"/>
      <c r="B301" s="841"/>
      <c r="C301" s="834"/>
      <c r="D301" s="861"/>
      <c r="E301" s="831"/>
      <c r="F301" s="838"/>
      <c r="G301" s="841"/>
      <c r="H301" s="425">
        <v>0</v>
      </c>
      <c r="I301" s="425">
        <v>0</v>
      </c>
      <c r="J301" s="830"/>
      <c r="K301" s="830"/>
      <c r="L301" s="828"/>
      <c r="M301" s="828"/>
      <c r="N301" s="830"/>
      <c r="O301" s="830"/>
      <c r="P301" s="828"/>
      <c r="Q301" s="828"/>
      <c r="R301" s="830"/>
      <c r="S301" s="828"/>
      <c r="T301" s="828"/>
      <c r="U301" s="830"/>
      <c r="V301" s="828"/>
      <c r="W301" s="828"/>
    </row>
    <row r="302" spans="1:23" s="426" customFormat="1" ht="15.75" customHeight="1">
      <c r="A302" s="831">
        <v>25</v>
      </c>
      <c r="B302" s="839" t="s">
        <v>733</v>
      </c>
      <c r="C302" s="834" t="s">
        <v>734</v>
      </c>
      <c r="D302" s="859" t="s">
        <v>735</v>
      </c>
      <c r="E302" s="831" t="s">
        <v>598</v>
      </c>
      <c r="F302" s="836" t="s">
        <v>730</v>
      </c>
      <c r="G302" s="839" t="s">
        <v>717</v>
      </c>
      <c r="H302" s="425">
        <f>H303+H304+H305+H306</f>
        <v>7914500</v>
      </c>
      <c r="I302" s="425">
        <f>I303+I304+I305+I306</f>
        <v>1512526</v>
      </c>
      <c r="J302" s="830">
        <f>K302+N302</f>
        <v>1537250</v>
      </c>
      <c r="K302" s="830">
        <f>L302+M302</f>
        <v>1306662</v>
      </c>
      <c r="L302" s="828">
        <v>1306662</v>
      </c>
      <c r="M302" s="828">
        <v>0</v>
      </c>
      <c r="N302" s="830">
        <f>O302+R302+U302</f>
        <v>230588</v>
      </c>
      <c r="O302" s="830">
        <f>P302+Q302</f>
        <v>230588</v>
      </c>
      <c r="P302" s="828">
        <v>230588</v>
      </c>
      <c r="Q302" s="828">
        <v>0</v>
      </c>
      <c r="R302" s="830">
        <f>S302+T302</f>
        <v>0</v>
      </c>
      <c r="S302" s="828">
        <v>0</v>
      </c>
      <c r="T302" s="828">
        <v>0</v>
      </c>
      <c r="U302" s="830">
        <f>V302+W302</f>
        <v>0</v>
      </c>
      <c r="V302" s="828">
        <v>0</v>
      </c>
      <c r="W302" s="828">
        <v>0</v>
      </c>
    </row>
    <row r="303" spans="1:23" s="426" customFormat="1" ht="15.75" customHeight="1">
      <c r="A303" s="831"/>
      <c r="B303" s="840"/>
      <c r="C303" s="834"/>
      <c r="D303" s="860"/>
      <c r="E303" s="831"/>
      <c r="F303" s="837"/>
      <c r="G303" s="840"/>
      <c r="H303" s="425">
        <v>6727325</v>
      </c>
      <c r="I303" s="425">
        <v>1285647</v>
      </c>
      <c r="J303" s="830"/>
      <c r="K303" s="830"/>
      <c r="L303" s="828"/>
      <c r="M303" s="828"/>
      <c r="N303" s="830"/>
      <c r="O303" s="830"/>
      <c r="P303" s="828"/>
      <c r="Q303" s="828"/>
      <c r="R303" s="830"/>
      <c r="S303" s="828"/>
      <c r="T303" s="828"/>
      <c r="U303" s="830"/>
      <c r="V303" s="828"/>
      <c r="W303" s="828"/>
    </row>
    <row r="304" spans="1:23" s="426" customFormat="1" ht="15.75" customHeight="1">
      <c r="A304" s="831"/>
      <c r="B304" s="840"/>
      <c r="C304" s="834"/>
      <c r="D304" s="860"/>
      <c r="E304" s="831"/>
      <c r="F304" s="837"/>
      <c r="G304" s="840"/>
      <c r="H304" s="425">
        <v>1187175</v>
      </c>
      <c r="I304" s="425">
        <v>226879</v>
      </c>
      <c r="J304" s="427">
        <f>K304+N304</f>
        <v>0</v>
      </c>
      <c r="K304" s="427">
        <f>L304+M304</f>
        <v>0</v>
      </c>
      <c r="L304" s="428">
        <v>0</v>
      </c>
      <c r="M304" s="428">
        <v>0</v>
      </c>
      <c r="N304" s="427">
        <f>O304+R304+U304</f>
        <v>0</v>
      </c>
      <c r="O304" s="427">
        <f>P304+Q304</f>
        <v>0</v>
      </c>
      <c r="P304" s="428">
        <v>0</v>
      </c>
      <c r="Q304" s="428">
        <v>0</v>
      </c>
      <c r="R304" s="427">
        <f>S304+T304</f>
        <v>0</v>
      </c>
      <c r="S304" s="428">
        <v>0</v>
      </c>
      <c r="T304" s="428">
        <v>0</v>
      </c>
      <c r="U304" s="427">
        <f>V304+W304</f>
        <v>0</v>
      </c>
      <c r="V304" s="428">
        <v>0</v>
      </c>
      <c r="W304" s="428">
        <v>0</v>
      </c>
    </row>
    <row r="305" spans="1:23" s="426" customFormat="1" ht="15.75" customHeight="1">
      <c r="A305" s="831"/>
      <c r="B305" s="840"/>
      <c r="C305" s="834"/>
      <c r="D305" s="860"/>
      <c r="E305" s="831"/>
      <c r="F305" s="837"/>
      <c r="G305" s="840"/>
      <c r="H305" s="425">
        <v>0</v>
      </c>
      <c r="I305" s="425">
        <v>0</v>
      </c>
      <c r="J305" s="830">
        <f aca="true" t="shared" si="57" ref="J305:W305">J302+J304</f>
        <v>1537250</v>
      </c>
      <c r="K305" s="830">
        <f t="shared" si="57"/>
        <v>1306662</v>
      </c>
      <c r="L305" s="828">
        <f t="shared" si="57"/>
        <v>1306662</v>
      </c>
      <c r="M305" s="828">
        <f t="shared" si="57"/>
        <v>0</v>
      </c>
      <c r="N305" s="830">
        <f t="shared" si="57"/>
        <v>230588</v>
      </c>
      <c r="O305" s="830">
        <f t="shared" si="57"/>
        <v>230588</v>
      </c>
      <c r="P305" s="828">
        <f t="shared" si="57"/>
        <v>230588</v>
      </c>
      <c r="Q305" s="828">
        <f t="shared" si="57"/>
        <v>0</v>
      </c>
      <c r="R305" s="830">
        <f t="shared" si="57"/>
        <v>0</v>
      </c>
      <c r="S305" s="828">
        <f t="shared" si="57"/>
        <v>0</v>
      </c>
      <c r="T305" s="828">
        <f t="shared" si="57"/>
        <v>0</v>
      </c>
      <c r="U305" s="830">
        <f t="shared" si="57"/>
        <v>0</v>
      </c>
      <c r="V305" s="828">
        <f t="shared" si="57"/>
        <v>0</v>
      </c>
      <c r="W305" s="828">
        <f t="shared" si="57"/>
        <v>0</v>
      </c>
    </row>
    <row r="306" spans="1:23" s="426" customFormat="1" ht="15.75" customHeight="1">
      <c r="A306" s="831"/>
      <c r="B306" s="841"/>
      <c r="C306" s="834"/>
      <c r="D306" s="861"/>
      <c r="E306" s="831"/>
      <c r="F306" s="838"/>
      <c r="G306" s="841"/>
      <c r="H306" s="425">
        <v>0</v>
      </c>
      <c r="I306" s="425">
        <v>0</v>
      </c>
      <c r="J306" s="830"/>
      <c r="K306" s="830"/>
      <c r="L306" s="828"/>
      <c r="M306" s="828"/>
      <c r="N306" s="830"/>
      <c r="O306" s="830"/>
      <c r="P306" s="828"/>
      <c r="Q306" s="828"/>
      <c r="R306" s="830"/>
      <c r="S306" s="828"/>
      <c r="T306" s="828"/>
      <c r="U306" s="830"/>
      <c r="V306" s="828"/>
      <c r="W306" s="828"/>
    </row>
    <row r="307" spans="1:23" s="426" customFormat="1" ht="15" customHeight="1" hidden="1">
      <c r="A307" s="831">
        <v>54</v>
      </c>
      <c r="B307" s="839" t="s">
        <v>736</v>
      </c>
      <c r="C307" s="834" t="s">
        <v>737</v>
      </c>
      <c r="D307" s="859" t="s">
        <v>738</v>
      </c>
      <c r="E307" s="831" t="s">
        <v>598</v>
      </c>
      <c r="F307" s="836" t="s">
        <v>739</v>
      </c>
      <c r="G307" s="839" t="s">
        <v>637</v>
      </c>
      <c r="H307" s="425">
        <f>H308+H309+H310+H311</f>
        <v>26644347</v>
      </c>
      <c r="I307" s="425">
        <f>I308+I309+I310+I311</f>
        <v>6909026</v>
      </c>
      <c r="J307" s="830">
        <f>K307+N307</f>
        <v>8617212</v>
      </c>
      <c r="K307" s="830">
        <f>L307+M307</f>
        <v>8005591</v>
      </c>
      <c r="L307" s="828">
        <v>8005591</v>
      </c>
      <c r="M307" s="828">
        <v>0</v>
      </c>
      <c r="N307" s="830">
        <f>O307+R307+U307</f>
        <v>611621</v>
      </c>
      <c r="O307" s="830">
        <f>P307+Q307</f>
        <v>474031</v>
      </c>
      <c r="P307" s="828">
        <v>474031</v>
      </c>
      <c r="Q307" s="828">
        <v>0</v>
      </c>
      <c r="R307" s="830">
        <f>S307+T307</f>
        <v>137590</v>
      </c>
      <c r="S307" s="828">
        <v>137590</v>
      </c>
      <c r="T307" s="828">
        <v>0</v>
      </c>
      <c r="U307" s="830">
        <f>V307+W307</f>
        <v>0</v>
      </c>
      <c r="V307" s="828">
        <v>0</v>
      </c>
      <c r="W307" s="828">
        <v>0</v>
      </c>
    </row>
    <row r="308" spans="1:23" s="426" customFormat="1" ht="15" customHeight="1" hidden="1">
      <c r="A308" s="831"/>
      <c r="B308" s="840"/>
      <c r="C308" s="834"/>
      <c r="D308" s="860"/>
      <c r="E308" s="831"/>
      <c r="F308" s="837"/>
      <c r="G308" s="840"/>
      <c r="H308" s="425">
        <v>24793944</v>
      </c>
      <c r="I308" s="425">
        <v>6352202</v>
      </c>
      <c r="J308" s="830"/>
      <c r="K308" s="830"/>
      <c r="L308" s="828"/>
      <c r="M308" s="828"/>
      <c r="N308" s="830"/>
      <c r="O308" s="830"/>
      <c r="P308" s="828"/>
      <c r="Q308" s="828"/>
      <c r="R308" s="830"/>
      <c r="S308" s="828"/>
      <c r="T308" s="828"/>
      <c r="U308" s="830"/>
      <c r="V308" s="828"/>
      <c r="W308" s="828"/>
    </row>
    <row r="309" spans="1:23" s="426" customFormat="1" ht="15" customHeight="1" hidden="1">
      <c r="A309" s="831"/>
      <c r="B309" s="840"/>
      <c r="C309" s="834"/>
      <c r="D309" s="860"/>
      <c r="E309" s="831"/>
      <c r="F309" s="837"/>
      <c r="G309" s="840"/>
      <c r="H309" s="425">
        <v>1458468</v>
      </c>
      <c r="I309" s="425">
        <v>373659</v>
      </c>
      <c r="J309" s="427">
        <f>K309+N309</f>
        <v>0</v>
      </c>
      <c r="K309" s="427">
        <f>L309+M309</f>
        <v>0</v>
      </c>
      <c r="L309" s="428">
        <v>0</v>
      </c>
      <c r="M309" s="428">
        <v>0</v>
      </c>
      <c r="N309" s="427">
        <f>O309+R309+U309</f>
        <v>0</v>
      </c>
      <c r="O309" s="427">
        <f>P309+Q309</f>
        <v>0</v>
      </c>
      <c r="P309" s="428">
        <v>0</v>
      </c>
      <c r="Q309" s="428">
        <v>0</v>
      </c>
      <c r="R309" s="427">
        <f>S309+T309</f>
        <v>0</v>
      </c>
      <c r="S309" s="428">
        <v>0</v>
      </c>
      <c r="T309" s="428">
        <v>0</v>
      </c>
      <c r="U309" s="427">
        <f>V309+W309</f>
        <v>0</v>
      </c>
      <c r="V309" s="428">
        <v>0</v>
      </c>
      <c r="W309" s="428">
        <v>0</v>
      </c>
    </row>
    <row r="310" spans="1:23" s="426" customFormat="1" ht="15" customHeight="1" hidden="1">
      <c r="A310" s="831"/>
      <c r="B310" s="840"/>
      <c r="C310" s="834"/>
      <c r="D310" s="860"/>
      <c r="E310" s="831"/>
      <c r="F310" s="837"/>
      <c r="G310" s="840"/>
      <c r="H310" s="425">
        <v>391935</v>
      </c>
      <c r="I310" s="425">
        <v>183165</v>
      </c>
      <c r="J310" s="830">
        <f aca="true" t="shared" si="58" ref="J310:W310">J307+J309</f>
        <v>8617212</v>
      </c>
      <c r="K310" s="830">
        <f t="shared" si="58"/>
        <v>8005591</v>
      </c>
      <c r="L310" s="828">
        <f t="shared" si="58"/>
        <v>8005591</v>
      </c>
      <c r="M310" s="828">
        <f t="shared" si="58"/>
        <v>0</v>
      </c>
      <c r="N310" s="830">
        <f t="shared" si="58"/>
        <v>611621</v>
      </c>
      <c r="O310" s="830">
        <f t="shared" si="58"/>
        <v>474031</v>
      </c>
      <c r="P310" s="828">
        <f t="shared" si="58"/>
        <v>474031</v>
      </c>
      <c r="Q310" s="828">
        <f t="shared" si="58"/>
        <v>0</v>
      </c>
      <c r="R310" s="830">
        <f t="shared" si="58"/>
        <v>137590</v>
      </c>
      <c r="S310" s="828">
        <f t="shared" si="58"/>
        <v>137590</v>
      </c>
      <c r="T310" s="828">
        <f t="shared" si="58"/>
        <v>0</v>
      </c>
      <c r="U310" s="830">
        <f t="shared" si="58"/>
        <v>0</v>
      </c>
      <c r="V310" s="828">
        <f t="shared" si="58"/>
        <v>0</v>
      </c>
      <c r="W310" s="828">
        <f t="shared" si="58"/>
        <v>0</v>
      </c>
    </row>
    <row r="311" spans="1:23" s="426" customFormat="1" ht="15" customHeight="1" hidden="1">
      <c r="A311" s="831"/>
      <c r="B311" s="841"/>
      <c r="C311" s="834"/>
      <c r="D311" s="861"/>
      <c r="E311" s="831"/>
      <c r="F311" s="838"/>
      <c r="G311" s="841"/>
      <c r="H311" s="425">
        <v>0</v>
      </c>
      <c r="I311" s="425">
        <v>0</v>
      </c>
      <c r="J311" s="830"/>
      <c r="K311" s="830"/>
      <c r="L311" s="828"/>
      <c r="M311" s="828"/>
      <c r="N311" s="830"/>
      <c r="O311" s="830"/>
      <c r="P311" s="828"/>
      <c r="Q311" s="828"/>
      <c r="R311" s="830"/>
      <c r="S311" s="828"/>
      <c r="T311" s="828"/>
      <c r="U311" s="830"/>
      <c r="V311" s="828"/>
      <c r="W311" s="828"/>
    </row>
    <row r="312" spans="1:23" s="431" customFormat="1" ht="17.25" customHeight="1">
      <c r="A312" s="829" t="s">
        <v>740</v>
      </c>
      <c r="B312" s="829"/>
      <c r="C312" s="829"/>
      <c r="D312" s="829"/>
      <c r="E312" s="829"/>
      <c r="F312" s="829"/>
      <c r="G312" s="829"/>
      <c r="H312" s="430">
        <f>H17+H22+H27+H32+H37+H42+H47+H52+H62+H67+H72+H77+H82+H87+H92+H102+H112+H117+H122+H127+H132+H137+H142+H147+H152+H162+H157+H167+H172+H177+H182+H187+H192+H197+H202+H207+H212+H222+H232+H237+H257+H262+H217+H267+H272+H277+H282+H292+H297+H302+H307+H57+H107+H227+H97+H247+H252+H287+H242</f>
        <v>1176187796</v>
      </c>
      <c r="I312" s="430">
        <f>I17+I22+I27+I32+I37+I42+I47+I52+I62+I67+I72+I77+I82+I87+I92+I102+I112+I117+I122+I127+I132+I137+I142+I147+I152+I162+I157+I167+I172+I177+I182+I187+I192+I197+I202+I207+I212+I222+I232+I237+I257+I262+I217+I267+I272+I277+I282+I292+I297+I302+I307+I57+I107+I227+I97+I247+I252+I287+I242</f>
        <v>276159902</v>
      </c>
      <c r="J312" s="826">
        <f>J17+J22+J27+J32+J37+J42+J47+J52+J57+J62+J67+J72+J77+J82+J87+J92+J102+J107+J112+J117+J122+J127+J132+J137+J142+J147+J152+J157+J162+J167+J172+J177+J182+J187+J192+J197+J202+J207+J212+J217+J222+J227+J232+J237+J257+J262+J267+J272+J277+J282+J292+J297+J302+J307+J97+J247+J252+J287+J242</f>
        <v>354214612</v>
      </c>
      <c r="K312" s="826">
        <f aca="true" t="shared" si="59" ref="K312:W312">K17+K22+K27+K32+K37+K42+K47+K52+K57+K62+K67+K72+K77+K82+K87+K92+K102+K107+K112+K117+K122+K127+K132+K137+K142+K147+K152+K157+K162+K167+K172+K177+K182+K187+K192+K197+K202+K207+K212+K217+K222+K227+K232+K237+K257+K262+K267+K272+K277+K282+K292+K297+K302+K307+K97+K247+K252+K287+K242</f>
        <v>286417638</v>
      </c>
      <c r="L312" s="826">
        <f t="shared" si="59"/>
        <v>59472408</v>
      </c>
      <c r="M312" s="826">
        <f t="shared" si="59"/>
        <v>226945230</v>
      </c>
      <c r="N312" s="826">
        <f t="shared" si="59"/>
        <v>67796974</v>
      </c>
      <c r="O312" s="826">
        <f t="shared" si="59"/>
        <v>4437722</v>
      </c>
      <c r="P312" s="826">
        <f t="shared" si="59"/>
        <v>3703476</v>
      </c>
      <c r="Q312" s="826">
        <f t="shared" si="59"/>
        <v>734246</v>
      </c>
      <c r="R312" s="826">
        <f t="shared" si="59"/>
        <v>45873266</v>
      </c>
      <c r="S312" s="826">
        <f t="shared" si="59"/>
        <v>3758794</v>
      </c>
      <c r="T312" s="826">
        <f t="shared" si="59"/>
        <v>42114472</v>
      </c>
      <c r="U312" s="826">
        <f t="shared" si="59"/>
        <v>17485986</v>
      </c>
      <c r="V312" s="826">
        <f t="shared" si="59"/>
        <v>820351</v>
      </c>
      <c r="W312" s="826">
        <f t="shared" si="59"/>
        <v>16665635</v>
      </c>
    </row>
    <row r="313" spans="1:23" s="431" customFormat="1" ht="17.25" customHeight="1">
      <c r="A313" s="829"/>
      <c r="B313" s="829"/>
      <c r="C313" s="829"/>
      <c r="D313" s="829"/>
      <c r="E313" s="829"/>
      <c r="F313" s="829"/>
      <c r="G313" s="829"/>
      <c r="H313" s="430">
        <f aca="true" t="shared" si="60" ref="H313:I316">H18+H23+H28+H33+H38+H43+H48+H53+H63+H68+H73+H78+H83+H88+H93+H103+H113+H118+H123+H128+H133+H138+H143+H148+H153+H163+H158+H168+H173+H178+H183+H188+H193+H198+H203+H208+H213+H223+H233+H238+H258+H263+H218+H268+H273+H278+H283+H293+H298+H303+H308+H58+H108+H228+H98+H248+H253+H288+H243</f>
        <v>980633395</v>
      </c>
      <c r="I313" s="430">
        <f t="shared" si="60"/>
        <v>202771970</v>
      </c>
      <c r="J313" s="826"/>
      <c r="K313" s="826"/>
      <c r="L313" s="826"/>
      <c r="M313" s="826"/>
      <c r="N313" s="826"/>
      <c r="O313" s="826"/>
      <c r="P313" s="826"/>
      <c r="Q313" s="826"/>
      <c r="R313" s="826"/>
      <c r="S313" s="826"/>
      <c r="T313" s="826"/>
      <c r="U313" s="826"/>
      <c r="V313" s="826"/>
      <c r="W313" s="826"/>
    </row>
    <row r="314" spans="1:23" s="431" customFormat="1" ht="17.25" customHeight="1">
      <c r="A314" s="829"/>
      <c r="B314" s="829"/>
      <c r="C314" s="829"/>
      <c r="D314" s="829"/>
      <c r="E314" s="829"/>
      <c r="F314" s="829"/>
      <c r="G314" s="829"/>
      <c r="H314" s="430">
        <f t="shared" si="60"/>
        <v>19911069</v>
      </c>
      <c r="I314" s="430">
        <f t="shared" si="60"/>
        <v>7624803</v>
      </c>
      <c r="J314" s="432">
        <f>J19+J24+J29+J34+J39+J44+J49+J54+J59+J64+J69+J74+J79+J84+J89+J94+J104+J109+J114+J119+J124+J129+J134+J139+J144+J149+J154+J159+J164+J169+J174+J179+J184+J189+J194+J199+J204+J209+J214+J219+J224+J229+J234+J239+J259+J264+J269+J274+J279+J284+J294+J299+J304+J309+J99+J249+J254+J289+J244</f>
        <v>42408543</v>
      </c>
      <c r="K314" s="432">
        <f aca="true" t="shared" si="61" ref="K314:W314">K19+K24+K29+K34+K39+K44+K49+K54+K59+K64+K69+K74+K79+K84+K89+K94+K104+K109+K114+K119+K124+K129+K134+K139+K144+K149+K154+K159+K164+K169+K174+K179+K184+K189+K194+K199+K204+K209+K214+K219+K224+K229+K234+K239+K259+K264+K269+K274+K279+K284+K294+K299+K304+K309+K99+K249+K254+K289+K244</f>
        <v>35728305</v>
      </c>
      <c r="L314" s="432">
        <f t="shared" si="61"/>
        <v>41035628</v>
      </c>
      <c r="M314" s="432">
        <f t="shared" si="61"/>
        <v>-5307323</v>
      </c>
      <c r="N314" s="432">
        <f t="shared" si="61"/>
        <v>6680238</v>
      </c>
      <c r="O314" s="432">
        <f t="shared" si="61"/>
        <v>4527378</v>
      </c>
      <c r="P314" s="432">
        <f t="shared" si="61"/>
        <v>4627378</v>
      </c>
      <c r="Q314" s="432">
        <f t="shared" si="61"/>
        <v>-100000</v>
      </c>
      <c r="R314" s="432">
        <f t="shared" si="61"/>
        <v>2012543</v>
      </c>
      <c r="S314" s="432">
        <f t="shared" si="61"/>
        <v>2063772</v>
      </c>
      <c r="T314" s="432">
        <f t="shared" si="61"/>
        <v>-51229</v>
      </c>
      <c r="U314" s="432">
        <f t="shared" si="61"/>
        <v>140317</v>
      </c>
      <c r="V314" s="432">
        <f t="shared" si="61"/>
        <v>0</v>
      </c>
      <c r="W314" s="432">
        <f t="shared" si="61"/>
        <v>140317</v>
      </c>
    </row>
    <row r="315" spans="1:23" s="431" customFormat="1" ht="17.25" customHeight="1">
      <c r="A315" s="829"/>
      <c r="B315" s="829"/>
      <c r="C315" s="829"/>
      <c r="D315" s="829"/>
      <c r="E315" s="829"/>
      <c r="F315" s="829"/>
      <c r="G315" s="829"/>
      <c r="H315" s="430">
        <f t="shared" si="60"/>
        <v>153373818</v>
      </c>
      <c r="I315" s="430">
        <f t="shared" si="60"/>
        <v>62565604</v>
      </c>
      <c r="J315" s="826">
        <f>J312+J314</f>
        <v>396623155</v>
      </c>
      <c r="K315" s="826">
        <f aca="true" t="shared" si="62" ref="K315:W315">K312+K314</f>
        <v>322145943</v>
      </c>
      <c r="L315" s="826">
        <f t="shared" si="62"/>
        <v>100508036</v>
      </c>
      <c r="M315" s="826">
        <f t="shared" si="62"/>
        <v>221637907</v>
      </c>
      <c r="N315" s="826">
        <f t="shared" si="62"/>
        <v>74477212</v>
      </c>
      <c r="O315" s="826">
        <f t="shared" si="62"/>
        <v>8965100</v>
      </c>
      <c r="P315" s="826">
        <f t="shared" si="62"/>
        <v>8330854</v>
      </c>
      <c r="Q315" s="826">
        <f t="shared" si="62"/>
        <v>634246</v>
      </c>
      <c r="R315" s="826">
        <f t="shared" si="62"/>
        <v>47885809</v>
      </c>
      <c r="S315" s="826">
        <f t="shared" si="62"/>
        <v>5822566</v>
      </c>
      <c r="T315" s="826">
        <f t="shared" si="62"/>
        <v>42063243</v>
      </c>
      <c r="U315" s="826">
        <f t="shared" si="62"/>
        <v>17626303</v>
      </c>
      <c r="V315" s="826">
        <f t="shared" si="62"/>
        <v>820351</v>
      </c>
      <c r="W315" s="826">
        <f t="shared" si="62"/>
        <v>16805952</v>
      </c>
    </row>
    <row r="316" spans="1:23" s="431" customFormat="1" ht="17.25" customHeight="1">
      <c r="A316" s="829"/>
      <c r="B316" s="829"/>
      <c r="C316" s="829"/>
      <c r="D316" s="829"/>
      <c r="E316" s="829"/>
      <c r="F316" s="829"/>
      <c r="G316" s="829"/>
      <c r="H316" s="430">
        <f t="shared" si="60"/>
        <v>22269514</v>
      </c>
      <c r="I316" s="430">
        <f t="shared" si="60"/>
        <v>3197525</v>
      </c>
      <c r="J316" s="826"/>
      <c r="K316" s="826"/>
      <c r="L316" s="826"/>
      <c r="M316" s="826"/>
      <c r="N316" s="826"/>
      <c r="O316" s="826"/>
      <c r="P316" s="826"/>
      <c r="Q316" s="826"/>
      <c r="R316" s="826"/>
      <c r="S316" s="826"/>
      <c r="T316" s="826"/>
      <c r="U316" s="826"/>
      <c r="V316" s="826"/>
      <c r="W316" s="826"/>
    </row>
    <row r="317" spans="1:23" ht="4.5" customHeight="1">
      <c r="A317" s="433"/>
      <c r="B317" s="434"/>
      <c r="C317" s="434"/>
      <c r="D317" s="434"/>
      <c r="E317" s="434"/>
      <c r="F317" s="434"/>
      <c r="G317" s="434"/>
      <c r="H317" s="434"/>
      <c r="I317" s="434"/>
      <c r="J317" s="434"/>
      <c r="K317" s="434"/>
      <c r="L317" s="434"/>
      <c r="M317" s="434"/>
      <c r="N317" s="434"/>
      <c r="O317" s="434"/>
      <c r="P317" s="434"/>
      <c r="Q317" s="434"/>
      <c r="R317" s="434"/>
      <c r="S317" s="434"/>
      <c r="T317" s="434"/>
      <c r="U317" s="434"/>
      <c r="V317" s="434"/>
      <c r="W317" s="435"/>
    </row>
    <row r="318" spans="1:24" s="422" customFormat="1" ht="17.25" customHeight="1">
      <c r="A318" s="854" t="s">
        <v>741</v>
      </c>
      <c r="B318" s="855"/>
      <c r="C318" s="855"/>
      <c r="D318" s="855"/>
      <c r="E318" s="855"/>
      <c r="F318" s="855"/>
      <c r="G318" s="855"/>
      <c r="H318" s="855"/>
      <c r="I318" s="855"/>
      <c r="J318" s="855"/>
      <c r="K318" s="855"/>
      <c r="L318" s="855"/>
      <c r="M318" s="855"/>
      <c r="N318" s="855"/>
      <c r="O318" s="855"/>
      <c r="P318" s="855"/>
      <c r="Q318" s="855"/>
      <c r="R318" s="855"/>
      <c r="S318" s="855"/>
      <c r="T318" s="855"/>
      <c r="U318" s="855"/>
      <c r="V318" s="855"/>
      <c r="W318" s="856"/>
      <c r="X318" s="423"/>
    </row>
    <row r="319" spans="1:23" ht="3.75" customHeight="1">
      <c r="A319" s="858"/>
      <c r="B319" s="858"/>
      <c r="C319" s="858"/>
      <c r="D319" s="858"/>
      <c r="E319" s="858"/>
      <c r="F319" s="858"/>
      <c r="G319" s="858"/>
      <c r="H319" s="858"/>
      <c r="I319" s="858"/>
      <c r="J319" s="858"/>
      <c r="K319" s="858"/>
      <c r="L319" s="858"/>
      <c r="M319" s="858"/>
      <c r="N319" s="858"/>
      <c r="O319" s="858"/>
      <c r="P319" s="858"/>
      <c r="Q319" s="858"/>
      <c r="R319" s="858"/>
      <c r="S319" s="858"/>
      <c r="T319" s="858"/>
      <c r="U319" s="858"/>
      <c r="V319" s="858"/>
      <c r="W319" s="858"/>
    </row>
    <row r="320" spans="1:23" ht="14.25" customHeight="1">
      <c r="A320" s="832">
        <v>1</v>
      </c>
      <c r="B320" s="833" t="s">
        <v>742</v>
      </c>
      <c r="C320" s="832" t="s">
        <v>743</v>
      </c>
      <c r="D320" s="835" t="s">
        <v>744</v>
      </c>
      <c r="E320" s="831" t="s">
        <v>598</v>
      </c>
      <c r="F320" s="831" t="s">
        <v>745</v>
      </c>
      <c r="G320" s="831" t="s">
        <v>610</v>
      </c>
      <c r="H320" s="425">
        <f>H321+H323+H322+H324</f>
        <v>207342489</v>
      </c>
      <c r="I320" s="425">
        <f>I321+I323+I322+I324</f>
        <v>68759438</v>
      </c>
      <c r="J320" s="830">
        <f>K320+N320</f>
        <v>38029202</v>
      </c>
      <c r="K320" s="830">
        <f>L320+M320</f>
        <v>32324822</v>
      </c>
      <c r="L320" s="828">
        <v>32290822</v>
      </c>
      <c r="M320" s="828">
        <v>34000</v>
      </c>
      <c r="N320" s="830">
        <f>O320+R320+U320</f>
        <v>5704380</v>
      </c>
      <c r="O320" s="830">
        <f>P320+Q320</f>
        <v>0</v>
      </c>
      <c r="P320" s="828">
        <v>0</v>
      </c>
      <c r="Q320" s="828">
        <v>0</v>
      </c>
      <c r="R320" s="830">
        <f>S320+T320</f>
        <v>5704380</v>
      </c>
      <c r="S320" s="828">
        <v>5698380</v>
      </c>
      <c r="T320" s="828">
        <v>6000</v>
      </c>
      <c r="U320" s="830">
        <f>V320+W320</f>
        <v>0</v>
      </c>
      <c r="V320" s="828">
        <v>0</v>
      </c>
      <c r="W320" s="828">
        <v>0</v>
      </c>
    </row>
    <row r="321" spans="1:23" ht="14.25" customHeight="1">
      <c r="A321" s="832"/>
      <c r="B321" s="833"/>
      <c r="C321" s="832"/>
      <c r="D321" s="835"/>
      <c r="E321" s="831"/>
      <c r="F321" s="831"/>
      <c r="G321" s="831"/>
      <c r="H321" s="425">
        <v>176241115</v>
      </c>
      <c r="I321" s="425">
        <v>58445522</v>
      </c>
      <c r="J321" s="830"/>
      <c r="K321" s="830"/>
      <c r="L321" s="828"/>
      <c r="M321" s="828"/>
      <c r="N321" s="830"/>
      <c r="O321" s="830"/>
      <c r="P321" s="828"/>
      <c r="Q321" s="828"/>
      <c r="R321" s="830"/>
      <c r="S321" s="828"/>
      <c r="T321" s="828"/>
      <c r="U321" s="830"/>
      <c r="V321" s="828"/>
      <c r="W321" s="828"/>
    </row>
    <row r="322" spans="1:23" ht="14.25" customHeight="1">
      <c r="A322" s="832"/>
      <c r="B322" s="833"/>
      <c r="C322" s="832"/>
      <c r="D322" s="835"/>
      <c r="E322" s="831"/>
      <c r="F322" s="831"/>
      <c r="G322" s="831"/>
      <c r="H322" s="425">
        <v>0</v>
      </c>
      <c r="I322" s="425">
        <v>0</v>
      </c>
      <c r="J322" s="427">
        <f>K322+N322</f>
        <v>861117</v>
      </c>
      <c r="K322" s="427">
        <f>L322+M322</f>
        <v>731949</v>
      </c>
      <c r="L322" s="428">
        <v>731949</v>
      </c>
      <c r="M322" s="428">
        <v>0</v>
      </c>
      <c r="N322" s="427">
        <f>O322+R322+U322</f>
        <v>129168</v>
      </c>
      <c r="O322" s="427">
        <f>P322+Q322</f>
        <v>0</v>
      </c>
      <c r="P322" s="428">
        <v>0</v>
      </c>
      <c r="Q322" s="428">
        <v>0</v>
      </c>
      <c r="R322" s="427">
        <f>S322+T322</f>
        <v>129168</v>
      </c>
      <c r="S322" s="428">
        <v>129168</v>
      </c>
      <c r="T322" s="428">
        <v>0</v>
      </c>
      <c r="U322" s="427">
        <f>V322+W322</f>
        <v>0</v>
      </c>
      <c r="V322" s="428">
        <v>0</v>
      </c>
      <c r="W322" s="428">
        <v>0</v>
      </c>
    </row>
    <row r="323" spans="1:23" ht="14.25" customHeight="1">
      <c r="A323" s="832"/>
      <c r="B323" s="833"/>
      <c r="C323" s="832"/>
      <c r="D323" s="835"/>
      <c r="E323" s="831"/>
      <c r="F323" s="831"/>
      <c r="G323" s="831"/>
      <c r="H323" s="425">
        <v>31101374</v>
      </c>
      <c r="I323" s="425">
        <v>10313916</v>
      </c>
      <c r="J323" s="830">
        <f aca="true" t="shared" si="63" ref="J323:W323">J320+J322</f>
        <v>38890319</v>
      </c>
      <c r="K323" s="830">
        <f t="shared" si="63"/>
        <v>33056771</v>
      </c>
      <c r="L323" s="828">
        <f t="shared" si="63"/>
        <v>33022771</v>
      </c>
      <c r="M323" s="828">
        <f t="shared" si="63"/>
        <v>34000</v>
      </c>
      <c r="N323" s="830">
        <f t="shared" si="63"/>
        <v>5833548</v>
      </c>
      <c r="O323" s="830">
        <f t="shared" si="63"/>
        <v>0</v>
      </c>
      <c r="P323" s="828">
        <f t="shared" si="63"/>
        <v>0</v>
      </c>
      <c r="Q323" s="828">
        <f t="shared" si="63"/>
        <v>0</v>
      </c>
      <c r="R323" s="830">
        <f t="shared" si="63"/>
        <v>5833548</v>
      </c>
      <c r="S323" s="828">
        <f t="shared" si="63"/>
        <v>5827548</v>
      </c>
      <c r="T323" s="828">
        <f t="shared" si="63"/>
        <v>6000</v>
      </c>
      <c r="U323" s="830">
        <f t="shared" si="63"/>
        <v>0</v>
      </c>
      <c r="V323" s="828">
        <f t="shared" si="63"/>
        <v>0</v>
      </c>
      <c r="W323" s="828">
        <f t="shared" si="63"/>
        <v>0</v>
      </c>
    </row>
    <row r="324" spans="1:23" ht="14.25" customHeight="1">
      <c r="A324" s="832"/>
      <c r="B324" s="833"/>
      <c r="C324" s="832"/>
      <c r="D324" s="835"/>
      <c r="E324" s="831"/>
      <c r="F324" s="831"/>
      <c r="G324" s="831"/>
      <c r="H324" s="425">
        <v>0</v>
      </c>
      <c r="I324" s="425">
        <v>0</v>
      </c>
      <c r="J324" s="830"/>
      <c r="K324" s="830"/>
      <c r="L324" s="828"/>
      <c r="M324" s="828"/>
      <c r="N324" s="830"/>
      <c r="O324" s="830"/>
      <c r="P324" s="828"/>
      <c r="Q324" s="828"/>
      <c r="R324" s="830"/>
      <c r="S324" s="828"/>
      <c r="T324" s="828"/>
      <c r="U324" s="830"/>
      <c r="V324" s="828"/>
      <c r="W324" s="828"/>
    </row>
    <row r="325" spans="1:23" ht="14.25" customHeight="1">
      <c r="A325" s="832">
        <v>2</v>
      </c>
      <c r="B325" s="833" t="s">
        <v>742</v>
      </c>
      <c r="C325" s="832" t="s">
        <v>743</v>
      </c>
      <c r="D325" s="835" t="s">
        <v>744</v>
      </c>
      <c r="E325" s="836" t="s">
        <v>696</v>
      </c>
      <c r="F325" s="836" t="s">
        <v>697</v>
      </c>
      <c r="G325" s="831" t="s">
        <v>610</v>
      </c>
      <c r="H325" s="425">
        <f>H326+H328+H327+H329</f>
        <v>9518000</v>
      </c>
      <c r="I325" s="425">
        <f>I326+I328+I327+I329</f>
        <v>3633983</v>
      </c>
      <c r="J325" s="830">
        <f>K325+N325</f>
        <v>1938504</v>
      </c>
      <c r="K325" s="830">
        <f>L325+M325</f>
        <v>1647728</v>
      </c>
      <c r="L325" s="828">
        <v>1647728</v>
      </c>
      <c r="M325" s="828">
        <v>0</v>
      </c>
      <c r="N325" s="830">
        <f>O325+R325+U325</f>
        <v>290776</v>
      </c>
      <c r="O325" s="830">
        <f>P325+Q325</f>
        <v>0</v>
      </c>
      <c r="P325" s="828">
        <v>0</v>
      </c>
      <c r="Q325" s="828">
        <v>0</v>
      </c>
      <c r="R325" s="830">
        <f>S325+T325</f>
        <v>290776</v>
      </c>
      <c r="S325" s="828">
        <v>290776</v>
      </c>
      <c r="T325" s="828">
        <v>0</v>
      </c>
      <c r="U325" s="830">
        <f>V325+W325</f>
        <v>0</v>
      </c>
      <c r="V325" s="828">
        <v>0</v>
      </c>
      <c r="W325" s="828">
        <v>0</v>
      </c>
    </row>
    <row r="326" spans="1:23" ht="14.25" customHeight="1">
      <c r="A326" s="832"/>
      <c r="B326" s="833"/>
      <c r="C326" s="832"/>
      <c r="D326" s="835"/>
      <c r="E326" s="837"/>
      <c r="F326" s="837"/>
      <c r="G326" s="831"/>
      <c r="H326" s="425">
        <v>8090302</v>
      </c>
      <c r="I326" s="425">
        <v>3088885</v>
      </c>
      <c r="J326" s="830"/>
      <c r="K326" s="830"/>
      <c r="L326" s="828"/>
      <c r="M326" s="828"/>
      <c r="N326" s="830"/>
      <c r="O326" s="830"/>
      <c r="P326" s="828"/>
      <c r="Q326" s="828"/>
      <c r="R326" s="830"/>
      <c r="S326" s="828"/>
      <c r="T326" s="828"/>
      <c r="U326" s="830"/>
      <c r="V326" s="828"/>
      <c r="W326" s="828"/>
    </row>
    <row r="327" spans="1:23" ht="14.25" customHeight="1">
      <c r="A327" s="832"/>
      <c r="B327" s="833"/>
      <c r="C327" s="832"/>
      <c r="D327" s="835"/>
      <c r="E327" s="837"/>
      <c r="F327" s="837"/>
      <c r="G327" s="831"/>
      <c r="H327" s="425">
        <v>0</v>
      </c>
      <c r="I327" s="425">
        <v>0</v>
      </c>
      <c r="J327" s="427">
        <f>K327+N327</f>
        <v>34431</v>
      </c>
      <c r="K327" s="427">
        <f>L327+M327</f>
        <v>29267</v>
      </c>
      <c r="L327" s="428">
        <v>29267</v>
      </c>
      <c r="M327" s="428">
        <v>0</v>
      </c>
      <c r="N327" s="427">
        <f>O327+R327+U327</f>
        <v>5164</v>
      </c>
      <c r="O327" s="427">
        <f>P327+Q327</f>
        <v>0</v>
      </c>
      <c r="P327" s="428">
        <v>0</v>
      </c>
      <c r="Q327" s="428">
        <v>0</v>
      </c>
      <c r="R327" s="427">
        <f>S327+T327</f>
        <v>5164</v>
      </c>
      <c r="S327" s="428">
        <v>5164</v>
      </c>
      <c r="T327" s="428">
        <v>0</v>
      </c>
      <c r="U327" s="427">
        <f>V327+W327</f>
        <v>0</v>
      </c>
      <c r="V327" s="428">
        <v>0</v>
      </c>
      <c r="W327" s="428">
        <v>0</v>
      </c>
    </row>
    <row r="328" spans="1:23" ht="14.25" customHeight="1">
      <c r="A328" s="832"/>
      <c r="B328" s="833"/>
      <c r="C328" s="832"/>
      <c r="D328" s="835"/>
      <c r="E328" s="837"/>
      <c r="F328" s="837"/>
      <c r="G328" s="831"/>
      <c r="H328" s="425">
        <v>1427698</v>
      </c>
      <c r="I328" s="425">
        <v>545098</v>
      </c>
      <c r="J328" s="830">
        <f aca="true" t="shared" si="64" ref="J328:W328">J325+J327</f>
        <v>1972935</v>
      </c>
      <c r="K328" s="830">
        <f t="shared" si="64"/>
        <v>1676995</v>
      </c>
      <c r="L328" s="828">
        <f t="shared" si="64"/>
        <v>1676995</v>
      </c>
      <c r="M328" s="828">
        <f t="shared" si="64"/>
        <v>0</v>
      </c>
      <c r="N328" s="830">
        <f t="shared" si="64"/>
        <v>295940</v>
      </c>
      <c r="O328" s="830">
        <f t="shared" si="64"/>
        <v>0</v>
      </c>
      <c r="P328" s="828">
        <f t="shared" si="64"/>
        <v>0</v>
      </c>
      <c r="Q328" s="828">
        <f t="shared" si="64"/>
        <v>0</v>
      </c>
      <c r="R328" s="830">
        <f t="shared" si="64"/>
        <v>295940</v>
      </c>
      <c r="S328" s="828">
        <f t="shared" si="64"/>
        <v>295940</v>
      </c>
      <c r="T328" s="828">
        <f t="shared" si="64"/>
        <v>0</v>
      </c>
      <c r="U328" s="830">
        <f t="shared" si="64"/>
        <v>0</v>
      </c>
      <c r="V328" s="828">
        <f t="shared" si="64"/>
        <v>0</v>
      </c>
      <c r="W328" s="828">
        <f t="shared" si="64"/>
        <v>0</v>
      </c>
    </row>
    <row r="329" spans="1:23" ht="14.25" customHeight="1">
      <c r="A329" s="832"/>
      <c r="B329" s="833"/>
      <c r="C329" s="832"/>
      <c r="D329" s="835"/>
      <c r="E329" s="838"/>
      <c r="F329" s="838"/>
      <c r="G329" s="831"/>
      <c r="H329" s="425">
        <v>0</v>
      </c>
      <c r="I329" s="425">
        <v>0</v>
      </c>
      <c r="J329" s="830"/>
      <c r="K329" s="830"/>
      <c r="L329" s="828"/>
      <c r="M329" s="828"/>
      <c r="N329" s="830"/>
      <c r="O329" s="830"/>
      <c r="P329" s="828"/>
      <c r="Q329" s="828"/>
      <c r="R329" s="830"/>
      <c r="S329" s="828"/>
      <c r="T329" s="828"/>
      <c r="U329" s="830"/>
      <c r="V329" s="828"/>
      <c r="W329" s="828"/>
    </row>
    <row r="330" spans="1:23" ht="14.25" customHeight="1">
      <c r="A330" s="832">
        <v>3</v>
      </c>
      <c r="B330" s="833" t="s">
        <v>742</v>
      </c>
      <c r="C330" s="832">
        <v>121</v>
      </c>
      <c r="D330" s="835" t="s">
        <v>746</v>
      </c>
      <c r="E330" s="831" t="s">
        <v>598</v>
      </c>
      <c r="F330" s="831" t="s">
        <v>747</v>
      </c>
      <c r="G330" s="831" t="s">
        <v>722</v>
      </c>
      <c r="H330" s="425">
        <f>H331+H333+H332+H334</f>
        <v>23700000</v>
      </c>
      <c r="I330" s="425">
        <f>I331+I333+I332+I334</f>
        <v>0</v>
      </c>
      <c r="J330" s="830">
        <f>K330+N330</f>
        <v>0</v>
      </c>
      <c r="K330" s="830">
        <f>L330+M330</f>
        <v>0</v>
      </c>
      <c r="L330" s="828">
        <v>0</v>
      </c>
      <c r="M330" s="828">
        <v>0</v>
      </c>
      <c r="N330" s="830">
        <f>O330+R330+U330</f>
        <v>0</v>
      </c>
      <c r="O330" s="830">
        <f>P330+Q330</f>
        <v>0</v>
      </c>
      <c r="P330" s="828">
        <v>0</v>
      </c>
      <c r="Q330" s="828">
        <v>0</v>
      </c>
      <c r="R330" s="830">
        <f>S330+T330</f>
        <v>0</v>
      </c>
      <c r="S330" s="828">
        <v>0</v>
      </c>
      <c r="T330" s="828">
        <v>0</v>
      </c>
      <c r="U330" s="830">
        <f>V330+W330</f>
        <v>0</v>
      </c>
      <c r="V330" s="828">
        <v>0</v>
      </c>
      <c r="W330" s="828">
        <v>0</v>
      </c>
    </row>
    <row r="331" spans="1:23" ht="14.25" customHeight="1">
      <c r="A331" s="832"/>
      <c r="B331" s="833"/>
      <c r="C331" s="832"/>
      <c r="D331" s="835"/>
      <c r="E331" s="831"/>
      <c r="F331" s="831"/>
      <c r="G331" s="831"/>
      <c r="H331" s="425">
        <v>20145000</v>
      </c>
      <c r="I331" s="425">
        <v>0</v>
      </c>
      <c r="J331" s="830"/>
      <c r="K331" s="830"/>
      <c r="L331" s="828"/>
      <c r="M331" s="828"/>
      <c r="N331" s="830"/>
      <c r="O331" s="830"/>
      <c r="P331" s="828"/>
      <c r="Q331" s="828"/>
      <c r="R331" s="830"/>
      <c r="S331" s="828"/>
      <c r="T331" s="828"/>
      <c r="U331" s="830"/>
      <c r="V331" s="828"/>
      <c r="W331" s="828"/>
    </row>
    <row r="332" spans="1:23" ht="14.25" customHeight="1">
      <c r="A332" s="832"/>
      <c r="B332" s="833"/>
      <c r="C332" s="832"/>
      <c r="D332" s="835"/>
      <c r="E332" s="831"/>
      <c r="F332" s="831"/>
      <c r="G332" s="831"/>
      <c r="H332" s="425">
        <v>0</v>
      </c>
      <c r="I332" s="425">
        <v>0</v>
      </c>
      <c r="J332" s="427">
        <f>K332+N332</f>
        <v>2370000</v>
      </c>
      <c r="K332" s="427">
        <f>L332+M332</f>
        <v>2014500</v>
      </c>
      <c r="L332" s="428">
        <v>0</v>
      </c>
      <c r="M332" s="428">
        <v>2014500</v>
      </c>
      <c r="N332" s="427">
        <f>O332+R332+U332</f>
        <v>355500</v>
      </c>
      <c r="O332" s="427">
        <f>P332+Q332</f>
        <v>0</v>
      </c>
      <c r="P332" s="428">
        <v>0</v>
      </c>
      <c r="Q332" s="428">
        <v>0</v>
      </c>
      <c r="R332" s="427">
        <f>S332+T332</f>
        <v>355500</v>
      </c>
      <c r="S332" s="428">
        <v>0</v>
      </c>
      <c r="T332" s="428">
        <v>355500</v>
      </c>
      <c r="U332" s="427">
        <f>V332+W332</f>
        <v>0</v>
      </c>
      <c r="V332" s="428">
        <v>0</v>
      </c>
      <c r="W332" s="428">
        <v>0</v>
      </c>
    </row>
    <row r="333" spans="1:23" ht="14.25" customHeight="1">
      <c r="A333" s="832"/>
      <c r="B333" s="833"/>
      <c r="C333" s="832"/>
      <c r="D333" s="835"/>
      <c r="E333" s="831"/>
      <c r="F333" s="831"/>
      <c r="G333" s="831"/>
      <c r="H333" s="425">
        <v>3555000</v>
      </c>
      <c r="I333" s="425">
        <v>0</v>
      </c>
      <c r="J333" s="830">
        <f aca="true" t="shared" si="65" ref="J333:W333">J330+J332</f>
        <v>2370000</v>
      </c>
      <c r="K333" s="830">
        <f t="shared" si="65"/>
        <v>2014500</v>
      </c>
      <c r="L333" s="828">
        <f t="shared" si="65"/>
        <v>0</v>
      </c>
      <c r="M333" s="828">
        <f t="shared" si="65"/>
        <v>2014500</v>
      </c>
      <c r="N333" s="830">
        <f t="shared" si="65"/>
        <v>355500</v>
      </c>
      <c r="O333" s="830">
        <f t="shared" si="65"/>
        <v>0</v>
      </c>
      <c r="P333" s="828">
        <f t="shared" si="65"/>
        <v>0</v>
      </c>
      <c r="Q333" s="828">
        <f t="shared" si="65"/>
        <v>0</v>
      </c>
      <c r="R333" s="830">
        <f t="shared" si="65"/>
        <v>355500</v>
      </c>
      <c r="S333" s="828">
        <f t="shared" si="65"/>
        <v>0</v>
      </c>
      <c r="T333" s="828">
        <f t="shared" si="65"/>
        <v>355500</v>
      </c>
      <c r="U333" s="830">
        <f t="shared" si="65"/>
        <v>0</v>
      </c>
      <c r="V333" s="828">
        <f t="shared" si="65"/>
        <v>0</v>
      </c>
      <c r="W333" s="828">
        <f t="shared" si="65"/>
        <v>0</v>
      </c>
    </row>
    <row r="334" spans="1:23" ht="14.25" customHeight="1">
      <c r="A334" s="832"/>
      <c r="B334" s="833"/>
      <c r="C334" s="832"/>
      <c r="D334" s="835"/>
      <c r="E334" s="831"/>
      <c r="F334" s="831"/>
      <c r="G334" s="831"/>
      <c r="H334" s="425">
        <v>0</v>
      </c>
      <c r="I334" s="425">
        <v>0</v>
      </c>
      <c r="J334" s="830"/>
      <c r="K334" s="830"/>
      <c r="L334" s="828"/>
      <c r="M334" s="828"/>
      <c r="N334" s="830"/>
      <c r="O334" s="830"/>
      <c r="P334" s="828"/>
      <c r="Q334" s="828"/>
      <c r="R334" s="830"/>
      <c r="S334" s="828"/>
      <c r="T334" s="828"/>
      <c r="U334" s="830"/>
      <c r="V334" s="828"/>
      <c r="W334" s="828"/>
    </row>
    <row r="335" spans="1:23" ht="14.25" customHeight="1" hidden="1">
      <c r="A335" s="839">
        <v>3</v>
      </c>
      <c r="B335" s="842" t="s">
        <v>748</v>
      </c>
      <c r="C335" s="839">
        <v>123</v>
      </c>
      <c r="D335" s="848" t="s">
        <v>749</v>
      </c>
      <c r="E335" s="831" t="s">
        <v>598</v>
      </c>
      <c r="F335" s="836" t="s">
        <v>745</v>
      </c>
      <c r="G335" s="836">
        <v>2020</v>
      </c>
      <c r="H335" s="425">
        <f>H336+H338+H337+H339</f>
        <v>2395000</v>
      </c>
      <c r="I335" s="425">
        <f>I336+I338+I337+I339</f>
        <v>0</v>
      </c>
      <c r="J335" s="830">
        <f>K335+N335</f>
        <v>2395000</v>
      </c>
      <c r="K335" s="830">
        <f>L335+M335</f>
        <v>2035750</v>
      </c>
      <c r="L335" s="828">
        <v>2035750</v>
      </c>
      <c r="M335" s="828">
        <v>0</v>
      </c>
      <c r="N335" s="830">
        <f>O335+R335+U335</f>
        <v>359250</v>
      </c>
      <c r="O335" s="830">
        <f>P335+Q335</f>
        <v>0</v>
      </c>
      <c r="P335" s="828">
        <v>0</v>
      </c>
      <c r="Q335" s="828">
        <v>0</v>
      </c>
      <c r="R335" s="830">
        <f>S335+T335</f>
        <v>359250</v>
      </c>
      <c r="S335" s="828">
        <v>359250</v>
      </c>
      <c r="T335" s="828">
        <v>0</v>
      </c>
      <c r="U335" s="830">
        <f>V335+W335</f>
        <v>0</v>
      </c>
      <c r="V335" s="828">
        <v>0</v>
      </c>
      <c r="W335" s="828">
        <v>0</v>
      </c>
    </row>
    <row r="336" spans="1:23" ht="14.25" customHeight="1" hidden="1">
      <c r="A336" s="840"/>
      <c r="B336" s="843"/>
      <c r="C336" s="840"/>
      <c r="D336" s="849"/>
      <c r="E336" s="831"/>
      <c r="F336" s="837"/>
      <c r="G336" s="837"/>
      <c r="H336" s="425">
        <f>K335</f>
        <v>2035750</v>
      </c>
      <c r="I336" s="425">
        <v>0</v>
      </c>
      <c r="J336" s="830"/>
      <c r="K336" s="830"/>
      <c r="L336" s="828"/>
      <c r="M336" s="828"/>
      <c r="N336" s="830"/>
      <c r="O336" s="830"/>
      <c r="P336" s="828"/>
      <c r="Q336" s="828"/>
      <c r="R336" s="830"/>
      <c r="S336" s="828"/>
      <c r="T336" s="828"/>
      <c r="U336" s="830"/>
      <c r="V336" s="828"/>
      <c r="W336" s="828"/>
    </row>
    <row r="337" spans="1:23" ht="14.25" customHeight="1" hidden="1">
      <c r="A337" s="840"/>
      <c r="B337" s="843"/>
      <c r="C337" s="840"/>
      <c r="D337" s="849"/>
      <c r="E337" s="831"/>
      <c r="F337" s="837"/>
      <c r="G337" s="837"/>
      <c r="H337" s="425">
        <v>0</v>
      </c>
      <c r="I337" s="425">
        <v>0</v>
      </c>
      <c r="J337" s="427">
        <f>K337+N337</f>
        <v>0</v>
      </c>
      <c r="K337" s="427">
        <f>L337+M337</f>
        <v>0</v>
      </c>
      <c r="L337" s="428">
        <v>0</v>
      </c>
      <c r="M337" s="428">
        <v>0</v>
      </c>
      <c r="N337" s="427">
        <f>O337+R337+U337</f>
        <v>0</v>
      </c>
      <c r="O337" s="427">
        <f>P337+Q337</f>
        <v>0</v>
      </c>
      <c r="P337" s="428">
        <v>0</v>
      </c>
      <c r="Q337" s="428">
        <v>0</v>
      </c>
      <c r="R337" s="427">
        <f>S337+T337</f>
        <v>0</v>
      </c>
      <c r="S337" s="428">
        <v>0</v>
      </c>
      <c r="T337" s="428">
        <v>0</v>
      </c>
      <c r="U337" s="427">
        <f>V337+W337</f>
        <v>0</v>
      </c>
      <c r="V337" s="428">
        <v>0</v>
      </c>
      <c r="W337" s="428">
        <v>0</v>
      </c>
    </row>
    <row r="338" spans="1:23" ht="14.25" customHeight="1" hidden="1">
      <c r="A338" s="840"/>
      <c r="B338" s="843"/>
      <c r="C338" s="840"/>
      <c r="D338" s="849"/>
      <c r="E338" s="831"/>
      <c r="F338" s="837"/>
      <c r="G338" s="837"/>
      <c r="H338" s="425">
        <f>R335</f>
        <v>359250</v>
      </c>
      <c r="I338" s="425">
        <v>0</v>
      </c>
      <c r="J338" s="830">
        <f aca="true" t="shared" si="66" ref="J338:W338">J335+J337</f>
        <v>2395000</v>
      </c>
      <c r="K338" s="830">
        <f t="shared" si="66"/>
        <v>2035750</v>
      </c>
      <c r="L338" s="828">
        <f t="shared" si="66"/>
        <v>2035750</v>
      </c>
      <c r="M338" s="828">
        <f t="shared" si="66"/>
        <v>0</v>
      </c>
      <c r="N338" s="830">
        <f t="shared" si="66"/>
        <v>359250</v>
      </c>
      <c r="O338" s="830">
        <f t="shared" si="66"/>
        <v>0</v>
      </c>
      <c r="P338" s="828">
        <f t="shared" si="66"/>
        <v>0</v>
      </c>
      <c r="Q338" s="828">
        <f t="shared" si="66"/>
        <v>0</v>
      </c>
      <c r="R338" s="830">
        <f t="shared" si="66"/>
        <v>359250</v>
      </c>
      <c r="S338" s="828">
        <f t="shared" si="66"/>
        <v>359250</v>
      </c>
      <c r="T338" s="828">
        <f t="shared" si="66"/>
        <v>0</v>
      </c>
      <c r="U338" s="830">
        <f t="shared" si="66"/>
        <v>0</v>
      </c>
      <c r="V338" s="828">
        <f t="shared" si="66"/>
        <v>0</v>
      </c>
      <c r="W338" s="828">
        <f t="shared" si="66"/>
        <v>0</v>
      </c>
    </row>
    <row r="339" spans="1:23" ht="14.25" customHeight="1" hidden="1">
      <c r="A339" s="841"/>
      <c r="B339" s="844"/>
      <c r="C339" s="841"/>
      <c r="D339" s="850"/>
      <c r="E339" s="831"/>
      <c r="F339" s="838"/>
      <c r="G339" s="838"/>
      <c r="H339" s="425">
        <v>0</v>
      </c>
      <c r="I339" s="425">
        <v>0</v>
      </c>
      <c r="J339" s="830"/>
      <c r="K339" s="830"/>
      <c r="L339" s="828"/>
      <c r="M339" s="828"/>
      <c r="N339" s="830"/>
      <c r="O339" s="830"/>
      <c r="P339" s="828"/>
      <c r="Q339" s="828"/>
      <c r="R339" s="830"/>
      <c r="S339" s="828"/>
      <c r="T339" s="828"/>
      <c r="U339" s="830"/>
      <c r="V339" s="828"/>
      <c r="W339" s="828"/>
    </row>
    <row r="340" spans="1:23" ht="14.25" customHeight="1">
      <c r="A340" s="839">
        <v>4</v>
      </c>
      <c r="B340" s="842" t="s">
        <v>748</v>
      </c>
      <c r="C340" s="839">
        <v>123</v>
      </c>
      <c r="D340" s="848" t="s">
        <v>749</v>
      </c>
      <c r="E340" s="836" t="s">
        <v>696</v>
      </c>
      <c r="F340" s="836" t="s">
        <v>697</v>
      </c>
      <c r="G340" s="836">
        <v>2020</v>
      </c>
      <c r="H340" s="425">
        <f>H341+H343+H342+H344</f>
        <v>20570</v>
      </c>
      <c r="I340" s="425">
        <f>I341+I343+I342+I344</f>
        <v>0</v>
      </c>
      <c r="J340" s="830">
        <f>K340+N340</f>
        <v>15000</v>
      </c>
      <c r="K340" s="830">
        <f>L340+M340</f>
        <v>12750</v>
      </c>
      <c r="L340" s="828">
        <v>12750</v>
      </c>
      <c r="M340" s="828">
        <v>0</v>
      </c>
      <c r="N340" s="830">
        <f>O340+R340+U340</f>
        <v>2250</v>
      </c>
      <c r="O340" s="830">
        <f>P340+Q340</f>
        <v>0</v>
      </c>
      <c r="P340" s="828">
        <v>0</v>
      </c>
      <c r="Q340" s="828">
        <v>0</v>
      </c>
      <c r="R340" s="830">
        <f>S340+T340</f>
        <v>2250</v>
      </c>
      <c r="S340" s="828">
        <v>2250</v>
      </c>
      <c r="T340" s="828">
        <v>0</v>
      </c>
      <c r="U340" s="830">
        <f>V340+W340</f>
        <v>0</v>
      </c>
      <c r="V340" s="828">
        <v>0</v>
      </c>
      <c r="W340" s="828">
        <v>0</v>
      </c>
    </row>
    <row r="341" spans="1:23" ht="14.25" customHeight="1">
      <c r="A341" s="840"/>
      <c r="B341" s="843"/>
      <c r="C341" s="840"/>
      <c r="D341" s="849"/>
      <c r="E341" s="837"/>
      <c r="F341" s="837"/>
      <c r="G341" s="837"/>
      <c r="H341" s="425">
        <v>17484</v>
      </c>
      <c r="I341" s="425">
        <v>0</v>
      </c>
      <c r="J341" s="830"/>
      <c r="K341" s="830"/>
      <c r="L341" s="828"/>
      <c r="M341" s="828"/>
      <c r="N341" s="830"/>
      <c r="O341" s="830"/>
      <c r="P341" s="828"/>
      <c r="Q341" s="828"/>
      <c r="R341" s="830"/>
      <c r="S341" s="828"/>
      <c r="T341" s="828"/>
      <c r="U341" s="830"/>
      <c r="V341" s="828"/>
      <c r="W341" s="828"/>
    </row>
    <row r="342" spans="1:23" ht="14.25" customHeight="1">
      <c r="A342" s="840"/>
      <c r="B342" s="843"/>
      <c r="C342" s="840"/>
      <c r="D342" s="849"/>
      <c r="E342" s="837"/>
      <c r="F342" s="837"/>
      <c r="G342" s="837"/>
      <c r="H342" s="425">
        <v>0</v>
      </c>
      <c r="I342" s="425">
        <v>0</v>
      </c>
      <c r="J342" s="427">
        <f>K342+N342</f>
        <v>5570</v>
      </c>
      <c r="K342" s="427">
        <f>L342+M342</f>
        <v>4734</v>
      </c>
      <c r="L342" s="428">
        <v>4734</v>
      </c>
      <c r="M342" s="428">
        <v>0</v>
      </c>
      <c r="N342" s="427">
        <f>O342+R342+U342</f>
        <v>836</v>
      </c>
      <c r="O342" s="427">
        <f>P342+Q342</f>
        <v>0</v>
      </c>
      <c r="P342" s="428">
        <v>0</v>
      </c>
      <c r="Q342" s="428">
        <v>0</v>
      </c>
      <c r="R342" s="427">
        <f>S342+T342</f>
        <v>836</v>
      </c>
      <c r="S342" s="428">
        <v>836</v>
      </c>
      <c r="T342" s="428">
        <v>0</v>
      </c>
      <c r="U342" s="427">
        <f>V342+W342</f>
        <v>0</v>
      </c>
      <c r="V342" s="428">
        <v>0</v>
      </c>
      <c r="W342" s="428">
        <v>0</v>
      </c>
    </row>
    <row r="343" spans="1:23" ht="14.25" customHeight="1">
      <c r="A343" s="840"/>
      <c r="B343" s="843"/>
      <c r="C343" s="840"/>
      <c r="D343" s="849"/>
      <c r="E343" s="837"/>
      <c r="F343" s="837"/>
      <c r="G343" s="837"/>
      <c r="H343" s="425">
        <v>3086</v>
      </c>
      <c r="I343" s="425">
        <v>0</v>
      </c>
      <c r="J343" s="830">
        <f aca="true" t="shared" si="67" ref="J343:W343">J340+J342</f>
        <v>20570</v>
      </c>
      <c r="K343" s="830">
        <f t="shared" si="67"/>
        <v>17484</v>
      </c>
      <c r="L343" s="828">
        <f t="shared" si="67"/>
        <v>17484</v>
      </c>
      <c r="M343" s="828">
        <f t="shared" si="67"/>
        <v>0</v>
      </c>
      <c r="N343" s="830">
        <f t="shared" si="67"/>
        <v>3086</v>
      </c>
      <c r="O343" s="830">
        <f t="shared" si="67"/>
        <v>0</v>
      </c>
      <c r="P343" s="828">
        <f t="shared" si="67"/>
        <v>0</v>
      </c>
      <c r="Q343" s="828">
        <f t="shared" si="67"/>
        <v>0</v>
      </c>
      <c r="R343" s="830">
        <f t="shared" si="67"/>
        <v>3086</v>
      </c>
      <c r="S343" s="828">
        <f t="shared" si="67"/>
        <v>3086</v>
      </c>
      <c r="T343" s="828">
        <f t="shared" si="67"/>
        <v>0</v>
      </c>
      <c r="U343" s="830">
        <f t="shared" si="67"/>
        <v>0</v>
      </c>
      <c r="V343" s="828">
        <f t="shared" si="67"/>
        <v>0</v>
      </c>
      <c r="W343" s="828">
        <f t="shared" si="67"/>
        <v>0</v>
      </c>
    </row>
    <row r="344" spans="1:23" ht="14.25" customHeight="1">
      <c r="A344" s="841"/>
      <c r="B344" s="844"/>
      <c r="C344" s="841"/>
      <c r="D344" s="850"/>
      <c r="E344" s="838"/>
      <c r="F344" s="838"/>
      <c r="G344" s="838"/>
      <c r="H344" s="425">
        <v>0</v>
      </c>
      <c r="I344" s="425">
        <v>0</v>
      </c>
      <c r="J344" s="830"/>
      <c r="K344" s="830"/>
      <c r="L344" s="828"/>
      <c r="M344" s="828"/>
      <c r="N344" s="830"/>
      <c r="O344" s="830"/>
      <c r="P344" s="828"/>
      <c r="Q344" s="828"/>
      <c r="R344" s="830"/>
      <c r="S344" s="828"/>
      <c r="T344" s="828"/>
      <c r="U344" s="830"/>
      <c r="V344" s="828"/>
      <c r="W344" s="828"/>
    </row>
    <row r="345" spans="1:23" ht="15" customHeight="1">
      <c r="A345" s="857" t="s">
        <v>750</v>
      </c>
      <c r="B345" s="857"/>
      <c r="C345" s="857"/>
      <c r="D345" s="857"/>
      <c r="E345" s="857"/>
      <c r="F345" s="857"/>
      <c r="G345" s="857"/>
      <c r="H345" s="437">
        <f aca="true" t="shared" si="68" ref="H345:W345">H320+H325+H335+H340+H330</f>
        <v>242976059</v>
      </c>
      <c r="I345" s="437">
        <f t="shared" si="68"/>
        <v>72393421</v>
      </c>
      <c r="J345" s="826">
        <f t="shared" si="68"/>
        <v>42377706</v>
      </c>
      <c r="K345" s="826">
        <f t="shared" si="68"/>
        <v>36021050</v>
      </c>
      <c r="L345" s="826">
        <f t="shared" si="68"/>
        <v>35987050</v>
      </c>
      <c r="M345" s="826">
        <f t="shared" si="68"/>
        <v>34000</v>
      </c>
      <c r="N345" s="826">
        <f t="shared" si="68"/>
        <v>6356656</v>
      </c>
      <c r="O345" s="826">
        <f t="shared" si="68"/>
        <v>0</v>
      </c>
      <c r="P345" s="826">
        <f t="shared" si="68"/>
        <v>0</v>
      </c>
      <c r="Q345" s="826">
        <f t="shared" si="68"/>
        <v>0</v>
      </c>
      <c r="R345" s="826">
        <f t="shared" si="68"/>
        <v>6356656</v>
      </c>
      <c r="S345" s="826">
        <f t="shared" si="68"/>
        <v>6350656</v>
      </c>
      <c r="T345" s="826">
        <f t="shared" si="68"/>
        <v>6000</v>
      </c>
      <c r="U345" s="826">
        <f t="shared" si="68"/>
        <v>0</v>
      </c>
      <c r="V345" s="826">
        <f t="shared" si="68"/>
        <v>0</v>
      </c>
      <c r="W345" s="826">
        <f t="shared" si="68"/>
        <v>0</v>
      </c>
    </row>
    <row r="346" spans="1:23" ht="15" customHeight="1">
      <c r="A346" s="857"/>
      <c r="B346" s="857"/>
      <c r="C346" s="857"/>
      <c r="D346" s="857"/>
      <c r="E346" s="857"/>
      <c r="F346" s="857"/>
      <c r="G346" s="857"/>
      <c r="H346" s="437">
        <f aca="true" t="shared" si="69" ref="H346:I349">H321+H326+H336+H341+H331</f>
        <v>206529651</v>
      </c>
      <c r="I346" s="437">
        <f t="shared" si="69"/>
        <v>61534407</v>
      </c>
      <c r="J346" s="826"/>
      <c r="K346" s="826"/>
      <c r="L346" s="826"/>
      <c r="M346" s="826"/>
      <c r="N346" s="826"/>
      <c r="O346" s="826"/>
      <c r="P346" s="826"/>
      <c r="Q346" s="826"/>
      <c r="R346" s="826"/>
      <c r="S346" s="826"/>
      <c r="T346" s="826"/>
      <c r="U346" s="826"/>
      <c r="V346" s="826"/>
      <c r="W346" s="826"/>
    </row>
    <row r="347" spans="1:23" ht="15" customHeight="1">
      <c r="A347" s="857"/>
      <c r="B347" s="857"/>
      <c r="C347" s="857"/>
      <c r="D347" s="857"/>
      <c r="E347" s="857"/>
      <c r="F347" s="857"/>
      <c r="G347" s="857"/>
      <c r="H347" s="437">
        <f t="shared" si="69"/>
        <v>0</v>
      </c>
      <c r="I347" s="437">
        <f t="shared" si="69"/>
        <v>0</v>
      </c>
      <c r="J347" s="432">
        <f aca="true" t="shared" si="70" ref="J347:W347">J322+J327+J337+J342+J332</f>
        <v>3271118</v>
      </c>
      <c r="K347" s="432">
        <f t="shared" si="70"/>
        <v>2780450</v>
      </c>
      <c r="L347" s="432">
        <f t="shared" si="70"/>
        <v>765950</v>
      </c>
      <c r="M347" s="432">
        <f t="shared" si="70"/>
        <v>2014500</v>
      </c>
      <c r="N347" s="432">
        <f t="shared" si="70"/>
        <v>490668</v>
      </c>
      <c r="O347" s="432">
        <f t="shared" si="70"/>
        <v>0</v>
      </c>
      <c r="P347" s="432">
        <f t="shared" si="70"/>
        <v>0</v>
      </c>
      <c r="Q347" s="432">
        <f t="shared" si="70"/>
        <v>0</v>
      </c>
      <c r="R347" s="432">
        <f t="shared" si="70"/>
        <v>490668</v>
      </c>
      <c r="S347" s="432">
        <f t="shared" si="70"/>
        <v>135168</v>
      </c>
      <c r="T347" s="432">
        <f t="shared" si="70"/>
        <v>355500</v>
      </c>
      <c r="U347" s="432">
        <f t="shared" si="70"/>
        <v>0</v>
      </c>
      <c r="V347" s="432">
        <f t="shared" si="70"/>
        <v>0</v>
      </c>
      <c r="W347" s="432">
        <f t="shared" si="70"/>
        <v>0</v>
      </c>
    </row>
    <row r="348" spans="1:23" ht="15" customHeight="1">
      <c r="A348" s="857"/>
      <c r="B348" s="857"/>
      <c r="C348" s="857"/>
      <c r="D348" s="857"/>
      <c r="E348" s="857"/>
      <c r="F348" s="857"/>
      <c r="G348" s="857"/>
      <c r="H348" s="437">
        <f t="shared" si="69"/>
        <v>36446408</v>
      </c>
      <c r="I348" s="437">
        <f t="shared" si="69"/>
        <v>10859014</v>
      </c>
      <c r="J348" s="826">
        <f aca="true" t="shared" si="71" ref="J348:W348">J345+J347</f>
        <v>45648824</v>
      </c>
      <c r="K348" s="826">
        <f t="shared" si="71"/>
        <v>38801500</v>
      </c>
      <c r="L348" s="826">
        <f t="shared" si="71"/>
        <v>36753000</v>
      </c>
      <c r="M348" s="826">
        <f t="shared" si="71"/>
        <v>2048500</v>
      </c>
      <c r="N348" s="826">
        <f t="shared" si="71"/>
        <v>6847324</v>
      </c>
      <c r="O348" s="826">
        <f t="shared" si="71"/>
        <v>0</v>
      </c>
      <c r="P348" s="826">
        <f t="shared" si="71"/>
        <v>0</v>
      </c>
      <c r="Q348" s="826">
        <f t="shared" si="71"/>
        <v>0</v>
      </c>
      <c r="R348" s="826">
        <f t="shared" si="71"/>
        <v>6847324</v>
      </c>
      <c r="S348" s="826">
        <f t="shared" si="71"/>
        <v>6485824</v>
      </c>
      <c r="T348" s="826">
        <f t="shared" si="71"/>
        <v>361500</v>
      </c>
      <c r="U348" s="826">
        <f t="shared" si="71"/>
        <v>0</v>
      </c>
      <c r="V348" s="826">
        <f t="shared" si="71"/>
        <v>0</v>
      </c>
      <c r="W348" s="826">
        <f t="shared" si="71"/>
        <v>0</v>
      </c>
    </row>
    <row r="349" spans="1:23" ht="15" customHeight="1">
      <c r="A349" s="857"/>
      <c r="B349" s="857"/>
      <c r="C349" s="857"/>
      <c r="D349" s="857"/>
      <c r="E349" s="857"/>
      <c r="F349" s="857"/>
      <c r="G349" s="857"/>
      <c r="H349" s="437">
        <f t="shared" si="69"/>
        <v>0</v>
      </c>
      <c r="I349" s="437">
        <f t="shared" si="69"/>
        <v>0</v>
      </c>
      <c r="J349" s="826"/>
      <c r="K349" s="826"/>
      <c r="L349" s="826"/>
      <c r="M349" s="826"/>
      <c r="N349" s="826"/>
      <c r="O349" s="826"/>
      <c r="P349" s="826"/>
      <c r="Q349" s="826"/>
      <c r="R349" s="826"/>
      <c r="S349" s="826"/>
      <c r="T349" s="826"/>
      <c r="U349" s="826"/>
      <c r="V349" s="826"/>
      <c r="W349" s="826"/>
    </row>
    <row r="350" spans="1:24" s="439" customFormat="1" ht="4.5" customHeight="1">
      <c r="A350" s="832"/>
      <c r="B350" s="832"/>
      <c r="C350" s="832"/>
      <c r="D350" s="832"/>
      <c r="E350" s="832"/>
      <c r="F350" s="832"/>
      <c r="G350" s="832"/>
      <c r="H350" s="832"/>
      <c r="I350" s="832"/>
      <c r="J350" s="832"/>
      <c r="K350" s="832"/>
      <c r="L350" s="832"/>
      <c r="M350" s="832"/>
      <c r="N350" s="832"/>
      <c r="O350" s="832"/>
      <c r="P350" s="832"/>
      <c r="Q350" s="832"/>
      <c r="R350" s="832"/>
      <c r="S350" s="832"/>
      <c r="T350" s="832"/>
      <c r="U350" s="832"/>
      <c r="V350" s="832"/>
      <c r="W350" s="832"/>
      <c r="X350" s="438"/>
    </row>
    <row r="351" spans="1:24" s="422" customFormat="1" ht="19.5" customHeight="1">
      <c r="A351" s="854" t="s">
        <v>751</v>
      </c>
      <c r="B351" s="855"/>
      <c r="C351" s="855"/>
      <c r="D351" s="855"/>
      <c r="E351" s="855"/>
      <c r="F351" s="855"/>
      <c r="G351" s="855"/>
      <c r="H351" s="855"/>
      <c r="I351" s="855"/>
      <c r="J351" s="855"/>
      <c r="K351" s="855"/>
      <c r="L351" s="855"/>
      <c r="M351" s="855"/>
      <c r="N351" s="855"/>
      <c r="O351" s="855"/>
      <c r="P351" s="855"/>
      <c r="Q351" s="855"/>
      <c r="R351" s="855"/>
      <c r="S351" s="855"/>
      <c r="T351" s="855"/>
      <c r="U351" s="855"/>
      <c r="V351" s="855"/>
      <c r="W351" s="856"/>
      <c r="X351" s="423"/>
    </row>
    <row r="352" spans="1:24" s="439" customFormat="1" ht="4.5" customHeight="1">
      <c r="A352" s="832"/>
      <c r="B352" s="832"/>
      <c r="C352" s="832"/>
      <c r="D352" s="832"/>
      <c r="E352" s="832"/>
      <c r="F352" s="832"/>
      <c r="G352" s="832"/>
      <c r="H352" s="832"/>
      <c r="I352" s="832"/>
      <c r="J352" s="832"/>
      <c r="K352" s="832"/>
      <c r="L352" s="832"/>
      <c r="M352" s="832"/>
      <c r="N352" s="832"/>
      <c r="O352" s="832"/>
      <c r="P352" s="832"/>
      <c r="Q352" s="832"/>
      <c r="R352" s="832"/>
      <c r="S352" s="832"/>
      <c r="T352" s="832"/>
      <c r="U352" s="832"/>
      <c r="V352" s="832"/>
      <c r="W352" s="832"/>
      <c r="X352" s="438"/>
    </row>
    <row r="353" spans="1:23" ht="16.5" customHeight="1" hidden="1">
      <c r="A353" s="832">
        <v>1</v>
      </c>
      <c r="B353" s="833" t="s">
        <v>752</v>
      </c>
      <c r="C353" s="851" t="s">
        <v>753</v>
      </c>
      <c r="D353" s="835" t="s">
        <v>754</v>
      </c>
      <c r="E353" s="831" t="s">
        <v>598</v>
      </c>
      <c r="F353" s="831" t="s">
        <v>725</v>
      </c>
      <c r="G353" s="831" t="s">
        <v>755</v>
      </c>
      <c r="H353" s="425" t="s">
        <v>75</v>
      </c>
      <c r="I353" s="425" t="s">
        <v>75</v>
      </c>
      <c r="J353" s="830">
        <f>K353+N353</f>
        <v>923612</v>
      </c>
      <c r="K353" s="830">
        <f>L353+M353</f>
        <v>0</v>
      </c>
      <c r="L353" s="828">
        <v>0</v>
      </c>
      <c r="M353" s="828">
        <v>0</v>
      </c>
      <c r="N353" s="830">
        <f>O353+R353+U353</f>
        <v>923612</v>
      </c>
      <c r="O353" s="830">
        <f>P353+Q353</f>
        <v>923612</v>
      </c>
      <c r="P353" s="828">
        <v>0</v>
      </c>
      <c r="Q353" s="828">
        <v>923612</v>
      </c>
      <c r="R353" s="830">
        <f>S353+T353</f>
        <v>0</v>
      </c>
      <c r="S353" s="828">
        <v>0</v>
      </c>
      <c r="T353" s="828">
        <v>0</v>
      </c>
      <c r="U353" s="830">
        <f>V353+W353</f>
        <v>0</v>
      </c>
      <c r="V353" s="828">
        <v>0</v>
      </c>
      <c r="W353" s="828">
        <v>0</v>
      </c>
    </row>
    <row r="354" spans="1:23" ht="16.5" customHeight="1" hidden="1">
      <c r="A354" s="832"/>
      <c r="B354" s="833"/>
      <c r="C354" s="852"/>
      <c r="D354" s="835"/>
      <c r="E354" s="831"/>
      <c r="F354" s="831"/>
      <c r="G354" s="831"/>
      <c r="H354" s="425" t="s">
        <v>75</v>
      </c>
      <c r="I354" s="425" t="s">
        <v>75</v>
      </c>
      <c r="J354" s="830"/>
      <c r="K354" s="830"/>
      <c r="L354" s="828"/>
      <c r="M354" s="828"/>
      <c r="N354" s="830"/>
      <c r="O354" s="830"/>
      <c r="P354" s="828"/>
      <c r="Q354" s="828"/>
      <c r="R354" s="830"/>
      <c r="S354" s="828"/>
      <c r="T354" s="828"/>
      <c r="U354" s="830"/>
      <c r="V354" s="828"/>
      <c r="W354" s="828"/>
    </row>
    <row r="355" spans="1:23" ht="16.5" customHeight="1" hidden="1">
      <c r="A355" s="832"/>
      <c r="B355" s="833"/>
      <c r="C355" s="852"/>
      <c r="D355" s="835"/>
      <c r="E355" s="831"/>
      <c r="F355" s="831"/>
      <c r="G355" s="831"/>
      <c r="H355" s="425" t="s">
        <v>75</v>
      </c>
      <c r="I355" s="425" t="s">
        <v>75</v>
      </c>
      <c r="J355" s="427">
        <f>K355+N355</f>
        <v>0</v>
      </c>
      <c r="K355" s="427">
        <f>L355+M355</f>
        <v>0</v>
      </c>
      <c r="L355" s="428">
        <v>0</v>
      </c>
      <c r="M355" s="428">
        <v>0</v>
      </c>
      <c r="N355" s="427">
        <f>O355+R355+U355</f>
        <v>0</v>
      </c>
      <c r="O355" s="427">
        <f>P355+Q355</f>
        <v>0</v>
      </c>
      <c r="P355" s="428">
        <v>0</v>
      </c>
      <c r="Q355" s="428">
        <v>0</v>
      </c>
      <c r="R355" s="427">
        <f>S355+T355</f>
        <v>0</v>
      </c>
      <c r="S355" s="428">
        <v>0</v>
      </c>
      <c r="T355" s="428">
        <v>0</v>
      </c>
      <c r="U355" s="427">
        <f>V355+W355</f>
        <v>0</v>
      </c>
      <c r="V355" s="428">
        <v>0</v>
      </c>
      <c r="W355" s="428">
        <v>0</v>
      </c>
    </row>
    <row r="356" spans="1:23" ht="16.5" customHeight="1" hidden="1">
      <c r="A356" s="832"/>
      <c r="B356" s="833"/>
      <c r="C356" s="852"/>
      <c r="D356" s="835"/>
      <c r="E356" s="831"/>
      <c r="F356" s="831"/>
      <c r="G356" s="831"/>
      <c r="H356" s="425" t="s">
        <v>75</v>
      </c>
      <c r="I356" s="425" t="s">
        <v>75</v>
      </c>
      <c r="J356" s="830">
        <f aca="true" t="shared" si="72" ref="J356:W356">J353+J355</f>
        <v>923612</v>
      </c>
      <c r="K356" s="830">
        <f t="shared" si="72"/>
        <v>0</v>
      </c>
      <c r="L356" s="828">
        <f t="shared" si="72"/>
        <v>0</v>
      </c>
      <c r="M356" s="828">
        <f t="shared" si="72"/>
        <v>0</v>
      </c>
      <c r="N356" s="830">
        <f t="shared" si="72"/>
        <v>923612</v>
      </c>
      <c r="O356" s="830">
        <f t="shared" si="72"/>
        <v>923612</v>
      </c>
      <c r="P356" s="828">
        <f t="shared" si="72"/>
        <v>0</v>
      </c>
      <c r="Q356" s="828">
        <f t="shared" si="72"/>
        <v>923612</v>
      </c>
      <c r="R356" s="830">
        <f t="shared" si="72"/>
        <v>0</v>
      </c>
      <c r="S356" s="828">
        <f t="shared" si="72"/>
        <v>0</v>
      </c>
      <c r="T356" s="828">
        <f t="shared" si="72"/>
        <v>0</v>
      </c>
      <c r="U356" s="830">
        <f t="shared" si="72"/>
        <v>0</v>
      </c>
      <c r="V356" s="828">
        <f t="shared" si="72"/>
        <v>0</v>
      </c>
      <c r="W356" s="828">
        <f t="shared" si="72"/>
        <v>0</v>
      </c>
    </row>
    <row r="357" spans="1:23" ht="16.5" customHeight="1" hidden="1">
      <c r="A357" s="832"/>
      <c r="B357" s="833"/>
      <c r="C357" s="853"/>
      <c r="D357" s="835"/>
      <c r="E357" s="831"/>
      <c r="F357" s="831"/>
      <c r="G357" s="831"/>
      <c r="H357" s="425" t="s">
        <v>75</v>
      </c>
      <c r="I357" s="425" t="s">
        <v>75</v>
      </c>
      <c r="J357" s="830"/>
      <c r="K357" s="830"/>
      <c r="L357" s="828"/>
      <c r="M357" s="828"/>
      <c r="N357" s="830"/>
      <c r="O357" s="830"/>
      <c r="P357" s="828"/>
      <c r="Q357" s="828"/>
      <c r="R357" s="830"/>
      <c r="S357" s="828"/>
      <c r="T357" s="828"/>
      <c r="U357" s="830"/>
      <c r="V357" s="828"/>
      <c r="W357" s="828"/>
    </row>
    <row r="358" spans="1:23" ht="17.25" customHeight="1">
      <c r="A358" s="832">
        <v>1</v>
      </c>
      <c r="B358" s="833" t="s">
        <v>756</v>
      </c>
      <c r="C358" s="851" t="s">
        <v>757</v>
      </c>
      <c r="D358" s="835" t="s">
        <v>758</v>
      </c>
      <c r="E358" s="831" t="s">
        <v>598</v>
      </c>
      <c r="F358" s="831" t="s">
        <v>747</v>
      </c>
      <c r="G358" s="831" t="s">
        <v>755</v>
      </c>
      <c r="H358" s="425" t="s">
        <v>75</v>
      </c>
      <c r="I358" s="425" t="s">
        <v>75</v>
      </c>
      <c r="J358" s="830">
        <f>K358+N358</f>
        <v>9541683</v>
      </c>
      <c r="K358" s="830">
        <f>L358+M358</f>
        <v>0</v>
      </c>
      <c r="L358" s="828">
        <v>0</v>
      </c>
      <c r="M358" s="828">
        <v>0</v>
      </c>
      <c r="N358" s="830">
        <f>O358+R358+U358</f>
        <v>9541683</v>
      </c>
      <c r="O358" s="830">
        <f>P358+Q358</f>
        <v>9541683</v>
      </c>
      <c r="P358" s="828">
        <v>29925</v>
      </c>
      <c r="Q358" s="828">
        <v>9511758</v>
      </c>
      <c r="R358" s="830">
        <f>S358+T358</f>
        <v>0</v>
      </c>
      <c r="S358" s="828">
        <v>0</v>
      </c>
      <c r="T358" s="828">
        <v>0</v>
      </c>
      <c r="U358" s="830">
        <f>V358+W358</f>
        <v>0</v>
      </c>
      <c r="V358" s="828">
        <v>0</v>
      </c>
      <c r="W358" s="828">
        <v>0</v>
      </c>
    </row>
    <row r="359" spans="1:23" ht="17.25" customHeight="1">
      <c r="A359" s="832"/>
      <c r="B359" s="833"/>
      <c r="C359" s="852"/>
      <c r="D359" s="835"/>
      <c r="E359" s="831"/>
      <c r="F359" s="831"/>
      <c r="G359" s="831"/>
      <c r="H359" s="425" t="s">
        <v>75</v>
      </c>
      <c r="I359" s="425" t="s">
        <v>75</v>
      </c>
      <c r="J359" s="830"/>
      <c r="K359" s="830"/>
      <c r="L359" s="828"/>
      <c r="M359" s="828"/>
      <c r="N359" s="830"/>
      <c r="O359" s="830"/>
      <c r="P359" s="828"/>
      <c r="Q359" s="828"/>
      <c r="R359" s="830"/>
      <c r="S359" s="828"/>
      <c r="T359" s="828"/>
      <c r="U359" s="830"/>
      <c r="V359" s="828"/>
      <c r="W359" s="828"/>
    </row>
    <row r="360" spans="1:23" ht="17.25" customHeight="1">
      <c r="A360" s="832"/>
      <c r="B360" s="833"/>
      <c r="C360" s="852"/>
      <c r="D360" s="835"/>
      <c r="E360" s="831"/>
      <c r="F360" s="831"/>
      <c r="G360" s="831"/>
      <c r="H360" s="425" t="s">
        <v>75</v>
      </c>
      <c r="I360" s="425" t="s">
        <v>75</v>
      </c>
      <c r="J360" s="427">
        <f>K360+N360</f>
        <v>100000</v>
      </c>
      <c r="K360" s="427">
        <f>L360+M360</f>
        <v>0</v>
      </c>
      <c r="L360" s="428">
        <v>0</v>
      </c>
      <c r="M360" s="428">
        <v>0</v>
      </c>
      <c r="N360" s="427">
        <f>O360+R360+U360</f>
        <v>100000</v>
      </c>
      <c r="O360" s="427">
        <f>P360+Q360</f>
        <v>100000</v>
      </c>
      <c r="P360" s="428">
        <v>0</v>
      </c>
      <c r="Q360" s="428">
        <v>100000</v>
      </c>
      <c r="R360" s="427">
        <f>S360+T360</f>
        <v>0</v>
      </c>
      <c r="S360" s="428">
        <v>0</v>
      </c>
      <c r="T360" s="428">
        <v>0</v>
      </c>
      <c r="U360" s="427">
        <f>V360+W360</f>
        <v>0</v>
      </c>
      <c r="V360" s="428">
        <v>0</v>
      </c>
      <c r="W360" s="428">
        <v>0</v>
      </c>
    </row>
    <row r="361" spans="1:23" ht="17.25" customHeight="1">
      <c r="A361" s="832"/>
      <c r="B361" s="833"/>
      <c r="C361" s="852"/>
      <c r="D361" s="835"/>
      <c r="E361" s="831"/>
      <c r="F361" s="831"/>
      <c r="G361" s="831"/>
      <c r="H361" s="425" t="s">
        <v>75</v>
      </c>
      <c r="I361" s="425" t="s">
        <v>75</v>
      </c>
      <c r="J361" s="830">
        <f aca="true" t="shared" si="73" ref="J361:W361">J358+J360</f>
        <v>9641683</v>
      </c>
      <c r="K361" s="830">
        <f t="shared" si="73"/>
        <v>0</v>
      </c>
      <c r="L361" s="828">
        <f t="shared" si="73"/>
        <v>0</v>
      </c>
      <c r="M361" s="828">
        <f t="shared" si="73"/>
        <v>0</v>
      </c>
      <c r="N361" s="830">
        <f t="shared" si="73"/>
        <v>9641683</v>
      </c>
      <c r="O361" s="830">
        <f t="shared" si="73"/>
        <v>9641683</v>
      </c>
      <c r="P361" s="828">
        <f t="shared" si="73"/>
        <v>29925</v>
      </c>
      <c r="Q361" s="828">
        <f t="shared" si="73"/>
        <v>9611758</v>
      </c>
      <c r="R361" s="830">
        <f t="shared" si="73"/>
        <v>0</v>
      </c>
      <c r="S361" s="828">
        <f t="shared" si="73"/>
        <v>0</v>
      </c>
      <c r="T361" s="828">
        <f t="shared" si="73"/>
        <v>0</v>
      </c>
      <c r="U361" s="830">
        <f t="shared" si="73"/>
        <v>0</v>
      </c>
      <c r="V361" s="828">
        <f t="shared" si="73"/>
        <v>0</v>
      </c>
      <c r="W361" s="828">
        <f t="shared" si="73"/>
        <v>0</v>
      </c>
    </row>
    <row r="362" spans="1:23" ht="17.25" customHeight="1">
      <c r="A362" s="832"/>
      <c r="B362" s="833"/>
      <c r="C362" s="853"/>
      <c r="D362" s="835"/>
      <c r="E362" s="831"/>
      <c r="F362" s="831"/>
      <c r="G362" s="831"/>
      <c r="H362" s="425" t="s">
        <v>75</v>
      </c>
      <c r="I362" s="425" t="s">
        <v>75</v>
      </c>
      <c r="J362" s="830"/>
      <c r="K362" s="830"/>
      <c r="L362" s="828"/>
      <c r="M362" s="828"/>
      <c r="N362" s="830"/>
      <c r="O362" s="830"/>
      <c r="P362" s="828"/>
      <c r="Q362" s="828"/>
      <c r="R362" s="830"/>
      <c r="S362" s="828"/>
      <c r="T362" s="828"/>
      <c r="U362" s="830"/>
      <c r="V362" s="828"/>
      <c r="W362" s="828"/>
    </row>
    <row r="363" spans="1:23" ht="15" customHeight="1" hidden="1">
      <c r="A363" s="832">
        <v>3</v>
      </c>
      <c r="B363" s="833" t="s">
        <v>759</v>
      </c>
      <c r="C363" s="851" t="s">
        <v>760</v>
      </c>
      <c r="D363" s="835" t="s">
        <v>761</v>
      </c>
      <c r="E363" s="831" t="s">
        <v>598</v>
      </c>
      <c r="F363" s="831" t="s">
        <v>702</v>
      </c>
      <c r="G363" s="831" t="s">
        <v>755</v>
      </c>
      <c r="H363" s="425" t="s">
        <v>75</v>
      </c>
      <c r="I363" s="425" t="s">
        <v>75</v>
      </c>
      <c r="J363" s="830">
        <f>K363+N363</f>
        <v>1480532</v>
      </c>
      <c r="K363" s="830">
        <f>L363+M363</f>
        <v>0</v>
      </c>
      <c r="L363" s="828">
        <v>0</v>
      </c>
      <c r="M363" s="828">
        <v>0</v>
      </c>
      <c r="N363" s="830">
        <f>O363+R363+U363</f>
        <v>1480532</v>
      </c>
      <c r="O363" s="830">
        <f>P363+Q363</f>
        <v>1480532</v>
      </c>
      <c r="P363" s="828">
        <v>0</v>
      </c>
      <c r="Q363" s="828">
        <v>1480532</v>
      </c>
      <c r="R363" s="830">
        <f>S363+T363</f>
        <v>0</v>
      </c>
      <c r="S363" s="828">
        <v>0</v>
      </c>
      <c r="T363" s="828">
        <v>0</v>
      </c>
      <c r="U363" s="830">
        <f>V363+W363</f>
        <v>0</v>
      </c>
      <c r="V363" s="828">
        <v>0</v>
      </c>
      <c r="W363" s="828">
        <v>0</v>
      </c>
    </row>
    <row r="364" spans="1:23" ht="15" customHeight="1" hidden="1">
      <c r="A364" s="832"/>
      <c r="B364" s="833"/>
      <c r="C364" s="852"/>
      <c r="D364" s="835"/>
      <c r="E364" s="831"/>
      <c r="F364" s="831"/>
      <c r="G364" s="831"/>
      <c r="H364" s="425" t="s">
        <v>75</v>
      </c>
      <c r="I364" s="425" t="s">
        <v>75</v>
      </c>
      <c r="J364" s="830"/>
      <c r="K364" s="830"/>
      <c r="L364" s="828"/>
      <c r="M364" s="828"/>
      <c r="N364" s="830"/>
      <c r="O364" s="830"/>
      <c r="P364" s="828"/>
      <c r="Q364" s="828"/>
      <c r="R364" s="830"/>
      <c r="S364" s="828"/>
      <c r="T364" s="828"/>
      <c r="U364" s="830"/>
      <c r="V364" s="828"/>
      <c r="W364" s="828"/>
    </row>
    <row r="365" spans="1:23" ht="15" customHeight="1" hidden="1">
      <c r="A365" s="832"/>
      <c r="B365" s="833"/>
      <c r="C365" s="852"/>
      <c r="D365" s="835"/>
      <c r="E365" s="831"/>
      <c r="F365" s="831"/>
      <c r="G365" s="831"/>
      <c r="H365" s="425" t="s">
        <v>75</v>
      </c>
      <c r="I365" s="425" t="s">
        <v>75</v>
      </c>
      <c r="J365" s="427">
        <f>K365+N365</f>
        <v>0</v>
      </c>
      <c r="K365" s="427">
        <f>L365+M365</f>
        <v>0</v>
      </c>
      <c r="L365" s="428">
        <v>0</v>
      </c>
      <c r="M365" s="428">
        <v>0</v>
      </c>
      <c r="N365" s="427">
        <f>O365+R365+U365</f>
        <v>0</v>
      </c>
      <c r="O365" s="427">
        <f>P365+Q365</f>
        <v>0</v>
      </c>
      <c r="P365" s="428">
        <v>0</v>
      </c>
      <c r="Q365" s="428">
        <v>0</v>
      </c>
      <c r="R365" s="427">
        <f>S365+T365</f>
        <v>0</v>
      </c>
      <c r="S365" s="428">
        <v>0</v>
      </c>
      <c r="T365" s="428">
        <v>0</v>
      </c>
      <c r="U365" s="427">
        <f>V365+W365</f>
        <v>0</v>
      </c>
      <c r="V365" s="428">
        <v>0</v>
      </c>
      <c r="W365" s="428">
        <v>0</v>
      </c>
    </row>
    <row r="366" spans="1:23" ht="15" customHeight="1" hidden="1">
      <c r="A366" s="832"/>
      <c r="B366" s="833"/>
      <c r="C366" s="852"/>
      <c r="D366" s="835"/>
      <c r="E366" s="831"/>
      <c r="F366" s="831"/>
      <c r="G366" s="831"/>
      <c r="H366" s="425" t="s">
        <v>75</v>
      </c>
      <c r="I366" s="425" t="s">
        <v>75</v>
      </c>
      <c r="J366" s="830">
        <f aca="true" t="shared" si="74" ref="J366:W366">J363+J365</f>
        <v>1480532</v>
      </c>
      <c r="K366" s="830">
        <f t="shared" si="74"/>
        <v>0</v>
      </c>
      <c r="L366" s="828">
        <f t="shared" si="74"/>
        <v>0</v>
      </c>
      <c r="M366" s="828">
        <f t="shared" si="74"/>
        <v>0</v>
      </c>
      <c r="N366" s="830">
        <f t="shared" si="74"/>
        <v>1480532</v>
      </c>
      <c r="O366" s="830">
        <f t="shared" si="74"/>
        <v>1480532</v>
      </c>
      <c r="P366" s="828">
        <f t="shared" si="74"/>
        <v>0</v>
      </c>
      <c r="Q366" s="828">
        <f t="shared" si="74"/>
        <v>1480532</v>
      </c>
      <c r="R366" s="830">
        <f t="shared" si="74"/>
        <v>0</v>
      </c>
      <c r="S366" s="828">
        <f t="shared" si="74"/>
        <v>0</v>
      </c>
      <c r="T366" s="828">
        <f t="shared" si="74"/>
        <v>0</v>
      </c>
      <c r="U366" s="830">
        <f t="shared" si="74"/>
        <v>0</v>
      </c>
      <c r="V366" s="828">
        <f t="shared" si="74"/>
        <v>0</v>
      </c>
      <c r="W366" s="828">
        <f t="shared" si="74"/>
        <v>0</v>
      </c>
    </row>
    <row r="367" spans="1:23" ht="15" customHeight="1" hidden="1">
      <c r="A367" s="832"/>
      <c r="B367" s="833"/>
      <c r="C367" s="853"/>
      <c r="D367" s="835"/>
      <c r="E367" s="831"/>
      <c r="F367" s="831"/>
      <c r="G367" s="831"/>
      <c r="H367" s="425" t="s">
        <v>75</v>
      </c>
      <c r="I367" s="425" t="s">
        <v>75</v>
      </c>
      <c r="J367" s="830"/>
      <c r="K367" s="830"/>
      <c r="L367" s="828"/>
      <c r="M367" s="828"/>
      <c r="N367" s="830"/>
      <c r="O367" s="830"/>
      <c r="P367" s="828"/>
      <c r="Q367" s="828"/>
      <c r="R367" s="830"/>
      <c r="S367" s="828"/>
      <c r="T367" s="828"/>
      <c r="U367" s="830"/>
      <c r="V367" s="828"/>
      <c r="W367" s="828"/>
    </row>
    <row r="368" spans="1:23" ht="15" customHeight="1" hidden="1">
      <c r="A368" s="832">
        <v>4</v>
      </c>
      <c r="B368" s="833" t="s">
        <v>762</v>
      </c>
      <c r="C368" s="851" t="s">
        <v>763</v>
      </c>
      <c r="D368" s="835" t="s">
        <v>764</v>
      </c>
      <c r="E368" s="831" t="s">
        <v>598</v>
      </c>
      <c r="F368" s="831" t="s">
        <v>765</v>
      </c>
      <c r="G368" s="831" t="s">
        <v>755</v>
      </c>
      <c r="H368" s="425" t="s">
        <v>75</v>
      </c>
      <c r="I368" s="425" t="s">
        <v>75</v>
      </c>
      <c r="J368" s="830">
        <f>K368+N368</f>
        <v>1025231</v>
      </c>
      <c r="K368" s="830">
        <f>L368+M368</f>
        <v>0</v>
      </c>
      <c r="L368" s="828">
        <v>0</v>
      </c>
      <c r="M368" s="828">
        <v>0</v>
      </c>
      <c r="N368" s="830">
        <f>O368+R368+U368</f>
        <v>1025231</v>
      </c>
      <c r="O368" s="830">
        <f>P368+Q368</f>
        <v>1025231</v>
      </c>
      <c r="P368" s="828">
        <v>0</v>
      </c>
      <c r="Q368" s="828">
        <v>1025231</v>
      </c>
      <c r="R368" s="830">
        <f>S368+T368</f>
        <v>0</v>
      </c>
      <c r="S368" s="828">
        <v>0</v>
      </c>
      <c r="T368" s="828">
        <v>0</v>
      </c>
      <c r="U368" s="830">
        <f>V368+W368</f>
        <v>0</v>
      </c>
      <c r="V368" s="828">
        <v>0</v>
      </c>
      <c r="W368" s="828">
        <v>0</v>
      </c>
    </row>
    <row r="369" spans="1:23" ht="15" customHeight="1" hidden="1">
      <c r="A369" s="832"/>
      <c r="B369" s="833"/>
      <c r="C369" s="852"/>
      <c r="D369" s="835"/>
      <c r="E369" s="831"/>
      <c r="F369" s="831"/>
      <c r="G369" s="831"/>
      <c r="H369" s="425" t="s">
        <v>75</v>
      </c>
      <c r="I369" s="425" t="s">
        <v>75</v>
      </c>
      <c r="J369" s="830"/>
      <c r="K369" s="830"/>
      <c r="L369" s="828"/>
      <c r="M369" s="828"/>
      <c r="N369" s="830"/>
      <c r="O369" s="830"/>
      <c r="P369" s="828"/>
      <c r="Q369" s="828"/>
      <c r="R369" s="830"/>
      <c r="S369" s="828"/>
      <c r="T369" s="828"/>
      <c r="U369" s="830"/>
      <c r="V369" s="828"/>
      <c r="W369" s="828"/>
    </row>
    <row r="370" spans="1:23" ht="15" customHeight="1" hidden="1">
      <c r="A370" s="832"/>
      <c r="B370" s="833"/>
      <c r="C370" s="852"/>
      <c r="D370" s="835"/>
      <c r="E370" s="831"/>
      <c r="F370" s="831"/>
      <c r="G370" s="831"/>
      <c r="H370" s="425" t="s">
        <v>75</v>
      </c>
      <c r="I370" s="425" t="s">
        <v>75</v>
      </c>
      <c r="J370" s="427">
        <f>K370+N370</f>
        <v>0</v>
      </c>
      <c r="K370" s="427">
        <f>L370+M370</f>
        <v>0</v>
      </c>
      <c r="L370" s="428">
        <v>0</v>
      </c>
      <c r="M370" s="428">
        <v>0</v>
      </c>
      <c r="N370" s="427">
        <f>O370+R370+U370</f>
        <v>0</v>
      </c>
      <c r="O370" s="427">
        <f>P370+Q370</f>
        <v>0</v>
      </c>
      <c r="P370" s="428">
        <v>0</v>
      </c>
      <c r="Q370" s="428">
        <v>0</v>
      </c>
      <c r="R370" s="427">
        <f>S370+T370</f>
        <v>0</v>
      </c>
      <c r="S370" s="428">
        <v>0</v>
      </c>
      <c r="T370" s="428">
        <v>0</v>
      </c>
      <c r="U370" s="427">
        <f>V370+W370</f>
        <v>0</v>
      </c>
      <c r="V370" s="428">
        <v>0</v>
      </c>
      <c r="W370" s="428">
        <v>0</v>
      </c>
    </row>
    <row r="371" spans="1:23" ht="15" customHeight="1" hidden="1">
      <c r="A371" s="832"/>
      <c r="B371" s="833"/>
      <c r="C371" s="852"/>
      <c r="D371" s="835"/>
      <c r="E371" s="831"/>
      <c r="F371" s="831"/>
      <c r="G371" s="831"/>
      <c r="H371" s="425" t="s">
        <v>75</v>
      </c>
      <c r="I371" s="425" t="s">
        <v>75</v>
      </c>
      <c r="J371" s="830">
        <f aca="true" t="shared" si="75" ref="J371:W371">J368+J370</f>
        <v>1025231</v>
      </c>
      <c r="K371" s="830">
        <f t="shared" si="75"/>
        <v>0</v>
      </c>
      <c r="L371" s="828">
        <f t="shared" si="75"/>
        <v>0</v>
      </c>
      <c r="M371" s="828">
        <f t="shared" si="75"/>
        <v>0</v>
      </c>
      <c r="N371" s="830">
        <f t="shared" si="75"/>
        <v>1025231</v>
      </c>
      <c r="O371" s="830">
        <f t="shared" si="75"/>
        <v>1025231</v>
      </c>
      <c r="P371" s="828">
        <f t="shared" si="75"/>
        <v>0</v>
      </c>
      <c r="Q371" s="828">
        <f t="shared" si="75"/>
        <v>1025231</v>
      </c>
      <c r="R371" s="830">
        <f t="shared" si="75"/>
        <v>0</v>
      </c>
      <c r="S371" s="828">
        <f t="shared" si="75"/>
        <v>0</v>
      </c>
      <c r="T371" s="828">
        <f t="shared" si="75"/>
        <v>0</v>
      </c>
      <c r="U371" s="830">
        <f t="shared" si="75"/>
        <v>0</v>
      </c>
      <c r="V371" s="828">
        <f t="shared" si="75"/>
        <v>0</v>
      </c>
      <c r="W371" s="828">
        <f t="shared" si="75"/>
        <v>0</v>
      </c>
    </row>
    <row r="372" spans="1:23" ht="15" customHeight="1" hidden="1">
      <c r="A372" s="832"/>
      <c r="B372" s="833"/>
      <c r="C372" s="853"/>
      <c r="D372" s="835"/>
      <c r="E372" s="831"/>
      <c r="F372" s="831"/>
      <c r="G372" s="831"/>
      <c r="H372" s="425" t="s">
        <v>75</v>
      </c>
      <c r="I372" s="425" t="s">
        <v>75</v>
      </c>
      <c r="J372" s="830"/>
      <c r="K372" s="830"/>
      <c r="L372" s="828"/>
      <c r="M372" s="828"/>
      <c r="N372" s="830"/>
      <c r="O372" s="830"/>
      <c r="P372" s="828"/>
      <c r="Q372" s="828"/>
      <c r="R372" s="830"/>
      <c r="S372" s="828"/>
      <c r="T372" s="828"/>
      <c r="U372" s="830"/>
      <c r="V372" s="828"/>
      <c r="W372" s="828"/>
    </row>
    <row r="373" spans="1:23" ht="15" customHeight="1" hidden="1">
      <c r="A373" s="832">
        <v>2</v>
      </c>
      <c r="B373" s="833" t="s">
        <v>766</v>
      </c>
      <c r="C373" s="851" t="s">
        <v>763</v>
      </c>
      <c r="D373" s="835" t="s">
        <v>767</v>
      </c>
      <c r="E373" s="831" t="s">
        <v>598</v>
      </c>
      <c r="F373" s="831" t="s">
        <v>765</v>
      </c>
      <c r="G373" s="831" t="s">
        <v>755</v>
      </c>
      <c r="H373" s="425" t="s">
        <v>75</v>
      </c>
      <c r="I373" s="425" t="s">
        <v>75</v>
      </c>
      <c r="J373" s="830">
        <f>K373+N373</f>
        <v>3338214</v>
      </c>
      <c r="K373" s="830">
        <f>L373+M373</f>
        <v>0</v>
      </c>
      <c r="L373" s="828">
        <v>0</v>
      </c>
      <c r="M373" s="828">
        <v>0</v>
      </c>
      <c r="N373" s="830">
        <f>O373+R373+U373</f>
        <v>3338214</v>
      </c>
      <c r="O373" s="830">
        <f>P373+Q373</f>
        <v>3338214</v>
      </c>
      <c r="P373" s="828">
        <v>8910</v>
      </c>
      <c r="Q373" s="828">
        <v>3329304</v>
      </c>
      <c r="R373" s="830">
        <f>S373+T373</f>
        <v>0</v>
      </c>
      <c r="S373" s="828">
        <v>0</v>
      </c>
      <c r="T373" s="828">
        <v>0</v>
      </c>
      <c r="U373" s="830">
        <f>V373+W373</f>
        <v>0</v>
      </c>
      <c r="V373" s="828">
        <v>0</v>
      </c>
      <c r="W373" s="828">
        <v>0</v>
      </c>
    </row>
    <row r="374" spans="1:23" ht="15" customHeight="1" hidden="1">
      <c r="A374" s="832"/>
      <c r="B374" s="833"/>
      <c r="C374" s="852"/>
      <c r="D374" s="835"/>
      <c r="E374" s="831"/>
      <c r="F374" s="831"/>
      <c r="G374" s="831"/>
      <c r="H374" s="425" t="s">
        <v>75</v>
      </c>
      <c r="I374" s="425" t="s">
        <v>75</v>
      </c>
      <c r="J374" s="830"/>
      <c r="K374" s="830"/>
      <c r="L374" s="828"/>
      <c r="M374" s="828"/>
      <c r="N374" s="830"/>
      <c r="O374" s="830"/>
      <c r="P374" s="828"/>
      <c r="Q374" s="828"/>
      <c r="R374" s="830"/>
      <c r="S374" s="828"/>
      <c r="T374" s="828"/>
      <c r="U374" s="830"/>
      <c r="V374" s="828"/>
      <c r="W374" s="828"/>
    </row>
    <row r="375" spans="1:23" ht="15" customHeight="1" hidden="1">
      <c r="A375" s="832"/>
      <c r="B375" s="833"/>
      <c r="C375" s="852"/>
      <c r="D375" s="835"/>
      <c r="E375" s="831"/>
      <c r="F375" s="831"/>
      <c r="G375" s="831"/>
      <c r="H375" s="425" t="s">
        <v>75</v>
      </c>
      <c r="I375" s="425" t="s">
        <v>75</v>
      </c>
      <c r="J375" s="427">
        <f>K375+N375</f>
        <v>0</v>
      </c>
      <c r="K375" s="427">
        <f>L375+M375</f>
        <v>0</v>
      </c>
      <c r="L375" s="428">
        <v>0</v>
      </c>
      <c r="M375" s="428">
        <v>0</v>
      </c>
      <c r="N375" s="427">
        <f>O375+R375+U375</f>
        <v>0</v>
      </c>
      <c r="O375" s="427">
        <f>P375+Q375</f>
        <v>0</v>
      </c>
      <c r="P375" s="428">
        <v>0</v>
      </c>
      <c r="Q375" s="428">
        <v>0</v>
      </c>
      <c r="R375" s="427">
        <f>S375+T375</f>
        <v>0</v>
      </c>
      <c r="S375" s="428">
        <v>0</v>
      </c>
      <c r="T375" s="428">
        <v>0</v>
      </c>
      <c r="U375" s="427">
        <f>V375+W375</f>
        <v>0</v>
      </c>
      <c r="V375" s="428">
        <v>0</v>
      </c>
      <c r="W375" s="428">
        <v>0</v>
      </c>
    </row>
    <row r="376" spans="1:23" ht="15" customHeight="1" hidden="1">
      <c r="A376" s="832"/>
      <c r="B376" s="833"/>
      <c r="C376" s="852"/>
      <c r="D376" s="835"/>
      <c r="E376" s="831"/>
      <c r="F376" s="831"/>
      <c r="G376" s="831"/>
      <c r="H376" s="425" t="s">
        <v>75</v>
      </c>
      <c r="I376" s="425" t="s">
        <v>75</v>
      </c>
      <c r="J376" s="830">
        <f aca="true" t="shared" si="76" ref="J376:W376">J373+J375</f>
        <v>3338214</v>
      </c>
      <c r="K376" s="830">
        <f t="shared" si="76"/>
        <v>0</v>
      </c>
      <c r="L376" s="828">
        <f t="shared" si="76"/>
        <v>0</v>
      </c>
      <c r="M376" s="828">
        <f t="shared" si="76"/>
        <v>0</v>
      </c>
      <c r="N376" s="830">
        <f t="shared" si="76"/>
        <v>3338214</v>
      </c>
      <c r="O376" s="830">
        <f t="shared" si="76"/>
        <v>3338214</v>
      </c>
      <c r="P376" s="828">
        <f t="shared" si="76"/>
        <v>8910</v>
      </c>
      <c r="Q376" s="828">
        <f t="shared" si="76"/>
        <v>3329304</v>
      </c>
      <c r="R376" s="830">
        <f t="shared" si="76"/>
        <v>0</v>
      </c>
      <c r="S376" s="828">
        <f t="shared" si="76"/>
        <v>0</v>
      </c>
      <c r="T376" s="828">
        <f t="shared" si="76"/>
        <v>0</v>
      </c>
      <c r="U376" s="830">
        <f t="shared" si="76"/>
        <v>0</v>
      </c>
      <c r="V376" s="828">
        <f t="shared" si="76"/>
        <v>0</v>
      </c>
      <c r="W376" s="828">
        <f t="shared" si="76"/>
        <v>0</v>
      </c>
    </row>
    <row r="377" spans="1:23" ht="15" customHeight="1" hidden="1">
      <c r="A377" s="832"/>
      <c r="B377" s="833"/>
      <c r="C377" s="853"/>
      <c r="D377" s="835"/>
      <c r="E377" s="831"/>
      <c r="F377" s="831"/>
      <c r="G377" s="831"/>
      <c r="H377" s="425" t="s">
        <v>75</v>
      </c>
      <c r="I377" s="425" t="s">
        <v>75</v>
      </c>
      <c r="J377" s="830"/>
      <c r="K377" s="830"/>
      <c r="L377" s="828"/>
      <c r="M377" s="828"/>
      <c r="N377" s="830"/>
      <c r="O377" s="830"/>
      <c r="P377" s="828"/>
      <c r="Q377" s="828"/>
      <c r="R377" s="830"/>
      <c r="S377" s="828"/>
      <c r="T377" s="828"/>
      <c r="U377" s="830"/>
      <c r="V377" s="828"/>
      <c r="W377" s="828"/>
    </row>
    <row r="378" spans="1:23" ht="15.75" customHeight="1" hidden="1">
      <c r="A378" s="832">
        <v>2</v>
      </c>
      <c r="B378" s="833" t="s">
        <v>768</v>
      </c>
      <c r="C378" s="851" t="s">
        <v>769</v>
      </c>
      <c r="D378" s="835" t="s">
        <v>770</v>
      </c>
      <c r="E378" s="831" t="s">
        <v>598</v>
      </c>
      <c r="F378" s="831" t="s">
        <v>765</v>
      </c>
      <c r="G378" s="831" t="s">
        <v>755</v>
      </c>
      <c r="H378" s="425" t="s">
        <v>75</v>
      </c>
      <c r="I378" s="425" t="s">
        <v>75</v>
      </c>
      <c r="J378" s="830">
        <f>K378+N378</f>
        <v>524539</v>
      </c>
      <c r="K378" s="830">
        <f>L378+M378</f>
        <v>0</v>
      </c>
      <c r="L378" s="828">
        <v>0</v>
      </c>
      <c r="M378" s="828">
        <v>0</v>
      </c>
      <c r="N378" s="830">
        <f>O378+R378+U378</f>
        <v>524539</v>
      </c>
      <c r="O378" s="830">
        <f>P378+Q378</f>
        <v>524539</v>
      </c>
      <c r="P378" s="828">
        <v>0</v>
      </c>
      <c r="Q378" s="828">
        <v>524539</v>
      </c>
      <c r="R378" s="830">
        <f>S378+T378</f>
        <v>0</v>
      </c>
      <c r="S378" s="828">
        <v>0</v>
      </c>
      <c r="T378" s="828">
        <v>0</v>
      </c>
      <c r="U378" s="830">
        <f>V378+W378</f>
        <v>0</v>
      </c>
      <c r="V378" s="828">
        <v>0</v>
      </c>
      <c r="W378" s="828">
        <v>0</v>
      </c>
    </row>
    <row r="379" spans="1:23" ht="15.75" customHeight="1" hidden="1">
      <c r="A379" s="832"/>
      <c r="B379" s="833"/>
      <c r="C379" s="852"/>
      <c r="D379" s="835"/>
      <c r="E379" s="831"/>
      <c r="F379" s="831"/>
      <c r="G379" s="831"/>
      <c r="H379" s="425" t="s">
        <v>75</v>
      </c>
      <c r="I379" s="425" t="s">
        <v>75</v>
      </c>
      <c r="J379" s="830"/>
      <c r="K379" s="830"/>
      <c r="L379" s="828"/>
      <c r="M379" s="828"/>
      <c r="N379" s="830"/>
      <c r="O379" s="830"/>
      <c r="P379" s="828"/>
      <c r="Q379" s="828"/>
      <c r="R379" s="830"/>
      <c r="S379" s="828"/>
      <c r="T379" s="828"/>
      <c r="U379" s="830"/>
      <c r="V379" s="828"/>
      <c r="W379" s="828"/>
    </row>
    <row r="380" spans="1:23" ht="15.75" customHeight="1" hidden="1">
      <c r="A380" s="832"/>
      <c r="B380" s="833"/>
      <c r="C380" s="852"/>
      <c r="D380" s="835"/>
      <c r="E380" s="831"/>
      <c r="F380" s="831"/>
      <c r="G380" s="831"/>
      <c r="H380" s="425" t="s">
        <v>75</v>
      </c>
      <c r="I380" s="425" t="s">
        <v>75</v>
      </c>
      <c r="J380" s="427">
        <f>K380+N380</f>
        <v>0</v>
      </c>
      <c r="K380" s="427">
        <f>L380+M380</f>
        <v>0</v>
      </c>
      <c r="L380" s="428">
        <v>0</v>
      </c>
      <c r="M380" s="428">
        <v>0</v>
      </c>
      <c r="N380" s="427">
        <f>O380+R380+U380</f>
        <v>0</v>
      </c>
      <c r="O380" s="427">
        <f>P380+Q380</f>
        <v>0</v>
      </c>
      <c r="P380" s="428">
        <v>0</v>
      </c>
      <c r="Q380" s="428">
        <v>0</v>
      </c>
      <c r="R380" s="427">
        <f>S380+T380</f>
        <v>0</v>
      </c>
      <c r="S380" s="428">
        <v>0</v>
      </c>
      <c r="T380" s="428">
        <v>0</v>
      </c>
      <c r="U380" s="427">
        <f>V380+W380</f>
        <v>0</v>
      </c>
      <c r="V380" s="428">
        <v>0</v>
      </c>
      <c r="W380" s="428">
        <v>0</v>
      </c>
    </row>
    <row r="381" spans="1:23" ht="15.75" customHeight="1" hidden="1">
      <c r="A381" s="832"/>
      <c r="B381" s="833"/>
      <c r="C381" s="852"/>
      <c r="D381" s="835"/>
      <c r="E381" s="831"/>
      <c r="F381" s="831"/>
      <c r="G381" s="831"/>
      <c r="H381" s="425" t="s">
        <v>75</v>
      </c>
      <c r="I381" s="425" t="s">
        <v>75</v>
      </c>
      <c r="J381" s="830">
        <f aca="true" t="shared" si="77" ref="J381:W381">J378+J380</f>
        <v>524539</v>
      </c>
      <c r="K381" s="830">
        <f t="shared" si="77"/>
        <v>0</v>
      </c>
      <c r="L381" s="828">
        <f t="shared" si="77"/>
        <v>0</v>
      </c>
      <c r="M381" s="828">
        <f t="shared" si="77"/>
        <v>0</v>
      </c>
      <c r="N381" s="830">
        <f t="shared" si="77"/>
        <v>524539</v>
      </c>
      <c r="O381" s="830">
        <f t="shared" si="77"/>
        <v>524539</v>
      </c>
      <c r="P381" s="828">
        <f t="shared" si="77"/>
        <v>0</v>
      </c>
      <c r="Q381" s="828">
        <f t="shared" si="77"/>
        <v>524539</v>
      </c>
      <c r="R381" s="830">
        <f t="shared" si="77"/>
        <v>0</v>
      </c>
      <c r="S381" s="828">
        <f t="shared" si="77"/>
        <v>0</v>
      </c>
      <c r="T381" s="828">
        <f t="shared" si="77"/>
        <v>0</v>
      </c>
      <c r="U381" s="830">
        <f t="shared" si="77"/>
        <v>0</v>
      </c>
      <c r="V381" s="828">
        <f t="shared" si="77"/>
        <v>0</v>
      </c>
      <c r="W381" s="828">
        <f t="shared" si="77"/>
        <v>0</v>
      </c>
    </row>
    <row r="382" spans="1:23" ht="15.75" customHeight="1" hidden="1">
      <c r="A382" s="832"/>
      <c r="B382" s="833"/>
      <c r="C382" s="853"/>
      <c r="D382" s="835"/>
      <c r="E382" s="831"/>
      <c r="F382" s="831"/>
      <c r="G382" s="831"/>
      <c r="H382" s="425" t="s">
        <v>75</v>
      </c>
      <c r="I382" s="425" t="s">
        <v>75</v>
      </c>
      <c r="J382" s="830"/>
      <c r="K382" s="830"/>
      <c r="L382" s="828"/>
      <c r="M382" s="828"/>
      <c r="N382" s="830"/>
      <c r="O382" s="830"/>
      <c r="P382" s="828"/>
      <c r="Q382" s="828"/>
      <c r="R382" s="830"/>
      <c r="S382" s="828"/>
      <c r="T382" s="828"/>
      <c r="U382" s="830"/>
      <c r="V382" s="828"/>
      <c r="W382" s="828"/>
    </row>
    <row r="383" spans="1:23" ht="15" customHeight="1" hidden="1">
      <c r="A383" s="832">
        <v>3</v>
      </c>
      <c r="B383" s="833" t="s">
        <v>771</v>
      </c>
      <c r="C383" s="832">
        <v>102</v>
      </c>
      <c r="D383" s="835" t="s">
        <v>772</v>
      </c>
      <c r="E383" s="836" t="s">
        <v>696</v>
      </c>
      <c r="F383" s="836" t="s">
        <v>711</v>
      </c>
      <c r="G383" s="831" t="s">
        <v>755</v>
      </c>
      <c r="H383" s="425" t="s">
        <v>75</v>
      </c>
      <c r="I383" s="425" t="s">
        <v>75</v>
      </c>
      <c r="J383" s="830">
        <f>K383+N383</f>
        <v>456736</v>
      </c>
      <c r="K383" s="830">
        <f>L383+M383</f>
        <v>0</v>
      </c>
      <c r="L383" s="828">
        <v>0</v>
      </c>
      <c r="M383" s="828">
        <v>0</v>
      </c>
      <c r="N383" s="830">
        <f>O383+R383+U383</f>
        <v>456736</v>
      </c>
      <c r="O383" s="830">
        <f>P383+Q383</f>
        <v>456736</v>
      </c>
      <c r="P383" s="828">
        <v>456736</v>
      </c>
      <c r="Q383" s="828">
        <v>0</v>
      </c>
      <c r="R383" s="830">
        <f>S383+T383</f>
        <v>0</v>
      </c>
      <c r="S383" s="828">
        <v>0</v>
      </c>
      <c r="T383" s="828">
        <v>0</v>
      </c>
      <c r="U383" s="830">
        <f>V383+W383</f>
        <v>0</v>
      </c>
      <c r="V383" s="828">
        <v>0</v>
      </c>
      <c r="W383" s="828">
        <v>0</v>
      </c>
    </row>
    <row r="384" spans="1:23" ht="15" customHeight="1" hidden="1">
      <c r="A384" s="832"/>
      <c r="B384" s="833"/>
      <c r="C384" s="832"/>
      <c r="D384" s="835"/>
      <c r="E384" s="837"/>
      <c r="F384" s="837"/>
      <c r="G384" s="831"/>
      <c r="H384" s="425" t="s">
        <v>75</v>
      </c>
      <c r="I384" s="425" t="s">
        <v>75</v>
      </c>
      <c r="J384" s="830"/>
      <c r="K384" s="830"/>
      <c r="L384" s="828"/>
      <c r="M384" s="828"/>
      <c r="N384" s="830"/>
      <c r="O384" s="830"/>
      <c r="P384" s="828"/>
      <c r="Q384" s="828"/>
      <c r="R384" s="830"/>
      <c r="S384" s="828"/>
      <c r="T384" s="828"/>
      <c r="U384" s="830"/>
      <c r="V384" s="828"/>
      <c r="W384" s="828"/>
    </row>
    <row r="385" spans="1:23" ht="15" customHeight="1" hidden="1">
      <c r="A385" s="832"/>
      <c r="B385" s="833"/>
      <c r="C385" s="832"/>
      <c r="D385" s="835"/>
      <c r="E385" s="837"/>
      <c r="F385" s="837"/>
      <c r="G385" s="831"/>
      <c r="H385" s="425" t="s">
        <v>75</v>
      </c>
      <c r="I385" s="425" t="s">
        <v>75</v>
      </c>
      <c r="J385" s="427">
        <f>K385+N385</f>
        <v>0</v>
      </c>
      <c r="K385" s="427">
        <f>L385+M385</f>
        <v>0</v>
      </c>
      <c r="L385" s="428">
        <v>0</v>
      </c>
      <c r="M385" s="428">
        <v>0</v>
      </c>
      <c r="N385" s="427">
        <f>O385+R385+U385</f>
        <v>0</v>
      </c>
      <c r="O385" s="427">
        <f>P385+Q385</f>
        <v>0</v>
      </c>
      <c r="P385" s="428">
        <v>0</v>
      </c>
      <c r="Q385" s="428">
        <v>0</v>
      </c>
      <c r="R385" s="427">
        <f>S385+T385</f>
        <v>0</v>
      </c>
      <c r="S385" s="428">
        <v>0</v>
      </c>
      <c r="T385" s="428">
        <v>0</v>
      </c>
      <c r="U385" s="427">
        <f>V385+W385</f>
        <v>0</v>
      </c>
      <c r="V385" s="428">
        <v>0</v>
      </c>
      <c r="W385" s="428">
        <v>0</v>
      </c>
    </row>
    <row r="386" spans="1:23" ht="15" customHeight="1" hidden="1">
      <c r="A386" s="832"/>
      <c r="B386" s="833"/>
      <c r="C386" s="832"/>
      <c r="D386" s="835"/>
      <c r="E386" s="837"/>
      <c r="F386" s="837"/>
      <c r="G386" s="831"/>
      <c r="H386" s="425" t="s">
        <v>75</v>
      </c>
      <c r="I386" s="425" t="s">
        <v>75</v>
      </c>
      <c r="J386" s="830">
        <f aca="true" t="shared" si="78" ref="J386:W386">J383+J385</f>
        <v>456736</v>
      </c>
      <c r="K386" s="830">
        <f t="shared" si="78"/>
        <v>0</v>
      </c>
      <c r="L386" s="828">
        <f t="shared" si="78"/>
        <v>0</v>
      </c>
      <c r="M386" s="828">
        <f t="shared" si="78"/>
        <v>0</v>
      </c>
      <c r="N386" s="830">
        <f t="shared" si="78"/>
        <v>456736</v>
      </c>
      <c r="O386" s="830">
        <f t="shared" si="78"/>
        <v>456736</v>
      </c>
      <c r="P386" s="828">
        <f t="shared" si="78"/>
        <v>456736</v>
      </c>
      <c r="Q386" s="828">
        <f t="shared" si="78"/>
        <v>0</v>
      </c>
      <c r="R386" s="830">
        <f t="shared" si="78"/>
        <v>0</v>
      </c>
      <c r="S386" s="828">
        <f t="shared" si="78"/>
        <v>0</v>
      </c>
      <c r="T386" s="828">
        <f t="shared" si="78"/>
        <v>0</v>
      </c>
      <c r="U386" s="830">
        <f t="shared" si="78"/>
        <v>0</v>
      </c>
      <c r="V386" s="828">
        <f t="shared" si="78"/>
        <v>0</v>
      </c>
      <c r="W386" s="828">
        <f t="shared" si="78"/>
        <v>0</v>
      </c>
    </row>
    <row r="387" spans="1:23" ht="15" customHeight="1" hidden="1">
      <c r="A387" s="832"/>
      <c r="B387" s="833"/>
      <c r="C387" s="832"/>
      <c r="D387" s="835"/>
      <c r="E387" s="838"/>
      <c r="F387" s="838"/>
      <c r="G387" s="831"/>
      <c r="H387" s="425" t="s">
        <v>75</v>
      </c>
      <c r="I387" s="425" t="s">
        <v>75</v>
      </c>
      <c r="J387" s="830"/>
      <c r="K387" s="830"/>
      <c r="L387" s="828"/>
      <c r="M387" s="828"/>
      <c r="N387" s="830"/>
      <c r="O387" s="830"/>
      <c r="P387" s="828"/>
      <c r="Q387" s="828"/>
      <c r="R387" s="830"/>
      <c r="S387" s="828"/>
      <c r="T387" s="828"/>
      <c r="U387" s="830"/>
      <c r="V387" s="828"/>
      <c r="W387" s="828"/>
    </row>
    <row r="388" spans="1:23" ht="13.5" customHeight="1" hidden="1">
      <c r="A388" s="832">
        <v>4</v>
      </c>
      <c r="B388" s="833" t="s">
        <v>773</v>
      </c>
      <c r="C388" s="834" t="s">
        <v>774</v>
      </c>
      <c r="D388" s="835" t="s">
        <v>775</v>
      </c>
      <c r="E388" s="836" t="s">
        <v>696</v>
      </c>
      <c r="F388" s="836" t="s">
        <v>711</v>
      </c>
      <c r="G388" s="831" t="s">
        <v>755</v>
      </c>
      <c r="H388" s="425" t="s">
        <v>75</v>
      </c>
      <c r="I388" s="425" t="s">
        <v>75</v>
      </c>
      <c r="J388" s="830">
        <f>K388+N388</f>
        <v>1841464</v>
      </c>
      <c r="K388" s="830">
        <f>L388+M388</f>
        <v>0</v>
      </c>
      <c r="L388" s="828">
        <v>0</v>
      </c>
      <c r="M388" s="828">
        <v>0</v>
      </c>
      <c r="N388" s="830">
        <f>O388+R388+U388</f>
        <v>1841464</v>
      </c>
      <c r="O388" s="830">
        <f>P388+Q388</f>
        <v>1841464</v>
      </c>
      <c r="P388" s="828">
        <v>1841464</v>
      </c>
      <c r="Q388" s="828">
        <v>0</v>
      </c>
      <c r="R388" s="830">
        <f>S388+T388</f>
        <v>0</v>
      </c>
      <c r="S388" s="828">
        <v>0</v>
      </c>
      <c r="T388" s="828">
        <v>0</v>
      </c>
      <c r="U388" s="830">
        <f>V388+W388</f>
        <v>0</v>
      </c>
      <c r="V388" s="828">
        <v>0</v>
      </c>
      <c r="W388" s="828">
        <v>0</v>
      </c>
    </row>
    <row r="389" spans="1:23" ht="13.5" customHeight="1" hidden="1">
      <c r="A389" s="832"/>
      <c r="B389" s="833"/>
      <c r="C389" s="834"/>
      <c r="D389" s="835"/>
      <c r="E389" s="837"/>
      <c r="F389" s="837"/>
      <c r="G389" s="831"/>
      <c r="H389" s="425" t="s">
        <v>75</v>
      </c>
      <c r="I389" s="425" t="s">
        <v>75</v>
      </c>
      <c r="J389" s="830"/>
      <c r="K389" s="830"/>
      <c r="L389" s="828"/>
      <c r="M389" s="828"/>
      <c r="N389" s="830"/>
      <c r="O389" s="830"/>
      <c r="P389" s="828"/>
      <c r="Q389" s="828"/>
      <c r="R389" s="830"/>
      <c r="S389" s="828"/>
      <c r="T389" s="828"/>
      <c r="U389" s="830"/>
      <c r="V389" s="828"/>
      <c r="W389" s="828"/>
    </row>
    <row r="390" spans="1:23" ht="13.5" customHeight="1" hidden="1">
      <c r="A390" s="832"/>
      <c r="B390" s="833"/>
      <c r="C390" s="834"/>
      <c r="D390" s="835"/>
      <c r="E390" s="837"/>
      <c r="F390" s="837"/>
      <c r="G390" s="831"/>
      <c r="H390" s="425" t="s">
        <v>75</v>
      </c>
      <c r="I390" s="425" t="s">
        <v>75</v>
      </c>
      <c r="J390" s="427">
        <f>K390+N390</f>
        <v>0</v>
      </c>
      <c r="K390" s="427">
        <f>L390+M390</f>
        <v>0</v>
      </c>
      <c r="L390" s="428">
        <v>0</v>
      </c>
      <c r="M390" s="428">
        <v>0</v>
      </c>
      <c r="N390" s="427">
        <f>O390+R390+U390</f>
        <v>0</v>
      </c>
      <c r="O390" s="427">
        <f>P390+Q390</f>
        <v>0</v>
      </c>
      <c r="P390" s="428">
        <v>0</v>
      </c>
      <c r="Q390" s="428">
        <v>0</v>
      </c>
      <c r="R390" s="427">
        <f>S390+T390</f>
        <v>0</v>
      </c>
      <c r="S390" s="428">
        <v>0</v>
      </c>
      <c r="T390" s="428">
        <v>0</v>
      </c>
      <c r="U390" s="427">
        <f>V390+W390</f>
        <v>0</v>
      </c>
      <c r="V390" s="428">
        <v>0</v>
      </c>
      <c r="W390" s="428">
        <v>0</v>
      </c>
    </row>
    <row r="391" spans="1:23" ht="13.5" customHeight="1" hidden="1">
      <c r="A391" s="832"/>
      <c r="B391" s="833"/>
      <c r="C391" s="834"/>
      <c r="D391" s="835"/>
      <c r="E391" s="837"/>
      <c r="F391" s="837"/>
      <c r="G391" s="831"/>
      <c r="H391" s="425" t="s">
        <v>75</v>
      </c>
      <c r="I391" s="425" t="s">
        <v>75</v>
      </c>
      <c r="J391" s="830">
        <f aca="true" t="shared" si="79" ref="J391:W391">J388+J390</f>
        <v>1841464</v>
      </c>
      <c r="K391" s="830">
        <f t="shared" si="79"/>
        <v>0</v>
      </c>
      <c r="L391" s="828">
        <f t="shared" si="79"/>
        <v>0</v>
      </c>
      <c r="M391" s="828">
        <f t="shared" si="79"/>
        <v>0</v>
      </c>
      <c r="N391" s="830">
        <f t="shared" si="79"/>
        <v>1841464</v>
      </c>
      <c r="O391" s="830">
        <f t="shared" si="79"/>
        <v>1841464</v>
      </c>
      <c r="P391" s="828">
        <f t="shared" si="79"/>
        <v>1841464</v>
      </c>
      <c r="Q391" s="828">
        <f t="shared" si="79"/>
        <v>0</v>
      </c>
      <c r="R391" s="830">
        <f t="shared" si="79"/>
        <v>0</v>
      </c>
      <c r="S391" s="828">
        <f t="shared" si="79"/>
        <v>0</v>
      </c>
      <c r="T391" s="828">
        <f t="shared" si="79"/>
        <v>0</v>
      </c>
      <c r="U391" s="830">
        <f t="shared" si="79"/>
        <v>0</v>
      </c>
      <c r="V391" s="828">
        <f t="shared" si="79"/>
        <v>0</v>
      </c>
      <c r="W391" s="828">
        <f t="shared" si="79"/>
        <v>0</v>
      </c>
    </row>
    <row r="392" spans="1:23" ht="13.5" customHeight="1" hidden="1">
      <c r="A392" s="832"/>
      <c r="B392" s="833"/>
      <c r="C392" s="834"/>
      <c r="D392" s="835"/>
      <c r="E392" s="838"/>
      <c r="F392" s="838"/>
      <c r="G392" s="831"/>
      <c r="H392" s="425" t="s">
        <v>75</v>
      </c>
      <c r="I392" s="425" t="s">
        <v>75</v>
      </c>
      <c r="J392" s="830"/>
      <c r="K392" s="830"/>
      <c r="L392" s="828"/>
      <c r="M392" s="828"/>
      <c r="N392" s="830"/>
      <c r="O392" s="830"/>
      <c r="P392" s="828"/>
      <c r="Q392" s="828"/>
      <c r="R392" s="830"/>
      <c r="S392" s="828"/>
      <c r="T392" s="828"/>
      <c r="U392" s="830"/>
      <c r="V392" s="828"/>
      <c r="W392" s="828"/>
    </row>
    <row r="393" spans="1:23" ht="16.5" customHeight="1">
      <c r="A393" s="832">
        <v>2</v>
      </c>
      <c r="B393" s="833" t="s">
        <v>776</v>
      </c>
      <c r="C393" s="834" t="s">
        <v>777</v>
      </c>
      <c r="D393" s="835" t="s">
        <v>778</v>
      </c>
      <c r="E393" s="831" t="s">
        <v>239</v>
      </c>
      <c r="F393" s="836" t="s">
        <v>739</v>
      </c>
      <c r="G393" s="831" t="s">
        <v>755</v>
      </c>
      <c r="H393" s="425" t="s">
        <v>75</v>
      </c>
      <c r="I393" s="425" t="s">
        <v>75</v>
      </c>
      <c r="J393" s="830">
        <f>K393+N393</f>
        <v>2251000</v>
      </c>
      <c r="K393" s="830">
        <f>L393+M393</f>
        <v>0</v>
      </c>
      <c r="L393" s="828">
        <v>0</v>
      </c>
      <c r="M393" s="828">
        <v>0</v>
      </c>
      <c r="N393" s="830">
        <f>O393+R393+U393</f>
        <v>2251000</v>
      </c>
      <c r="O393" s="830">
        <f>P393+Q393</f>
        <v>2251000</v>
      </c>
      <c r="P393" s="828">
        <v>2251000</v>
      </c>
      <c r="Q393" s="828">
        <v>0</v>
      </c>
      <c r="R393" s="830">
        <f>S393+T393</f>
        <v>0</v>
      </c>
      <c r="S393" s="828">
        <v>0</v>
      </c>
      <c r="T393" s="828">
        <v>0</v>
      </c>
      <c r="U393" s="830">
        <f>V393+W393</f>
        <v>0</v>
      </c>
      <c r="V393" s="828">
        <v>0</v>
      </c>
      <c r="W393" s="828">
        <v>0</v>
      </c>
    </row>
    <row r="394" spans="1:23" ht="16.5" customHeight="1">
      <c r="A394" s="832"/>
      <c r="B394" s="833"/>
      <c r="C394" s="834"/>
      <c r="D394" s="835"/>
      <c r="E394" s="831"/>
      <c r="F394" s="837"/>
      <c r="G394" s="831"/>
      <c r="H394" s="425" t="s">
        <v>75</v>
      </c>
      <c r="I394" s="425" t="s">
        <v>75</v>
      </c>
      <c r="J394" s="830"/>
      <c r="K394" s="830"/>
      <c r="L394" s="828"/>
      <c r="M394" s="828"/>
      <c r="N394" s="830"/>
      <c r="O394" s="830"/>
      <c r="P394" s="828"/>
      <c r="Q394" s="828"/>
      <c r="R394" s="830"/>
      <c r="S394" s="828"/>
      <c r="T394" s="828"/>
      <c r="U394" s="830"/>
      <c r="V394" s="828"/>
      <c r="W394" s="828"/>
    </row>
    <row r="395" spans="1:23" ht="16.5" customHeight="1">
      <c r="A395" s="832"/>
      <c r="B395" s="833"/>
      <c r="C395" s="834"/>
      <c r="D395" s="835"/>
      <c r="E395" s="831"/>
      <c r="F395" s="837"/>
      <c r="G395" s="831"/>
      <c r="H395" s="425" t="s">
        <v>75</v>
      </c>
      <c r="I395" s="425" t="s">
        <v>75</v>
      </c>
      <c r="J395" s="427">
        <f>K395+N395</f>
        <v>-2000000</v>
      </c>
      <c r="K395" s="427">
        <f>L395+M395</f>
        <v>0</v>
      </c>
      <c r="L395" s="428">
        <v>0</v>
      </c>
      <c r="M395" s="428">
        <v>0</v>
      </c>
      <c r="N395" s="427">
        <f>O395+R395+U395</f>
        <v>-2000000</v>
      </c>
      <c r="O395" s="427">
        <f>P395+Q395</f>
        <v>-2000000</v>
      </c>
      <c r="P395" s="428">
        <v>-2000000</v>
      </c>
      <c r="Q395" s="428">
        <v>0</v>
      </c>
      <c r="R395" s="427">
        <f>S395+T395</f>
        <v>0</v>
      </c>
      <c r="S395" s="428">
        <v>0</v>
      </c>
      <c r="T395" s="428">
        <v>0</v>
      </c>
      <c r="U395" s="427">
        <f>V395+W395</f>
        <v>0</v>
      </c>
      <c r="V395" s="428">
        <v>0</v>
      </c>
      <c r="W395" s="428">
        <v>0</v>
      </c>
    </row>
    <row r="396" spans="1:23" ht="16.5" customHeight="1">
      <c r="A396" s="832"/>
      <c r="B396" s="833"/>
      <c r="C396" s="834"/>
      <c r="D396" s="835"/>
      <c r="E396" s="831"/>
      <c r="F396" s="837"/>
      <c r="G396" s="831"/>
      <c r="H396" s="425" t="s">
        <v>75</v>
      </c>
      <c r="I396" s="425" t="s">
        <v>75</v>
      </c>
      <c r="J396" s="830">
        <f aca="true" t="shared" si="80" ref="J396:W396">J393+J395</f>
        <v>251000</v>
      </c>
      <c r="K396" s="830">
        <f t="shared" si="80"/>
        <v>0</v>
      </c>
      <c r="L396" s="828">
        <f t="shared" si="80"/>
        <v>0</v>
      </c>
      <c r="M396" s="828">
        <f t="shared" si="80"/>
        <v>0</v>
      </c>
      <c r="N396" s="830">
        <f t="shared" si="80"/>
        <v>251000</v>
      </c>
      <c r="O396" s="830">
        <f t="shared" si="80"/>
        <v>251000</v>
      </c>
      <c r="P396" s="828">
        <f t="shared" si="80"/>
        <v>251000</v>
      </c>
      <c r="Q396" s="828">
        <f t="shared" si="80"/>
        <v>0</v>
      </c>
      <c r="R396" s="830">
        <f t="shared" si="80"/>
        <v>0</v>
      </c>
      <c r="S396" s="828">
        <f t="shared" si="80"/>
        <v>0</v>
      </c>
      <c r="T396" s="828">
        <f t="shared" si="80"/>
        <v>0</v>
      </c>
      <c r="U396" s="830">
        <f t="shared" si="80"/>
        <v>0</v>
      </c>
      <c r="V396" s="828">
        <f t="shared" si="80"/>
        <v>0</v>
      </c>
      <c r="W396" s="828">
        <f t="shared" si="80"/>
        <v>0</v>
      </c>
    </row>
    <row r="397" spans="1:23" ht="16.5" customHeight="1">
      <c r="A397" s="832"/>
      <c r="B397" s="833"/>
      <c r="C397" s="834"/>
      <c r="D397" s="835"/>
      <c r="E397" s="831"/>
      <c r="F397" s="838"/>
      <c r="G397" s="831"/>
      <c r="H397" s="425" t="s">
        <v>75</v>
      </c>
      <c r="I397" s="425" t="s">
        <v>75</v>
      </c>
      <c r="J397" s="830"/>
      <c r="K397" s="830"/>
      <c r="L397" s="828"/>
      <c r="M397" s="828"/>
      <c r="N397" s="830"/>
      <c r="O397" s="830"/>
      <c r="P397" s="828"/>
      <c r="Q397" s="828"/>
      <c r="R397" s="830"/>
      <c r="S397" s="828"/>
      <c r="T397" s="828"/>
      <c r="U397" s="830"/>
      <c r="V397" s="828"/>
      <c r="W397" s="828"/>
    </row>
    <row r="398" spans="1:23" ht="13.5" customHeight="1" hidden="1">
      <c r="A398" s="832">
        <v>6</v>
      </c>
      <c r="B398" s="833" t="s">
        <v>686</v>
      </c>
      <c r="C398" s="834" t="s">
        <v>687</v>
      </c>
      <c r="D398" s="835" t="s">
        <v>779</v>
      </c>
      <c r="E398" s="831" t="s">
        <v>239</v>
      </c>
      <c r="F398" s="836" t="s">
        <v>702</v>
      </c>
      <c r="G398" s="831" t="s">
        <v>755</v>
      </c>
      <c r="H398" s="425" t="s">
        <v>75</v>
      </c>
      <c r="I398" s="425" t="s">
        <v>75</v>
      </c>
      <c r="J398" s="830">
        <f>K398+N398</f>
        <v>38563</v>
      </c>
      <c r="K398" s="830">
        <f>L398+M398</f>
        <v>0</v>
      </c>
      <c r="L398" s="828">
        <v>0</v>
      </c>
      <c r="M398" s="828">
        <v>0</v>
      </c>
      <c r="N398" s="830">
        <f>O398+R398+U398</f>
        <v>38563</v>
      </c>
      <c r="O398" s="830">
        <f>P398+Q398</f>
        <v>38563</v>
      </c>
      <c r="P398" s="828">
        <v>38563</v>
      </c>
      <c r="Q398" s="828">
        <v>0</v>
      </c>
      <c r="R398" s="830">
        <f>S398+T398</f>
        <v>0</v>
      </c>
      <c r="S398" s="828">
        <v>0</v>
      </c>
      <c r="T398" s="828">
        <v>0</v>
      </c>
      <c r="U398" s="830">
        <f>V398+W398</f>
        <v>0</v>
      </c>
      <c r="V398" s="828">
        <v>0</v>
      </c>
      <c r="W398" s="828">
        <v>0</v>
      </c>
    </row>
    <row r="399" spans="1:23" ht="13.5" customHeight="1" hidden="1">
      <c r="A399" s="832"/>
      <c r="B399" s="833"/>
      <c r="C399" s="834"/>
      <c r="D399" s="835"/>
      <c r="E399" s="831"/>
      <c r="F399" s="837"/>
      <c r="G399" s="831"/>
      <c r="H399" s="425" t="s">
        <v>75</v>
      </c>
      <c r="I399" s="425" t="s">
        <v>75</v>
      </c>
      <c r="J399" s="830"/>
      <c r="K399" s="830"/>
      <c r="L399" s="828"/>
      <c r="M399" s="828"/>
      <c r="N399" s="830"/>
      <c r="O399" s="830"/>
      <c r="P399" s="828"/>
      <c r="Q399" s="828"/>
      <c r="R399" s="830"/>
      <c r="S399" s="828"/>
      <c r="T399" s="828"/>
      <c r="U399" s="830"/>
      <c r="V399" s="828"/>
      <c r="W399" s="828"/>
    </row>
    <row r="400" spans="1:23" ht="13.5" customHeight="1" hidden="1">
      <c r="A400" s="832"/>
      <c r="B400" s="833"/>
      <c r="C400" s="834"/>
      <c r="D400" s="835"/>
      <c r="E400" s="831"/>
      <c r="F400" s="837"/>
      <c r="G400" s="831"/>
      <c r="H400" s="425" t="s">
        <v>75</v>
      </c>
      <c r="I400" s="425" t="s">
        <v>75</v>
      </c>
      <c r="J400" s="427">
        <f>K400+N400</f>
        <v>0</v>
      </c>
      <c r="K400" s="427">
        <f>L400+M400</f>
        <v>0</v>
      </c>
      <c r="L400" s="428">
        <v>0</v>
      </c>
      <c r="M400" s="428">
        <v>0</v>
      </c>
      <c r="N400" s="427">
        <f>O400+R400+U400</f>
        <v>0</v>
      </c>
      <c r="O400" s="427">
        <f>P400+Q400</f>
        <v>0</v>
      </c>
      <c r="P400" s="428">
        <v>0</v>
      </c>
      <c r="Q400" s="428">
        <v>0</v>
      </c>
      <c r="R400" s="427">
        <f>S400+T400</f>
        <v>0</v>
      </c>
      <c r="S400" s="428">
        <v>0</v>
      </c>
      <c r="T400" s="428">
        <v>0</v>
      </c>
      <c r="U400" s="427">
        <f>V400+W400</f>
        <v>0</v>
      </c>
      <c r="V400" s="428">
        <v>0</v>
      </c>
      <c r="W400" s="428">
        <v>0</v>
      </c>
    </row>
    <row r="401" spans="1:23" ht="13.5" customHeight="1" hidden="1">
      <c r="A401" s="832"/>
      <c r="B401" s="833"/>
      <c r="C401" s="834"/>
      <c r="D401" s="835"/>
      <c r="E401" s="831"/>
      <c r="F401" s="837"/>
      <c r="G401" s="831"/>
      <c r="H401" s="425" t="s">
        <v>75</v>
      </c>
      <c r="I401" s="425" t="s">
        <v>75</v>
      </c>
      <c r="J401" s="830">
        <f aca="true" t="shared" si="81" ref="J401:W401">J398+J400</f>
        <v>38563</v>
      </c>
      <c r="K401" s="830">
        <f t="shared" si="81"/>
        <v>0</v>
      </c>
      <c r="L401" s="828">
        <f t="shared" si="81"/>
        <v>0</v>
      </c>
      <c r="M401" s="828">
        <f t="shared" si="81"/>
        <v>0</v>
      </c>
      <c r="N401" s="830">
        <f t="shared" si="81"/>
        <v>38563</v>
      </c>
      <c r="O401" s="830">
        <f t="shared" si="81"/>
        <v>38563</v>
      </c>
      <c r="P401" s="828">
        <f t="shared" si="81"/>
        <v>38563</v>
      </c>
      <c r="Q401" s="828">
        <f t="shared" si="81"/>
        <v>0</v>
      </c>
      <c r="R401" s="830">
        <f t="shared" si="81"/>
        <v>0</v>
      </c>
      <c r="S401" s="828">
        <f t="shared" si="81"/>
        <v>0</v>
      </c>
      <c r="T401" s="828">
        <f t="shared" si="81"/>
        <v>0</v>
      </c>
      <c r="U401" s="830">
        <f t="shared" si="81"/>
        <v>0</v>
      </c>
      <c r="V401" s="828">
        <f t="shared" si="81"/>
        <v>0</v>
      </c>
      <c r="W401" s="828">
        <f t="shared" si="81"/>
        <v>0</v>
      </c>
    </row>
    <row r="402" spans="1:23" ht="13.5" customHeight="1" hidden="1">
      <c r="A402" s="832"/>
      <c r="B402" s="833"/>
      <c r="C402" s="834"/>
      <c r="D402" s="835"/>
      <c r="E402" s="831"/>
      <c r="F402" s="838"/>
      <c r="G402" s="831"/>
      <c r="H402" s="425" t="s">
        <v>75</v>
      </c>
      <c r="I402" s="425" t="s">
        <v>75</v>
      </c>
      <c r="J402" s="830"/>
      <c r="K402" s="830"/>
      <c r="L402" s="828"/>
      <c r="M402" s="828"/>
      <c r="N402" s="830"/>
      <c r="O402" s="830"/>
      <c r="P402" s="828"/>
      <c r="Q402" s="828"/>
      <c r="R402" s="830"/>
      <c r="S402" s="828"/>
      <c r="T402" s="828"/>
      <c r="U402" s="830"/>
      <c r="V402" s="828"/>
      <c r="W402" s="828"/>
    </row>
    <row r="403" spans="1:23" ht="13.5" customHeight="1" hidden="1">
      <c r="A403" s="832">
        <v>7</v>
      </c>
      <c r="B403" s="833" t="s">
        <v>780</v>
      </c>
      <c r="C403" s="834" t="s">
        <v>781</v>
      </c>
      <c r="D403" s="835" t="s">
        <v>782</v>
      </c>
      <c r="E403" s="836" t="s">
        <v>696</v>
      </c>
      <c r="F403" s="836" t="s">
        <v>711</v>
      </c>
      <c r="G403" s="831" t="s">
        <v>755</v>
      </c>
      <c r="H403" s="425" t="s">
        <v>75</v>
      </c>
      <c r="I403" s="425" t="s">
        <v>75</v>
      </c>
      <c r="J403" s="830">
        <f>K403+N403</f>
        <v>708800</v>
      </c>
      <c r="K403" s="830">
        <f>L403+M403</f>
        <v>0</v>
      </c>
      <c r="L403" s="828">
        <v>0</v>
      </c>
      <c r="M403" s="828">
        <v>0</v>
      </c>
      <c r="N403" s="830">
        <f>O403+R403+U403</f>
        <v>708800</v>
      </c>
      <c r="O403" s="830">
        <f>P403+Q403</f>
        <v>708800</v>
      </c>
      <c r="P403" s="828">
        <v>708800</v>
      </c>
      <c r="Q403" s="828">
        <v>0</v>
      </c>
      <c r="R403" s="830">
        <f>S403+T403</f>
        <v>0</v>
      </c>
      <c r="S403" s="828">
        <v>0</v>
      </c>
      <c r="T403" s="828">
        <v>0</v>
      </c>
      <c r="U403" s="830">
        <f>V403+W403</f>
        <v>0</v>
      </c>
      <c r="V403" s="828">
        <v>0</v>
      </c>
      <c r="W403" s="828">
        <v>0</v>
      </c>
    </row>
    <row r="404" spans="1:23" ht="13.5" customHeight="1" hidden="1">
      <c r="A404" s="832"/>
      <c r="B404" s="833"/>
      <c r="C404" s="834"/>
      <c r="D404" s="835"/>
      <c r="E404" s="837"/>
      <c r="F404" s="837"/>
      <c r="G404" s="831"/>
      <c r="H404" s="425" t="s">
        <v>75</v>
      </c>
      <c r="I404" s="425" t="s">
        <v>75</v>
      </c>
      <c r="J404" s="830"/>
      <c r="K404" s="830"/>
      <c r="L404" s="828"/>
      <c r="M404" s="828"/>
      <c r="N404" s="830"/>
      <c r="O404" s="830"/>
      <c r="P404" s="828"/>
      <c r="Q404" s="828"/>
      <c r="R404" s="830"/>
      <c r="S404" s="828"/>
      <c r="T404" s="828"/>
      <c r="U404" s="830"/>
      <c r="V404" s="828"/>
      <c r="W404" s="828"/>
    </row>
    <row r="405" spans="1:23" ht="13.5" customHeight="1" hidden="1">
      <c r="A405" s="832"/>
      <c r="B405" s="833"/>
      <c r="C405" s="834"/>
      <c r="D405" s="835"/>
      <c r="E405" s="837"/>
      <c r="F405" s="837"/>
      <c r="G405" s="831"/>
      <c r="H405" s="425" t="s">
        <v>75</v>
      </c>
      <c r="I405" s="425" t="s">
        <v>75</v>
      </c>
      <c r="J405" s="427">
        <f>K405+N405</f>
        <v>0</v>
      </c>
      <c r="K405" s="427">
        <f>L405+M405</f>
        <v>0</v>
      </c>
      <c r="L405" s="428">
        <v>0</v>
      </c>
      <c r="M405" s="428">
        <v>0</v>
      </c>
      <c r="N405" s="427">
        <f>O405+R405+U405</f>
        <v>0</v>
      </c>
      <c r="O405" s="427">
        <f>P405+Q405</f>
        <v>0</v>
      </c>
      <c r="P405" s="428">
        <v>0</v>
      </c>
      <c r="Q405" s="428">
        <v>0</v>
      </c>
      <c r="R405" s="427">
        <f>S405+T405</f>
        <v>0</v>
      </c>
      <c r="S405" s="428">
        <v>0</v>
      </c>
      <c r="T405" s="428">
        <v>0</v>
      </c>
      <c r="U405" s="427">
        <f>V405+W405</f>
        <v>0</v>
      </c>
      <c r="V405" s="428">
        <v>0</v>
      </c>
      <c r="W405" s="428">
        <v>0</v>
      </c>
    </row>
    <row r="406" spans="1:23" ht="13.5" customHeight="1" hidden="1">
      <c r="A406" s="832"/>
      <c r="B406" s="833"/>
      <c r="C406" s="834"/>
      <c r="D406" s="835"/>
      <c r="E406" s="837"/>
      <c r="F406" s="837"/>
      <c r="G406" s="831"/>
      <c r="H406" s="425" t="s">
        <v>75</v>
      </c>
      <c r="I406" s="425" t="s">
        <v>75</v>
      </c>
      <c r="J406" s="830">
        <f aca="true" t="shared" si="82" ref="J406:W406">J403+J405</f>
        <v>708800</v>
      </c>
      <c r="K406" s="830">
        <f t="shared" si="82"/>
        <v>0</v>
      </c>
      <c r="L406" s="828">
        <f t="shared" si="82"/>
        <v>0</v>
      </c>
      <c r="M406" s="828">
        <f t="shared" si="82"/>
        <v>0</v>
      </c>
      <c r="N406" s="830">
        <f t="shared" si="82"/>
        <v>708800</v>
      </c>
      <c r="O406" s="830">
        <f t="shared" si="82"/>
        <v>708800</v>
      </c>
      <c r="P406" s="828">
        <f t="shared" si="82"/>
        <v>708800</v>
      </c>
      <c r="Q406" s="828">
        <f t="shared" si="82"/>
        <v>0</v>
      </c>
      <c r="R406" s="830">
        <f t="shared" si="82"/>
        <v>0</v>
      </c>
      <c r="S406" s="828">
        <f t="shared" si="82"/>
        <v>0</v>
      </c>
      <c r="T406" s="828">
        <f t="shared" si="82"/>
        <v>0</v>
      </c>
      <c r="U406" s="830">
        <f t="shared" si="82"/>
        <v>0</v>
      </c>
      <c r="V406" s="828">
        <f t="shared" si="82"/>
        <v>0</v>
      </c>
      <c r="W406" s="828">
        <f t="shared" si="82"/>
        <v>0</v>
      </c>
    </row>
    <row r="407" spans="1:23" ht="13.5" customHeight="1" hidden="1">
      <c r="A407" s="832"/>
      <c r="B407" s="833"/>
      <c r="C407" s="834"/>
      <c r="D407" s="835"/>
      <c r="E407" s="838"/>
      <c r="F407" s="838"/>
      <c r="G407" s="831"/>
      <c r="H407" s="425" t="s">
        <v>75</v>
      </c>
      <c r="I407" s="425" t="s">
        <v>75</v>
      </c>
      <c r="J407" s="830"/>
      <c r="K407" s="830"/>
      <c r="L407" s="828"/>
      <c r="M407" s="828"/>
      <c r="N407" s="830"/>
      <c r="O407" s="830"/>
      <c r="P407" s="828"/>
      <c r="Q407" s="828"/>
      <c r="R407" s="830"/>
      <c r="S407" s="828"/>
      <c r="T407" s="828"/>
      <c r="U407" s="830"/>
      <c r="V407" s="828"/>
      <c r="W407" s="828"/>
    </row>
    <row r="408" spans="1:23" ht="13.5" customHeight="1" hidden="1">
      <c r="A408" s="832">
        <v>1</v>
      </c>
      <c r="B408" s="833" t="s">
        <v>691</v>
      </c>
      <c r="C408" s="834" t="s">
        <v>692</v>
      </c>
      <c r="D408" s="835" t="s">
        <v>783</v>
      </c>
      <c r="E408" s="831" t="s">
        <v>239</v>
      </c>
      <c r="F408" s="831" t="s">
        <v>784</v>
      </c>
      <c r="G408" s="831" t="s">
        <v>755</v>
      </c>
      <c r="H408" s="425" t="s">
        <v>75</v>
      </c>
      <c r="I408" s="425" t="s">
        <v>75</v>
      </c>
      <c r="J408" s="830">
        <f>K408+N408</f>
        <v>434500</v>
      </c>
      <c r="K408" s="830">
        <f>L408+M408</f>
        <v>0</v>
      </c>
      <c r="L408" s="828">
        <v>0</v>
      </c>
      <c r="M408" s="828">
        <v>0</v>
      </c>
      <c r="N408" s="830">
        <f>O408+R408+U408</f>
        <v>434500</v>
      </c>
      <c r="O408" s="830">
        <f>P408+Q408</f>
        <v>434500</v>
      </c>
      <c r="P408" s="828">
        <v>409500</v>
      </c>
      <c r="Q408" s="828">
        <v>25000</v>
      </c>
      <c r="R408" s="830">
        <f>S408+T408</f>
        <v>0</v>
      </c>
      <c r="S408" s="828">
        <v>0</v>
      </c>
      <c r="T408" s="828">
        <v>0</v>
      </c>
      <c r="U408" s="830">
        <f>V408+W408</f>
        <v>0</v>
      </c>
      <c r="V408" s="828">
        <v>0</v>
      </c>
      <c r="W408" s="828">
        <v>0</v>
      </c>
    </row>
    <row r="409" spans="1:23" ht="13.5" customHeight="1" hidden="1">
      <c r="A409" s="832"/>
      <c r="B409" s="833"/>
      <c r="C409" s="834"/>
      <c r="D409" s="835"/>
      <c r="E409" s="831"/>
      <c r="F409" s="831"/>
      <c r="G409" s="831"/>
      <c r="H409" s="425" t="s">
        <v>75</v>
      </c>
      <c r="I409" s="425" t="s">
        <v>75</v>
      </c>
      <c r="J409" s="830"/>
      <c r="K409" s="830"/>
      <c r="L409" s="828"/>
      <c r="M409" s="828"/>
      <c r="N409" s="830"/>
      <c r="O409" s="830"/>
      <c r="P409" s="828"/>
      <c r="Q409" s="828"/>
      <c r="R409" s="830"/>
      <c r="S409" s="828"/>
      <c r="T409" s="828"/>
      <c r="U409" s="830"/>
      <c r="V409" s="828"/>
      <c r="W409" s="828"/>
    </row>
    <row r="410" spans="1:23" ht="13.5" customHeight="1" hidden="1">
      <c r="A410" s="832"/>
      <c r="B410" s="833"/>
      <c r="C410" s="834"/>
      <c r="D410" s="835"/>
      <c r="E410" s="831"/>
      <c r="F410" s="831"/>
      <c r="G410" s="831"/>
      <c r="H410" s="425" t="s">
        <v>75</v>
      </c>
      <c r="I410" s="425" t="s">
        <v>75</v>
      </c>
      <c r="J410" s="427">
        <f>K410+N410</f>
        <v>0</v>
      </c>
      <c r="K410" s="427">
        <f>L410+M410</f>
        <v>0</v>
      </c>
      <c r="L410" s="428">
        <v>0</v>
      </c>
      <c r="M410" s="428">
        <v>0</v>
      </c>
      <c r="N410" s="427">
        <f>O410+R410+U410</f>
        <v>0</v>
      </c>
      <c r="O410" s="427">
        <f>P410+Q410</f>
        <v>0</v>
      </c>
      <c r="P410" s="428">
        <v>0</v>
      </c>
      <c r="Q410" s="428">
        <v>0</v>
      </c>
      <c r="R410" s="427">
        <f>S410+T410</f>
        <v>0</v>
      </c>
      <c r="S410" s="428">
        <v>0</v>
      </c>
      <c r="T410" s="428">
        <v>0</v>
      </c>
      <c r="U410" s="427">
        <f>V410+W410</f>
        <v>0</v>
      </c>
      <c r="V410" s="428">
        <v>0</v>
      </c>
      <c r="W410" s="428">
        <v>0</v>
      </c>
    </row>
    <row r="411" spans="1:23" ht="13.5" customHeight="1" hidden="1">
      <c r="A411" s="832"/>
      <c r="B411" s="833"/>
      <c r="C411" s="834"/>
      <c r="D411" s="835"/>
      <c r="E411" s="831"/>
      <c r="F411" s="831"/>
      <c r="G411" s="831"/>
      <c r="H411" s="425" t="s">
        <v>75</v>
      </c>
      <c r="I411" s="425" t="s">
        <v>75</v>
      </c>
      <c r="J411" s="830">
        <f aca="true" t="shared" si="83" ref="J411:W411">J408+J410</f>
        <v>434500</v>
      </c>
      <c r="K411" s="830">
        <f t="shared" si="83"/>
        <v>0</v>
      </c>
      <c r="L411" s="828">
        <f t="shared" si="83"/>
        <v>0</v>
      </c>
      <c r="M411" s="828">
        <f t="shared" si="83"/>
        <v>0</v>
      </c>
      <c r="N411" s="830">
        <f t="shared" si="83"/>
        <v>434500</v>
      </c>
      <c r="O411" s="830">
        <f t="shared" si="83"/>
        <v>434500</v>
      </c>
      <c r="P411" s="828">
        <f t="shared" si="83"/>
        <v>409500</v>
      </c>
      <c r="Q411" s="828">
        <f t="shared" si="83"/>
        <v>25000</v>
      </c>
      <c r="R411" s="830">
        <f t="shared" si="83"/>
        <v>0</v>
      </c>
      <c r="S411" s="828">
        <f t="shared" si="83"/>
        <v>0</v>
      </c>
      <c r="T411" s="828">
        <f t="shared" si="83"/>
        <v>0</v>
      </c>
      <c r="U411" s="830">
        <f t="shared" si="83"/>
        <v>0</v>
      </c>
      <c r="V411" s="828">
        <f t="shared" si="83"/>
        <v>0</v>
      </c>
      <c r="W411" s="828">
        <f t="shared" si="83"/>
        <v>0</v>
      </c>
    </row>
    <row r="412" spans="1:23" ht="13.5" customHeight="1" hidden="1">
      <c r="A412" s="832"/>
      <c r="B412" s="833"/>
      <c r="C412" s="834"/>
      <c r="D412" s="835"/>
      <c r="E412" s="831"/>
      <c r="F412" s="831"/>
      <c r="G412" s="831"/>
      <c r="H412" s="425" t="s">
        <v>75</v>
      </c>
      <c r="I412" s="425" t="s">
        <v>75</v>
      </c>
      <c r="J412" s="830"/>
      <c r="K412" s="830"/>
      <c r="L412" s="828"/>
      <c r="M412" s="828"/>
      <c r="N412" s="830"/>
      <c r="O412" s="830"/>
      <c r="P412" s="828"/>
      <c r="Q412" s="828"/>
      <c r="R412" s="830"/>
      <c r="S412" s="828"/>
      <c r="T412" s="828"/>
      <c r="U412" s="830"/>
      <c r="V412" s="828"/>
      <c r="W412" s="828"/>
    </row>
    <row r="413" spans="1:23" ht="16.5" customHeight="1">
      <c r="A413" s="832">
        <v>3</v>
      </c>
      <c r="B413" s="833" t="s">
        <v>785</v>
      </c>
      <c r="C413" s="834" t="s">
        <v>692</v>
      </c>
      <c r="D413" s="835" t="s">
        <v>786</v>
      </c>
      <c r="E413" s="831" t="s">
        <v>239</v>
      </c>
      <c r="F413" s="831" t="s">
        <v>787</v>
      </c>
      <c r="G413" s="831" t="s">
        <v>755</v>
      </c>
      <c r="H413" s="425" t="s">
        <v>75</v>
      </c>
      <c r="I413" s="425" t="s">
        <v>75</v>
      </c>
      <c r="J413" s="830">
        <f>K413+N413</f>
        <v>1535000</v>
      </c>
      <c r="K413" s="830">
        <f>L413+M413</f>
        <v>0</v>
      </c>
      <c r="L413" s="828">
        <v>0</v>
      </c>
      <c r="M413" s="828">
        <v>0</v>
      </c>
      <c r="N413" s="830">
        <f>O413+R413+U413</f>
        <v>1535000</v>
      </c>
      <c r="O413" s="830">
        <f>P413+Q413</f>
        <v>1535000</v>
      </c>
      <c r="P413" s="828">
        <v>1510000</v>
      </c>
      <c r="Q413" s="828">
        <v>25000</v>
      </c>
      <c r="R413" s="830">
        <f>S413+T413</f>
        <v>0</v>
      </c>
      <c r="S413" s="828">
        <v>0</v>
      </c>
      <c r="T413" s="828">
        <v>0</v>
      </c>
      <c r="U413" s="830">
        <f>V413+W413</f>
        <v>0</v>
      </c>
      <c r="V413" s="828">
        <v>0</v>
      </c>
      <c r="W413" s="828">
        <v>0</v>
      </c>
    </row>
    <row r="414" spans="1:23" ht="16.5" customHeight="1">
      <c r="A414" s="832"/>
      <c r="B414" s="833"/>
      <c r="C414" s="834"/>
      <c r="D414" s="835"/>
      <c r="E414" s="831"/>
      <c r="F414" s="831"/>
      <c r="G414" s="831"/>
      <c r="H414" s="425" t="s">
        <v>75</v>
      </c>
      <c r="I414" s="425" t="s">
        <v>75</v>
      </c>
      <c r="J414" s="830"/>
      <c r="K414" s="830"/>
      <c r="L414" s="828"/>
      <c r="M414" s="828"/>
      <c r="N414" s="830"/>
      <c r="O414" s="830"/>
      <c r="P414" s="828"/>
      <c r="Q414" s="828"/>
      <c r="R414" s="830"/>
      <c r="S414" s="828"/>
      <c r="T414" s="828"/>
      <c r="U414" s="830"/>
      <c r="V414" s="828"/>
      <c r="W414" s="828"/>
    </row>
    <row r="415" spans="1:23" ht="16.5" customHeight="1">
      <c r="A415" s="832"/>
      <c r="B415" s="833"/>
      <c r="C415" s="834"/>
      <c r="D415" s="835"/>
      <c r="E415" s="831"/>
      <c r="F415" s="831"/>
      <c r="G415" s="831"/>
      <c r="H415" s="425" t="s">
        <v>75</v>
      </c>
      <c r="I415" s="425" t="s">
        <v>75</v>
      </c>
      <c r="J415" s="427">
        <f>K415+N415</f>
        <v>-700000</v>
      </c>
      <c r="K415" s="427">
        <f>L415+M415</f>
        <v>0</v>
      </c>
      <c r="L415" s="428">
        <v>0</v>
      </c>
      <c r="M415" s="428">
        <v>0</v>
      </c>
      <c r="N415" s="427">
        <f>O415+R415+U415</f>
        <v>-700000</v>
      </c>
      <c r="O415" s="427">
        <f>P415+Q415</f>
        <v>-700000</v>
      </c>
      <c r="P415" s="428">
        <v>-700000</v>
      </c>
      <c r="Q415" s="428">
        <v>0</v>
      </c>
      <c r="R415" s="427">
        <f>S415+T415</f>
        <v>0</v>
      </c>
      <c r="S415" s="428">
        <v>0</v>
      </c>
      <c r="T415" s="428">
        <v>0</v>
      </c>
      <c r="U415" s="427">
        <f>V415+W415</f>
        <v>0</v>
      </c>
      <c r="V415" s="428">
        <v>0</v>
      </c>
      <c r="W415" s="428">
        <v>0</v>
      </c>
    </row>
    <row r="416" spans="1:23" ht="16.5" customHeight="1">
      <c r="A416" s="832"/>
      <c r="B416" s="833"/>
      <c r="C416" s="834"/>
      <c r="D416" s="835"/>
      <c r="E416" s="831"/>
      <c r="F416" s="831"/>
      <c r="G416" s="831"/>
      <c r="H416" s="425" t="s">
        <v>75</v>
      </c>
      <c r="I416" s="425" t="s">
        <v>75</v>
      </c>
      <c r="J416" s="830">
        <f aca="true" t="shared" si="84" ref="J416:W416">J413+J415</f>
        <v>835000</v>
      </c>
      <c r="K416" s="830">
        <f t="shared" si="84"/>
        <v>0</v>
      </c>
      <c r="L416" s="828">
        <f t="shared" si="84"/>
        <v>0</v>
      </c>
      <c r="M416" s="828">
        <f t="shared" si="84"/>
        <v>0</v>
      </c>
      <c r="N416" s="830">
        <f t="shared" si="84"/>
        <v>835000</v>
      </c>
      <c r="O416" s="830">
        <f t="shared" si="84"/>
        <v>835000</v>
      </c>
      <c r="P416" s="828">
        <f t="shared" si="84"/>
        <v>810000</v>
      </c>
      <c r="Q416" s="828">
        <f t="shared" si="84"/>
        <v>25000</v>
      </c>
      <c r="R416" s="830">
        <f t="shared" si="84"/>
        <v>0</v>
      </c>
      <c r="S416" s="828">
        <f t="shared" si="84"/>
        <v>0</v>
      </c>
      <c r="T416" s="828">
        <f t="shared" si="84"/>
        <v>0</v>
      </c>
      <c r="U416" s="830">
        <f t="shared" si="84"/>
        <v>0</v>
      </c>
      <c r="V416" s="828">
        <f t="shared" si="84"/>
        <v>0</v>
      </c>
      <c r="W416" s="828">
        <f t="shared" si="84"/>
        <v>0</v>
      </c>
    </row>
    <row r="417" spans="1:23" ht="16.5" customHeight="1">
      <c r="A417" s="832"/>
      <c r="B417" s="833"/>
      <c r="C417" s="834"/>
      <c r="D417" s="835"/>
      <c r="E417" s="831"/>
      <c r="F417" s="831"/>
      <c r="G417" s="831"/>
      <c r="H417" s="425" t="s">
        <v>75</v>
      </c>
      <c r="I417" s="425" t="s">
        <v>75</v>
      </c>
      <c r="J417" s="830"/>
      <c r="K417" s="830"/>
      <c r="L417" s="828"/>
      <c r="M417" s="828"/>
      <c r="N417" s="830"/>
      <c r="O417" s="830"/>
      <c r="P417" s="828"/>
      <c r="Q417" s="828"/>
      <c r="R417" s="830"/>
      <c r="S417" s="828"/>
      <c r="T417" s="828"/>
      <c r="U417" s="830"/>
      <c r="V417" s="828"/>
      <c r="W417" s="828"/>
    </row>
    <row r="418" spans="1:23" ht="14.25" customHeight="1" hidden="1">
      <c r="A418" s="832">
        <v>12</v>
      </c>
      <c r="B418" s="833" t="s">
        <v>788</v>
      </c>
      <c r="C418" s="834" t="s">
        <v>705</v>
      </c>
      <c r="D418" s="835" t="s">
        <v>789</v>
      </c>
      <c r="E418" s="831" t="s">
        <v>239</v>
      </c>
      <c r="F418" s="831" t="s">
        <v>790</v>
      </c>
      <c r="G418" s="831" t="s">
        <v>755</v>
      </c>
      <c r="H418" s="425" t="s">
        <v>75</v>
      </c>
      <c r="I418" s="425" t="s">
        <v>75</v>
      </c>
      <c r="J418" s="830">
        <f>K418+N418</f>
        <v>115000</v>
      </c>
      <c r="K418" s="830">
        <f>L418+M418</f>
        <v>0</v>
      </c>
      <c r="L418" s="828">
        <v>0</v>
      </c>
      <c r="M418" s="828">
        <v>0</v>
      </c>
      <c r="N418" s="830">
        <f>O418+R418+U418</f>
        <v>115000</v>
      </c>
      <c r="O418" s="830">
        <f>P418+Q418</f>
        <v>115000</v>
      </c>
      <c r="P418" s="828">
        <v>115000</v>
      </c>
      <c r="Q418" s="828">
        <v>0</v>
      </c>
      <c r="R418" s="830">
        <f>S418+T418</f>
        <v>0</v>
      </c>
      <c r="S418" s="828">
        <v>0</v>
      </c>
      <c r="T418" s="828">
        <v>0</v>
      </c>
      <c r="U418" s="830">
        <f>V418+W418</f>
        <v>0</v>
      </c>
      <c r="V418" s="828">
        <v>0</v>
      </c>
      <c r="W418" s="828">
        <v>0</v>
      </c>
    </row>
    <row r="419" spans="1:23" ht="14.25" customHeight="1" hidden="1">
      <c r="A419" s="832"/>
      <c r="B419" s="833"/>
      <c r="C419" s="834"/>
      <c r="D419" s="835"/>
      <c r="E419" s="831"/>
      <c r="F419" s="831"/>
      <c r="G419" s="831"/>
      <c r="H419" s="425" t="s">
        <v>75</v>
      </c>
      <c r="I419" s="425" t="s">
        <v>75</v>
      </c>
      <c r="J419" s="830"/>
      <c r="K419" s="830"/>
      <c r="L419" s="828"/>
      <c r="M419" s="828"/>
      <c r="N419" s="830"/>
      <c r="O419" s="830"/>
      <c r="P419" s="828"/>
      <c r="Q419" s="828"/>
      <c r="R419" s="830"/>
      <c r="S419" s="828"/>
      <c r="T419" s="828"/>
      <c r="U419" s="830"/>
      <c r="V419" s="828"/>
      <c r="W419" s="828"/>
    </row>
    <row r="420" spans="1:23" ht="14.25" customHeight="1" hidden="1">
      <c r="A420" s="832"/>
      <c r="B420" s="833"/>
      <c r="C420" s="834"/>
      <c r="D420" s="835"/>
      <c r="E420" s="831"/>
      <c r="F420" s="831"/>
      <c r="G420" s="831"/>
      <c r="H420" s="425" t="s">
        <v>75</v>
      </c>
      <c r="I420" s="425" t="s">
        <v>75</v>
      </c>
      <c r="J420" s="427">
        <f>K420+N420</f>
        <v>0</v>
      </c>
      <c r="K420" s="427">
        <f>L420+M420</f>
        <v>0</v>
      </c>
      <c r="L420" s="428">
        <v>0</v>
      </c>
      <c r="M420" s="428">
        <v>0</v>
      </c>
      <c r="N420" s="427">
        <f>O420+R420+U420</f>
        <v>0</v>
      </c>
      <c r="O420" s="427">
        <f>P420+Q420</f>
        <v>0</v>
      </c>
      <c r="P420" s="428">
        <v>0</v>
      </c>
      <c r="Q420" s="428">
        <v>0</v>
      </c>
      <c r="R420" s="427">
        <f>S420+T420</f>
        <v>0</v>
      </c>
      <c r="S420" s="428">
        <v>0</v>
      </c>
      <c r="T420" s="428">
        <v>0</v>
      </c>
      <c r="U420" s="427">
        <f>V420+W420</f>
        <v>0</v>
      </c>
      <c r="V420" s="428">
        <v>0</v>
      </c>
      <c r="W420" s="428">
        <v>0</v>
      </c>
    </row>
    <row r="421" spans="1:23" ht="14.25" customHeight="1" hidden="1">
      <c r="A421" s="832"/>
      <c r="B421" s="833"/>
      <c r="C421" s="834"/>
      <c r="D421" s="835"/>
      <c r="E421" s="831"/>
      <c r="F421" s="831"/>
      <c r="G421" s="831"/>
      <c r="H421" s="425" t="s">
        <v>75</v>
      </c>
      <c r="I421" s="425" t="s">
        <v>75</v>
      </c>
      <c r="J421" s="830">
        <f aca="true" t="shared" si="85" ref="J421:W421">J418+J420</f>
        <v>115000</v>
      </c>
      <c r="K421" s="830">
        <f t="shared" si="85"/>
        <v>0</v>
      </c>
      <c r="L421" s="828">
        <f t="shared" si="85"/>
        <v>0</v>
      </c>
      <c r="M421" s="828">
        <f t="shared" si="85"/>
        <v>0</v>
      </c>
      <c r="N421" s="830">
        <f t="shared" si="85"/>
        <v>115000</v>
      </c>
      <c r="O421" s="830">
        <f t="shared" si="85"/>
        <v>115000</v>
      </c>
      <c r="P421" s="828">
        <f t="shared" si="85"/>
        <v>115000</v>
      </c>
      <c r="Q421" s="828">
        <f t="shared" si="85"/>
        <v>0</v>
      </c>
      <c r="R421" s="830">
        <f t="shared" si="85"/>
        <v>0</v>
      </c>
      <c r="S421" s="828">
        <f t="shared" si="85"/>
        <v>0</v>
      </c>
      <c r="T421" s="828">
        <f t="shared" si="85"/>
        <v>0</v>
      </c>
      <c r="U421" s="830">
        <f t="shared" si="85"/>
        <v>0</v>
      </c>
      <c r="V421" s="828">
        <f t="shared" si="85"/>
        <v>0</v>
      </c>
      <c r="W421" s="828">
        <f t="shared" si="85"/>
        <v>0</v>
      </c>
    </row>
    <row r="422" spans="1:23" ht="14.25" customHeight="1" hidden="1">
      <c r="A422" s="832"/>
      <c r="B422" s="833"/>
      <c r="C422" s="834"/>
      <c r="D422" s="835"/>
      <c r="E422" s="831"/>
      <c r="F422" s="831"/>
      <c r="G422" s="831"/>
      <c r="H422" s="425" t="s">
        <v>75</v>
      </c>
      <c r="I422" s="425" t="s">
        <v>75</v>
      </c>
      <c r="J422" s="830"/>
      <c r="K422" s="830"/>
      <c r="L422" s="828"/>
      <c r="M422" s="828"/>
      <c r="N422" s="830"/>
      <c r="O422" s="830"/>
      <c r="P422" s="828"/>
      <c r="Q422" s="828"/>
      <c r="R422" s="830"/>
      <c r="S422" s="828"/>
      <c r="T422" s="828"/>
      <c r="U422" s="830"/>
      <c r="V422" s="828"/>
      <c r="W422" s="828"/>
    </row>
    <row r="423" spans="1:23" ht="14.25" customHeight="1">
      <c r="A423" s="832">
        <v>4</v>
      </c>
      <c r="B423" s="833" t="s">
        <v>699</v>
      </c>
      <c r="C423" s="834" t="s">
        <v>700</v>
      </c>
      <c r="D423" s="835" t="s">
        <v>791</v>
      </c>
      <c r="E423" s="831" t="s">
        <v>239</v>
      </c>
      <c r="F423" s="831" t="s">
        <v>792</v>
      </c>
      <c r="G423" s="831" t="s">
        <v>755</v>
      </c>
      <c r="H423" s="425" t="s">
        <v>75</v>
      </c>
      <c r="I423" s="425" t="s">
        <v>75</v>
      </c>
      <c r="J423" s="830">
        <f>K423+N423</f>
        <v>200000</v>
      </c>
      <c r="K423" s="830">
        <f>L423+M423</f>
        <v>0</v>
      </c>
      <c r="L423" s="828">
        <v>0</v>
      </c>
      <c r="M423" s="828">
        <v>0</v>
      </c>
      <c r="N423" s="830">
        <f>O423+R423+U423</f>
        <v>200000</v>
      </c>
      <c r="O423" s="830">
        <f>P423+Q423</f>
        <v>200000</v>
      </c>
      <c r="P423" s="828">
        <v>200000</v>
      </c>
      <c r="Q423" s="828">
        <v>0</v>
      </c>
      <c r="R423" s="830">
        <f>S423+T423</f>
        <v>0</v>
      </c>
      <c r="S423" s="828">
        <v>0</v>
      </c>
      <c r="T423" s="828">
        <v>0</v>
      </c>
      <c r="U423" s="830">
        <f>V423+W423</f>
        <v>0</v>
      </c>
      <c r="V423" s="828">
        <v>0</v>
      </c>
      <c r="W423" s="828">
        <v>0</v>
      </c>
    </row>
    <row r="424" spans="1:23" ht="14.25" customHeight="1">
      <c r="A424" s="832"/>
      <c r="B424" s="833"/>
      <c r="C424" s="834"/>
      <c r="D424" s="835"/>
      <c r="E424" s="831"/>
      <c r="F424" s="831"/>
      <c r="G424" s="831"/>
      <c r="H424" s="425" t="s">
        <v>75</v>
      </c>
      <c r="I424" s="425" t="s">
        <v>75</v>
      </c>
      <c r="J424" s="830"/>
      <c r="K424" s="830"/>
      <c r="L424" s="828"/>
      <c r="M424" s="828"/>
      <c r="N424" s="830"/>
      <c r="O424" s="830"/>
      <c r="P424" s="828"/>
      <c r="Q424" s="828"/>
      <c r="R424" s="830"/>
      <c r="S424" s="828"/>
      <c r="T424" s="828"/>
      <c r="U424" s="830"/>
      <c r="V424" s="828"/>
      <c r="W424" s="828"/>
    </row>
    <row r="425" spans="1:23" ht="14.25" customHeight="1">
      <c r="A425" s="832"/>
      <c r="B425" s="833"/>
      <c r="C425" s="834"/>
      <c r="D425" s="835"/>
      <c r="E425" s="831"/>
      <c r="F425" s="831"/>
      <c r="G425" s="831"/>
      <c r="H425" s="425" t="s">
        <v>75</v>
      </c>
      <c r="I425" s="425" t="s">
        <v>75</v>
      </c>
      <c r="J425" s="427">
        <f>K425+N425</f>
        <v>-77968</v>
      </c>
      <c r="K425" s="427">
        <f>L425+M425</f>
        <v>0</v>
      </c>
      <c r="L425" s="428">
        <v>0</v>
      </c>
      <c r="M425" s="428">
        <v>0</v>
      </c>
      <c r="N425" s="427">
        <f>O425+R425+U425</f>
        <v>-77968</v>
      </c>
      <c r="O425" s="427">
        <f>P425+Q425</f>
        <v>-77968</v>
      </c>
      <c r="P425" s="428">
        <v>-77968</v>
      </c>
      <c r="Q425" s="428">
        <v>0</v>
      </c>
      <c r="R425" s="427">
        <f>S425+T425</f>
        <v>0</v>
      </c>
      <c r="S425" s="428">
        <v>0</v>
      </c>
      <c r="T425" s="428">
        <v>0</v>
      </c>
      <c r="U425" s="427">
        <f>V425+W425</f>
        <v>0</v>
      </c>
      <c r="V425" s="428">
        <v>0</v>
      </c>
      <c r="W425" s="428">
        <v>0</v>
      </c>
    </row>
    <row r="426" spans="1:23" ht="14.25" customHeight="1">
      <c r="A426" s="832"/>
      <c r="B426" s="833"/>
      <c r="C426" s="834"/>
      <c r="D426" s="835"/>
      <c r="E426" s="831"/>
      <c r="F426" s="831"/>
      <c r="G426" s="831"/>
      <c r="H426" s="425" t="s">
        <v>75</v>
      </c>
      <c r="I426" s="425" t="s">
        <v>75</v>
      </c>
      <c r="J426" s="830">
        <f aca="true" t="shared" si="86" ref="J426:W426">J423+J425</f>
        <v>122032</v>
      </c>
      <c r="K426" s="830">
        <f t="shared" si="86"/>
        <v>0</v>
      </c>
      <c r="L426" s="828">
        <f t="shared" si="86"/>
        <v>0</v>
      </c>
      <c r="M426" s="828">
        <f t="shared" si="86"/>
        <v>0</v>
      </c>
      <c r="N426" s="830">
        <f t="shared" si="86"/>
        <v>122032</v>
      </c>
      <c r="O426" s="830">
        <f t="shared" si="86"/>
        <v>122032</v>
      </c>
      <c r="P426" s="828">
        <f t="shared" si="86"/>
        <v>122032</v>
      </c>
      <c r="Q426" s="828">
        <f t="shared" si="86"/>
        <v>0</v>
      </c>
      <c r="R426" s="830">
        <f t="shared" si="86"/>
        <v>0</v>
      </c>
      <c r="S426" s="828">
        <f t="shared" si="86"/>
        <v>0</v>
      </c>
      <c r="T426" s="828">
        <f t="shared" si="86"/>
        <v>0</v>
      </c>
      <c r="U426" s="830">
        <f t="shared" si="86"/>
        <v>0</v>
      </c>
      <c r="V426" s="828">
        <f t="shared" si="86"/>
        <v>0</v>
      </c>
      <c r="W426" s="828">
        <f t="shared" si="86"/>
        <v>0</v>
      </c>
    </row>
    <row r="427" spans="1:23" ht="14.25" customHeight="1">
      <c r="A427" s="832"/>
      <c r="B427" s="833"/>
      <c r="C427" s="834"/>
      <c r="D427" s="835"/>
      <c r="E427" s="831"/>
      <c r="F427" s="831"/>
      <c r="G427" s="831"/>
      <c r="H427" s="425" t="s">
        <v>75</v>
      </c>
      <c r="I427" s="425" t="s">
        <v>75</v>
      </c>
      <c r="J427" s="830"/>
      <c r="K427" s="830"/>
      <c r="L427" s="828"/>
      <c r="M427" s="828"/>
      <c r="N427" s="830"/>
      <c r="O427" s="830"/>
      <c r="P427" s="828"/>
      <c r="Q427" s="828"/>
      <c r="R427" s="830"/>
      <c r="S427" s="828"/>
      <c r="T427" s="828"/>
      <c r="U427" s="830"/>
      <c r="V427" s="828"/>
      <c r="W427" s="828"/>
    </row>
    <row r="428" spans="1:23" ht="13.5" customHeight="1" hidden="1">
      <c r="A428" s="839">
        <v>2</v>
      </c>
      <c r="B428" s="842" t="s">
        <v>704</v>
      </c>
      <c r="C428" s="845" t="s">
        <v>705</v>
      </c>
      <c r="D428" s="848" t="s">
        <v>793</v>
      </c>
      <c r="E428" s="836" t="s">
        <v>239</v>
      </c>
      <c r="F428" s="836" t="s">
        <v>784</v>
      </c>
      <c r="G428" s="836" t="s">
        <v>755</v>
      </c>
      <c r="H428" s="425" t="s">
        <v>75</v>
      </c>
      <c r="I428" s="425" t="s">
        <v>75</v>
      </c>
      <c r="J428" s="830">
        <f>K428+N428</f>
        <v>957000</v>
      </c>
      <c r="K428" s="830">
        <f>L428+M428</f>
        <v>0</v>
      </c>
      <c r="L428" s="828">
        <v>0</v>
      </c>
      <c r="M428" s="828">
        <v>0</v>
      </c>
      <c r="N428" s="830">
        <f>O428+R428+U428</f>
        <v>957000</v>
      </c>
      <c r="O428" s="830">
        <f>P428+Q428</f>
        <v>957000</v>
      </c>
      <c r="P428" s="828">
        <v>935000</v>
      </c>
      <c r="Q428" s="828">
        <v>22000</v>
      </c>
      <c r="R428" s="830">
        <f>S428+T428</f>
        <v>0</v>
      </c>
      <c r="S428" s="828">
        <v>0</v>
      </c>
      <c r="T428" s="828">
        <v>0</v>
      </c>
      <c r="U428" s="830">
        <f>V428+W428</f>
        <v>0</v>
      </c>
      <c r="V428" s="828">
        <v>0</v>
      </c>
      <c r="W428" s="828">
        <v>0</v>
      </c>
    </row>
    <row r="429" spans="1:23" ht="13.5" customHeight="1" hidden="1">
      <c r="A429" s="840"/>
      <c r="B429" s="843"/>
      <c r="C429" s="846"/>
      <c r="D429" s="849"/>
      <c r="E429" s="837"/>
      <c r="F429" s="837"/>
      <c r="G429" s="837"/>
      <c r="H429" s="425" t="s">
        <v>75</v>
      </c>
      <c r="I429" s="425" t="s">
        <v>75</v>
      </c>
      <c r="J429" s="830"/>
      <c r="K429" s="830"/>
      <c r="L429" s="828"/>
      <c r="M429" s="828"/>
      <c r="N429" s="830"/>
      <c r="O429" s="830"/>
      <c r="P429" s="828"/>
      <c r="Q429" s="828"/>
      <c r="R429" s="830"/>
      <c r="S429" s="828"/>
      <c r="T429" s="828"/>
      <c r="U429" s="830"/>
      <c r="V429" s="828"/>
      <c r="W429" s="828"/>
    </row>
    <row r="430" spans="1:23" ht="13.5" customHeight="1" hidden="1">
      <c r="A430" s="840"/>
      <c r="B430" s="843"/>
      <c r="C430" s="846"/>
      <c r="D430" s="849"/>
      <c r="E430" s="837"/>
      <c r="F430" s="837"/>
      <c r="G430" s="837"/>
      <c r="H430" s="425" t="s">
        <v>75</v>
      </c>
      <c r="I430" s="425" t="s">
        <v>75</v>
      </c>
      <c r="J430" s="427">
        <f>K430+N430</f>
        <v>0</v>
      </c>
      <c r="K430" s="427">
        <f>L430+M430</f>
        <v>0</v>
      </c>
      <c r="L430" s="428">
        <v>0</v>
      </c>
      <c r="M430" s="428">
        <v>0</v>
      </c>
      <c r="N430" s="427">
        <f>O430+R430+U430</f>
        <v>0</v>
      </c>
      <c r="O430" s="427">
        <f>P430+Q430</f>
        <v>0</v>
      </c>
      <c r="P430" s="428">
        <v>0</v>
      </c>
      <c r="Q430" s="428">
        <v>0</v>
      </c>
      <c r="R430" s="427">
        <f>S430+T430</f>
        <v>0</v>
      </c>
      <c r="S430" s="428">
        <v>0</v>
      </c>
      <c r="T430" s="428">
        <v>0</v>
      </c>
      <c r="U430" s="427">
        <f>V430+W430</f>
        <v>0</v>
      </c>
      <c r="V430" s="428">
        <v>0</v>
      </c>
      <c r="W430" s="428">
        <v>0</v>
      </c>
    </row>
    <row r="431" spans="1:23" ht="13.5" customHeight="1" hidden="1">
      <c r="A431" s="840"/>
      <c r="B431" s="843"/>
      <c r="C431" s="846"/>
      <c r="D431" s="849"/>
      <c r="E431" s="837"/>
      <c r="F431" s="837"/>
      <c r="G431" s="837"/>
      <c r="H431" s="425" t="s">
        <v>75</v>
      </c>
      <c r="I431" s="425" t="s">
        <v>75</v>
      </c>
      <c r="J431" s="830">
        <f aca="true" t="shared" si="87" ref="J431:W431">J428+J430</f>
        <v>957000</v>
      </c>
      <c r="K431" s="830">
        <f t="shared" si="87"/>
        <v>0</v>
      </c>
      <c r="L431" s="828">
        <f t="shared" si="87"/>
        <v>0</v>
      </c>
      <c r="M431" s="828">
        <f t="shared" si="87"/>
        <v>0</v>
      </c>
      <c r="N431" s="830">
        <f t="shared" si="87"/>
        <v>957000</v>
      </c>
      <c r="O431" s="830">
        <f t="shared" si="87"/>
        <v>957000</v>
      </c>
      <c r="P431" s="828">
        <f t="shared" si="87"/>
        <v>935000</v>
      </c>
      <c r="Q431" s="828">
        <f t="shared" si="87"/>
        <v>22000</v>
      </c>
      <c r="R431" s="830">
        <f t="shared" si="87"/>
        <v>0</v>
      </c>
      <c r="S431" s="828">
        <f t="shared" si="87"/>
        <v>0</v>
      </c>
      <c r="T431" s="828">
        <f t="shared" si="87"/>
        <v>0</v>
      </c>
      <c r="U431" s="830">
        <f t="shared" si="87"/>
        <v>0</v>
      </c>
      <c r="V431" s="828">
        <f t="shared" si="87"/>
        <v>0</v>
      </c>
      <c r="W431" s="828">
        <f t="shared" si="87"/>
        <v>0</v>
      </c>
    </row>
    <row r="432" spans="1:23" ht="13.5" customHeight="1" hidden="1">
      <c r="A432" s="841"/>
      <c r="B432" s="844"/>
      <c r="C432" s="847"/>
      <c r="D432" s="850"/>
      <c r="E432" s="838"/>
      <c r="F432" s="838"/>
      <c r="G432" s="838"/>
      <c r="H432" s="425" t="s">
        <v>75</v>
      </c>
      <c r="I432" s="425" t="s">
        <v>75</v>
      </c>
      <c r="J432" s="830"/>
      <c r="K432" s="830"/>
      <c r="L432" s="828"/>
      <c r="M432" s="828"/>
      <c r="N432" s="830"/>
      <c r="O432" s="830"/>
      <c r="P432" s="828"/>
      <c r="Q432" s="828"/>
      <c r="R432" s="830"/>
      <c r="S432" s="828"/>
      <c r="T432" s="828"/>
      <c r="U432" s="830"/>
      <c r="V432" s="828"/>
      <c r="W432" s="828"/>
    </row>
    <row r="433" spans="1:23" ht="13.5" customHeight="1" hidden="1">
      <c r="A433" s="832">
        <v>3</v>
      </c>
      <c r="B433" s="833" t="s">
        <v>709</v>
      </c>
      <c r="C433" s="834" t="s">
        <v>705</v>
      </c>
      <c r="D433" s="835" t="s">
        <v>794</v>
      </c>
      <c r="E433" s="831" t="s">
        <v>239</v>
      </c>
      <c r="F433" s="831" t="s">
        <v>792</v>
      </c>
      <c r="G433" s="831" t="s">
        <v>755</v>
      </c>
      <c r="H433" s="425" t="s">
        <v>75</v>
      </c>
      <c r="I433" s="425" t="s">
        <v>75</v>
      </c>
      <c r="J433" s="830">
        <f>K433+N433</f>
        <v>4254742</v>
      </c>
      <c r="K433" s="830">
        <f>L433+M433</f>
        <v>0</v>
      </c>
      <c r="L433" s="828">
        <v>0</v>
      </c>
      <c r="M433" s="828">
        <v>0</v>
      </c>
      <c r="N433" s="830">
        <f>O433+R433+U433</f>
        <v>4254742</v>
      </c>
      <c r="O433" s="830">
        <f>P433+Q433</f>
        <v>4254742</v>
      </c>
      <c r="P433" s="828">
        <v>4113847</v>
      </c>
      <c r="Q433" s="828">
        <v>140895</v>
      </c>
      <c r="R433" s="830">
        <f>S433+T433</f>
        <v>0</v>
      </c>
      <c r="S433" s="828">
        <v>0</v>
      </c>
      <c r="T433" s="828">
        <v>0</v>
      </c>
      <c r="U433" s="830">
        <f>V433+W433</f>
        <v>0</v>
      </c>
      <c r="V433" s="828">
        <v>0</v>
      </c>
      <c r="W433" s="828">
        <v>0</v>
      </c>
    </row>
    <row r="434" spans="1:23" ht="13.5" customHeight="1" hidden="1">
      <c r="A434" s="832"/>
      <c r="B434" s="833"/>
      <c r="C434" s="834"/>
      <c r="D434" s="835"/>
      <c r="E434" s="831"/>
      <c r="F434" s="831"/>
      <c r="G434" s="831"/>
      <c r="H434" s="425" t="s">
        <v>75</v>
      </c>
      <c r="I434" s="425" t="s">
        <v>75</v>
      </c>
      <c r="J434" s="830"/>
      <c r="K434" s="830"/>
      <c r="L434" s="828"/>
      <c r="M434" s="828"/>
      <c r="N434" s="830"/>
      <c r="O434" s="830"/>
      <c r="P434" s="828"/>
      <c r="Q434" s="828"/>
      <c r="R434" s="830"/>
      <c r="S434" s="828"/>
      <c r="T434" s="828"/>
      <c r="U434" s="830"/>
      <c r="V434" s="828"/>
      <c r="W434" s="828"/>
    </row>
    <row r="435" spans="1:23" ht="13.5" customHeight="1" hidden="1">
      <c r="A435" s="832"/>
      <c r="B435" s="833"/>
      <c r="C435" s="834"/>
      <c r="D435" s="835"/>
      <c r="E435" s="831"/>
      <c r="F435" s="831"/>
      <c r="G435" s="831"/>
      <c r="H435" s="425" t="s">
        <v>75</v>
      </c>
      <c r="I435" s="425" t="s">
        <v>75</v>
      </c>
      <c r="J435" s="427">
        <f>K435+N435</f>
        <v>0</v>
      </c>
      <c r="K435" s="427">
        <f>L435+M435</f>
        <v>0</v>
      </c>
      <c r="L435" s="428">
        <v>0</v>
      </c>
      <c r="M435" s="428">
        <v>0</v>
      </c>
      <c r="N435" s="427">
        <f>O435+R435+U435</f>
        <v>0</v>
      </c>
      <c r="O435" s="427">
        <f>P435+Q435</f>
        <v>0</v>
      </c>
      <c r="P435" s="428">
        <v>0</v>
      </c>
      <c r="Q435" s="428">
        <v>0</v>
      </c>
      <c r="R435" s="427">
        <f>S435+T435</f>
        <v>0</v>
      </c>
      <c r="S435" s="428">
        <v>0</v>
      </c>
      <c r="T435" s="428">
        <v>0</v>
      </c>
      <c r="U435" s="427">
        <f>V435+W435</f>
        <v>0</v>
      </c>
      <c r="V435" s="428">
        <v>0</v>
      </c>
      <c r="W435" s="428">
        <v>0</v>
      </c>
    </row>
    <row r="436" spans="1:23" ht="13.5" customHeight="1" hidden="1">
      <c r="A436" s="832"/>
      <c r="B436" s="833"/>
      <c r="C436" s="834"/>
      <c r="D436" s="835"/>
      <c r="E436" s="831"/>
      <c r="F436" s="831"/>
      <c r="G436" s="831"/>
      <c r="H436" s="425" t="s">
        <v>75</v>
      </c>
      <c r="I436" s="425" t="s">
        <v>75</v>
      </c>
      <c r="J436" s="830">
        <f aca="true" t="shared" si="88" ref="J436:W436">J433+J435</f>
        <v>4254742</v>
      </c>
      <c r="K436" s="830">
        <f t="shared" si="88"/>
        <v>0</v>
      </c>
      <c r="L436" s="828">
        <f t="shared" si="88"/>
        <v>0</v>
      </c>
      <c r="M436" s="828">
        <f t="shared" si="88"/>
        <v>0</v>
      </c>
      <c r="N436" s="830">
        <f t="shared" si="88"/>
        <v>4254742</v>
      </c>
      <c r="O436" s="830">
        <f t="shared" si="88"/>
        <v>4254742</v>
      </c>
      <c r="P436" s="828">
        <f t="shared" si="88"/>
        <v>4113847</v>
      </c>
      <c r="Q436" s="828">
        <f t="shared" si="88"/>
        <v>140895</v>
      </c>
      <c r="R436" s="830">
        <f t="shared" si="88"/>
        <v>0</v>
      </c>
      <c r="S436" s="828">
        <f t="shared" si="88"/>
        <v>0</v>
      </c>
      <c r="T436" s="828">
        <f t="shared" si="88"/>
        <v>0</v>
      </c>
      <c r="U436" s="830">
        <f t="shared" si="88"/>
        <v>0</v>
      </c>
      <c r="V436" s="828">
        <f t="shared" si="88"/>
        <v>0</v>
      </c>
      <c r="W436" s="828">
        <f t="shared" si="88"/>
        <v>0</v>
      </c>
    </row>
    <row r="437" spans="1:23" ht="13.5" customHeight="1" hidden="1">
      <c r="A437" s="832"/>
      <c r="B437" s="833"/>
      <c r="C437" s="834"/>
      <c r="D437" s="835"/>
      <c r="E437" s="831"/>
      <c r="F437" s="831"/>
      <c r="G437" s="831"/>
      <c r="H437" s="425" t="s">
        <v>75</v>
      </c>
      <c r="I437" s="425" t="s">
        <v>75</v>
      </c>
      <c r="J437" s="830"/>
      <c r="K437" s="830"/>
      <c r="L437" s="828"/>
      <c r="M437" s="828"/>
      <c r="N437" s="830"/>
      <c r="O437" s="830"/>
      <c r="P437" s="828"/>
      <c r="Q437" s="828"/>
      <c r="R437" s="830"/>
      <c r="S437" s="828"/>
      <c r="T437" s="828"/>
      <c r="U437" s="830"/>
      <c r="V437" s="828"/>
      <c r="W437" s="828"/>
    </row>
    <row r="438" spans="1:23" ht="13.5" customHeight="1" hidden="1">
      <c r="A438" s="832">
        <v>16</v>
      </c>
      <c r="B438" s="833" t="s">
        <v>795</v>
      </c>
      <c r="C438" s="834" t="s">
        <v>715</v>
      </c>
      <c r="D438" s="835" t="s">
        <v>796</v>
      </c>
      <c r="E438" s="831" t="s">
        <v>239</v>
      </c>
      <c r="F438" s="831" t="s">
        <v>797</v>
      </c>
      <c r="G438" s="831" t="s">
        <v>755</v>
      </c>
      <c r="H438" s="425" t="s">
        <v>75</v>
      </c>
      <c r="I438" s="425" t="s">
        <v>75</v>
      </c>
      <c r="J438" s="830">
        <f>K438+N438</f>
        <v>1500000</v>
      </c>
      <c r="K438" s="830">
        <f>L438+M438</f>
        <v>0</v>
      </c>
      <c r="L438" s="828">
        <v>0</v>
      </c>
      <c r="M438" s="828">
        <v>0</v>
      </c>
      <c r="N438" s="830">
        <f>O438+R438+U438</f>
        <v>1500000</v>
      </c>
      <c r="O438" s="830">
        <f>P438+Q438</f>
        <v>1500000</v>
      </c>
      <c r="P438" s="828">
        <v>1500000</v>
      </c>
      <c r="Q438" s="828">
        <v>0</v>
      </c>
      <c r="R438" s="830">
        <f>S438+T438</f>
        <v>0</v>
      </c>
      <c r="S438" s="828">
        <v>0</v>
      </c>
      <c r="T438" s="828">
        <v>0</v>
      </c>
      <c r="U438" s="830">
        <f>V438+W438</f>
        <v>0</v>
      </c>
      <c r="V438" s="828">
        <v>0</v>
      </c>
      <c r="W438" s="828">
        <v>0</v>
      </c>
    </row>
    <row r="439" spans="1:23" ht="13.5" customHeight="1" hidden="1">
      <c r="A439" s="832"/>
      <c r="B439" s="833"/>
      <c r="C439" s="834"/>
      <c r="D439" s="835"/>
      <c r="E439" s="831"/>
      <c r="F439" s="831"/>
      <c r="G439" s="831"/>
      <c r="H439" s="425" t="s">
        <v>75</v>
      </c>
      <c r="I439" s="425" t="s">
        <v>75</v>
      </c>
      <c r="J439" s="830"/>
      <c r="K439" s="830"/>
      <c r="L439" s="828"/>
      <c r="M439" s="828"/>
      <c r="N439" s="830"/>
      <c r="O439" s="830"/>
      <c r="P439" s="828"/>
      <c r="Q439" s="828"/>
      <c r="R439" s="830"/>
      <c r="S439" s="828"/>
      <c r="T439" s="828"/>
      <c r="U439" s="830"/>
      <c r="V439" s="828"/>
      <c r="W439" s="828"/>
    </row>
    <row r="440" spans="1:23" ht="13.5" customHeight="1" hidden="1">
      <c r="A440" s="832"/>
      <c r="B440" s="833"/>
      <c r="C440" s="834"/>
      <c r="D440" s="835"/>
      <c r="E440" s="831"/>
      <c r="F440" s="831"/>
      <c r="G440" s="831"/>
      <c r="H440" s="425" t="s">
        <v>75</v>
      </c>
      <c r="I440" s="425" t="s">
        <v>75</v>
      </c>
      <c r="J440" s="427">
        <f>K440+N440</f>
        <v>0</v>
      </c>
      <c r="K440" s="427">
        <f>L440+M440</f>
        <v>0</v>
      </c>
      <c r="L440" s="428">
        <v>0</v>
      </c>
      <c r="M440" s="428">
        <v>0</v>
      </c>
      <c r="N440" s="427">
        <f>O440+R440+U440</f>
        <v>0</v>
      </c>
      <c r="O440" s="427">
        <f>P440+Q440</f>
        <v>0</v>
      </c>
      <c r="P440" s="428">
        <v>0</v>
      </c>
      <c r="Q440" s="428">
        <v>0</v>
      </c>
      <c r="R440" s="427">
        <f>S440+T440</f>
        <v>0</v>
      </c>
      <c r="S440" s="428">
        <v>0</v>
      </c>
      <c r="T440" s="428">
        <v>0</v>
      </c>
      <c r="U440" s="427">
        <f>V440+W440</f>
        <v>0</v>
      </c>
      <c r="V440" s="428">
        <v>0</v>
      </c>
      <c r="W440" s="428">
        <v>0</v>
      </c>
    </row>
    <row r="441" spans="1:23" ht="13.5" customHeight="1" hidden="1">
      <c r="A441" s="832"/>
      <c r="B441" s="833"/>
      <c r="C441" s="834"/>
      <c r="D441" s="835"/>
      <c r="E441" s="831"/>
      <c r="F441" s="831"/>
      <c r="G441" s="831"/>
      <c r="H441" s="425" t="s">
        <v>75</v>
      </c>
      <c r="I441" s="425" t="s">
        <v>75</v>
      </c>
      <c r="J441" s="830">
        <f aca="true" t="shared" si="89" ref="J441:W441">J438+J440</f>
        <v>1500000</v>
      </c>
      <c r="K441" s="830">
        <f t="shared" si="89"/>
        <v>0</v>
      </c>
      <c r="L441" s="828">
        <f t="shared" si="89"/>
        <v>0</v>
      </c>
      <c r="M441" s="828">
        <f t="shared" si="89"/>
        <v>0</v>
      </c>
      <c r="N441" s="830">
        <f t="shared" si="89"/>
        <v>1500000</v>
      </c>
      <c r="O441" s="830">
        <f t="shared" si="89"/>
        <v>1500000</v>
      </c>
      <c r="P441" s="828">
        <f t="shared" si="89"/>
        <v>1500000</v>
      </c>
      <c r="Q441" s="828">
        <f t="shared" si="89"/>
        <v>0</v>
      </c>
      <c r="R441" s="830">
        <f t="shared" si="89"/>
        <v>0</v>
      </c>
      <c r="S441" s="828">
        <f t="shared" si="89"/>
        <v>0</v>
      </c>
      <c r="T441" s="828">
        <f t="shared" si="89"/>
        <v>0</v>
      </c>
      <c r="U441" s="830">
        <f t="shared" si="89"/>
        <v>0</v>
      </c>
      <c r="V441" s="828">
        <f t="shared" si="89"/>
        <v>0</v>
      </c>
      <c r="W441" s="828">
        <f t="shared" si="89"/>
        <v>0</v>
      </c>
    </row>
    <row r="442" spans="1:23" ht="13.5" customHeight="1" hidden="1">
      <c r="A442" s="832"/>
      <c r="B442" s="833"/>
      <c r="C442" s="834"/>
      <c r="D442" s="835"/>
      <c r="E442" s="831"/>
      <c r="F442" s="831"/>
      <c r="G442" s="831"/>
      <c r="H442" s="425" t="s">
        <v>75</v>
      </c>
      <c r="I442" s="425" t="s">
        <v>75</v>
      </c>
      <c r="J442" s="830"/>
      <c r="K442" s="830"/>
      <c r="L442" s="828"/>
      <c r="M442" s="828"/>
      <c r="N442" s="830"/>
      <c r="O442" s="830"/>
      <c r="P442" s="828"/>
      <c r="Q442" s="828"/>
      <c r="R442" s="830"/>
      <c r="S442" s="828"/>
      <c r="T442" s="828"/>
      <c r="U442" s="830"/>
      <c r="V442" s="828"/>
      <c r="W442" s="828"/>
    </row>
    <row r="443" spans="1:23" ht="13.5" customHeight="1">
      <c r="A443" s="832">
        <v>5</v>
      </c>
      <c r="B443" s="833" t="s">
        <v>798</v>
      </c>
      <c r="C443" s="834" t="s">
        <v>719</v>
      </c>
      <c r="D443" s="835" t="s">
        <v>799</v>
      </c>
      <c r="E443" s="831" t="s">
        <v>239</v>
      </c>
      <c r="F443" s="831" t="s">
        <v>800</v>
      </c>
      <c r="G443" s="831" t="s">
        <v>755</v>
      </c>
      <c r="H443" s="425" t="s">
        <v>75</v>
      </c>
      <c r="I443" s="425" t="s">
        <v>75</v>
      </c>
      <c r="J443" s="830">
        <f>K443+N443</f>
        <v>540500</v>
      </c>
      <c r="K443" s="830">
        <f>L443+M443</f>
        <v>0</v>
      </c>
      <c r="L443" s="828">
        <v>0</v>
      </c>
      <c r="M443" s="828">
        <v>0</v>
      </c>
      <c r="N443" s="830">
        <f>O443+R443+U443</f>
        <v>540500</v>
      </c>
      <c r="O443" s="830">
        <f>P443+Q443</f>
        <v>540500</v>
      </c>
      <c r="P443" s="828">
        <v>525500</v>
      </c>
      <c r="Q443" s="828">
        <v>15000</v>
      </c>
      <c r="R443" s="830">
        <f>S443+T443</f>
        <v>0</v>
      </c>
      <c r="S443" s="828">
        <v>0</v>
      </c>
      <c r="T443" s="828">
        <v>0</v>
      </c>
      <c r="U443" s="830">
        <f>V443+W443</f>
        <v>0</v>
      </c>
      <c r="V443" s="828">
        <v>0</v>
      </c>
      <c r="W443" s="828">
        <v>0</v>
      </c>
    </row>
    <row r="444" spans="1:23" ht="13.5" customHeight="1">
      <c r="A444" s="832"/>
      <c r="B444" s="833"/>
      <c r="C444" s="834"/>
      <c r="D444" s="835"/>
      <c r="E444" s="831"/>
      <c r="F444" s="831"/>
      <c r="G444" s="831"/>
      <c r="H444" s="425" t="s">
        <v>75</v>
      </c>
      <c r="I444" s="425" t="s">
        <v>75</v>
      </c>
      <c r="J444" s="830"/>
      <c r="K444" s="830"/>
      <c r="L444" s="828"/>
      <c r="M444" s="828"/>
      <c r="N444" s="830"/>
      <c r="O444" s="830"/>
      <c r="P444" s="828"/>
      <c r="Q444" s="828"/>
      <c r="R444" s="830"/>
      <c r="S444" s="828"/>
      <c r="T444" s="828"/>
      <c r="U444" s="830"/>
      <c r="V444" s="828"/>
      <c r="W444" s="828"/>
    </row>
    <row r="445" spans="1:23" ht="13.5" customHeight="1">
      <c r="A445" s="832"/>
      <c r="B445" s="833"/>
      <c r="C445" s="834"/>
      <c r="D445" s="835"/>
      <c r="E445" s="831"/>
      <c r="F445" s="831"/>
      <c r="G445" s="831"/>
      <c r="H445" s="425" t="s">
        <v>75</v>
      </c>
      <c r="I445" s="425" t="s">
        <v>75</v>
      </c>
      <c r="J445" s="427">
        <f>K445+N445</f>
        <v>-300000</v>
      </c>
      <c r="K445" s="427">
        <f>L445+M445</f>
        <v>0</v>
      </c>
      <c r="L445" s="428">
        <v>0</v>
      </c>
      <c r="M445" s="428">
        <v>0</v>
      </c>
      <c r="N445" s="427">
        <f>O445+R445+U445</f>
        <v>-300000</v>
      </c>
      <c r="O445" s="427">
        <f>P445+Q445</f>
        <v>-300000</v>
      </c>
      <c r="P445" s="428">
        <v>-300000</v>
      </c>
      <c r="Q445" s="428">
        <v>0</v>
      </c>
      <c r="R445" s="427">
        <f>S445+T445</f>
        <v>0</v>
      </c>
      <c r="S445" s="428">
        <v>0</v>
      </c>
      <c r="T445" s="428">
        <v>0</v>
      </c>
      <c r="U445" s="427">
        <f>V445+W445</f>
        <v>0</v>
      </c>
      <c r="V445" s="428">
        <v>0</v>
      </c>
      <c r="W445" s="428">
        <v>0</v>
      </c>
    </row>
    <row r="446" spans="1:23" ht="13.5" customHeight="1">
      <c r="A446" s="832"/>
      <c r="B446" s="833"/>
      <c r="C446" s="834"/>
      <c r="D446" s="835"/>
      <c r="E446" s="831"/>
      <c r="F446" s="831"/>
      <c r="G446" s="831"/>
      <c r="H446" s="425" t="s">
        <v>75</v>
      </c>
      <c r="I446" s="425" t="s">
        <v>75</v>
      </c>
      <c r="J446" s="830">
        <f aca="true" t="shared" si="90" ref="J446:W446">J443+J445</f>
        <v>240500</v>
      </c>
      <c r="K446" s="830">
        <f t="shared" si="90"/>
        <v>0</v>
      </c>
      <c r="L446" s="828">
        <f t="shared" si="90"/>
        <v>0</v>
      </c>
      <c r="M446" s="828">
        <f t="shared" si="90"/>
        <v>0</v>
      </c>
      <c r="N446" s="830">
        <f t="shared" si="90"/>
        <v>240500</v>
      </c>
      <c r="O446" s="830">
        <f t="shared" si="90"/>
        <v>240500</v>
      </c>
      <c r="P446" s="828">
        <f t="shared" si="90"/>
        <v>225500</v>
      </c>
      <c r="Q446" s="828">
        <f t="shared" si="90"/>
        <v>15000</v>
      </c>
      <c r="R446" s="830">
        <f t="shared" si="90"/>
        <v>0</v>
      </c>
      <c r="S446" s="828">
        <f t="shared" si="90"/>
        <v>0</v>
      </c>
      <c r="T446" s="828">
        <f t="shared" si="90"/>
        <v>0</v>
      </c>
      <c r="U446" s="830">
        <f t="shared" si="90"/>
        <v>0</v>
      </c>
      <c r="V446" s="828">
        <f t="shared" si="90"/>
        <v>0</v>
      </c>
      <c r="W446" s="828">
        <f t="shared" si="90"/>
        <v>0</v>
      </c>
    </row>
    <row r="447" spans="1:23" ht="13.5" customHeight="1">
      <c r="A447" s="832"/>
      <c r="B447" s="833"/>
      <c r="C447" s="834"/>
      <c r="D447" s="835"/>
      <c r="E447" s="831"/>
      <c r="F447" s="831"/>
      <c r="G447" s="831"/>
      <c r="H447" s="425" t="s">
        <v>75</v>
      </c>
      <c r="I447" s="425" t="s">
        <v>75</v>
      </c>
      <c r="J447" s="830"/>
      <c r="K447" s="830"/>
      <c r="L447" s="828"/>
      <c r="M447" s="828"/>
      <c r="N447" s="830"/>
      <c r="O447" s="830"/>
      <c r="P447" s="828"/>
      <c r="Q447" s="828"/>
      <c r="R447" s="830"/>
      <c r="S447" s="828"/>
      <c r="T447" s="828"/>
      <c r="U447" s="830"/>
      <c r="V447" s="828"/>
      <c r="W447" s="828"/>
    </row>
    <row r="448" spans="1:23" ht="13.5" customHeight="1" hidden="1">
      <c r="A448" s="832">
        <v>18</v>
      </c>
      <c r="B448" s="833" t="s">
        <v>801</v>
      </c>
      <c r="C448" s="834" t="s">
        <v>734</v>
      </c>
      <c r="D448" s="835" t="s">
        <v>802</v>
      </c>
      <c r="E448" s="831" t="s">
        <v>239</v>
      </c>
      <c r="F448" s="831" t="s">
        <v>800</v>
      </c>
      <c r="G448" s="831" t="s">
        <v>755</v>
      </c>
      <c r="H448" s="425" t="s">
        <v>75</v>
      </c>
      <c r="I448" s="425" t="s">
        <v>75</v>
      </c>
      <c r="J448" s="830">
        <f>K448+N448</f>
        <v>220000</v>
      </c>
      <c r="K448" s="830">
        <f>L448+M448</f>
        <v>0</v>
      </c>
      <c r="L448" s="828">
        <v>0</v>
      </c>
      <c r="M448" s="828">
        <v>0</v>
      </c>
      <c r="N448" s="830">
        <f>O448+R448+U448</f>
        <v>220000</v>
      </c>
      <c r="O448" s="830">
        <f>P448+Q448</f>
        <v>220000</v>
      </c>
      <c r="P448" s="828">
        <v>200000</v>
      </c>
      <c r="Q448" s="828">
        <v>20000</v>
      </c>
      <c r="R448" s="830">
        <f>S448+T448</f>
        <v>0</v>
      </c>
      <c r="S448" s="828">
        <v>0</v>
      </c>
      <c r="T448" s="828">
        <v>0</v>
      </c>
      <c r="U448" s="830">
        <f>V448+W448</f>
        <v>0</v>
      </c>
      <c r="V448" s="828">
        <v>0</v>
      </c>
      <c r="W448" s="828">
        <v>0</v>
      </c>
    </row>
    <row r="449" spans="1:23" ht="13.5" customHeight="1" hidden="1">
      <c r="A449" s="832"/>
      <c r="B449" s="833"/>
      <c r="C449" s="834"/>
      <c r="D449" s="835"/>
      <c r="E449" s="831"/>
      <c r="F449" s="831"/>
      <c r="G449" s="831"/>
      <c r="H449" s="425" t="s">
        <v>75</v>
      </c>
      <c r="I449" s="425" t="s">
        <v>75</v>
      </c>
      <c r="J449" s="830"/>
      <c r="K449" s="830"/>
      <c r="L449" s="828"/>
      <c r="M449" s="828"/>
      <c r="N449" s="830"/>
      <c r="O449" s="830"/>
      <c r="P449" s="828"/>
      <c r="Q449" s="828"/>
      <c r="R449" s="830"/>
      <c r="S449" s="828"/>
      <c r="T449" s="828"/>
      <c r="U449" s="830"/>
      <c r="V449" s="828"/>
      <c r="W449" s="828"/>
    </row>
    <row r="450" spans="1:23" ht="13.5" customHeight="1" hidden="1">
      <c r="A450" s="832"/>
      <c r="B450" s="833"/>
      <c r="C450" s="834"/>
      <c r="D450" s="835"/>
      <c r="E450" s="831"/>
      <c r="F450" s="831"/>
      <c r="G450" s="831"/>
      <c r="H450" s="425" t="s">
        <v>75</v>
      </c>
      <c r="I450" s="425" t="s">
        <v>75</v>
      </c>
      <c r="J450" s="427">
        <f>K450+N450</f>
        <v>0</v>
      </c>
      <c r="K450" s="427">
        <f>L450+M450</f>
        <v>0</v>
      </c>
      <c r="L450" s="428">
        <v>0</v>
      </c>
      <c r="M450" s="428">
        <v>0</v>
      </c>
      <c r="N450" s="427">
        <f>O450+R450+U450</f>
        <v>0</v>
      </c>
      <c r="O450" s="427">
        <f>P450+Q450</f>
        <v>0</v>
      </c>
      <c r="P450" s="428">
        <v>0</v>
      </c>
      <c r="Q450" s="428">
        <v>0</v>
      </c>
      <c r="R450" s="427">
        <f>S450+T450</f>
        <v>0</v>
      </c>
      <c r="S450" s="428">
        <v>0</v>
      </c>
      <c r="T450" s="428">
        <v>0</v>
      </c>
      <c r="U450" s="427">
        <f>V450+W450</f>
        <v>0</v>
      </c>
      <c r="V450" s="428">
        <v>0</v>
      </c>
      <c r="W450" s="428">
        <v>0</v>
      </c>
    </row>
    <row r="451" spans="1:23" ht="13.5" customHeight="1" hidden="1">
      <c r="A451" s="832"/>
      <c r="B451" s="833"/>
      <c r="C451" s="834"/>
      <c r="D451" s="835"/>
      <c r="E451" s="831"/>
      <c r="F451" s="831"/>
      <c r="G451" s="831"/>
      <c r="H451" s="425" t="s">
        <v>75</v>
      </c>
      <c r="I451" s="425" t="s">
        <v>75</v>
      </c>
      <c r="J451" s="830">
        <f aca="true" t="shared" si="91" ref="J451:W451">J448+J450</f>
        <v>220000</v>
      </c>
      <c r="K451" s="830">
        <f t="shared" si="91"/>
        <v>0</v>
      </c>
      <c r="L451" s="828">
        <f t="shared" si="91"/>
        <v>0</v>
      </c>
      <c r="M451" s="828">
        <f t="shared" si="91"/>
        <v>0</v>
      </c>
      <c r="N451" s="830">
        <f t="shared" si="91"/>
        <v>220000</v>
      </c>
      <c r="O451" s="830">
        <f t="shared" si="91"/>
        <v>220000</v>
      </c>
      <c r="P451" s="828">
        <f t="shared" si="91"/>
        <v>200000</v>
      </c>
      <c r="Q451" s="828">
        <f t="shared" si="91"/>
        <v>20000</v>
      </c>
      <c r="R451" s="830">
        <f t="shared" si="91"/>
        <v>0</v>
      </c>
      <c r="S451" s="828">
        <f t="shared" si="91"/>
        <v>0</v>
      </c>
      <c r="T451" s="828">
        <f t="shared" si="91"/>
        <v>0</v>
      </c>
      <c r="U451" s="830">
        <f t="shared" si="91"/>
        <v>0</v>
      </c>
      <c r="V451" s="828">
        <f t="shared" si="91"/>
        <v>0</v>
      </c>
      <c r="W451" s="828">
        <f t="shared" si="91"/>
        <v>0</v>
      </c>
    </row>
    <row r="452" spans="1:23" ht="13.5" customHeight="1" hidden="1">
      <c r="A452" s="832"/>
      <c r="B452" s="833"/>
      <c r="C452" s="834"/>
      <c r="D452" s="835"/>
      <c r="E452" s="831"/>
      <c r="F452" s="831"/>
      <c r="G452" s="831"/>
      <c r="H452" s="425" t="s">
        <v>75</v>
      </c>
      <c r="I452" s="425" t="s">
        <v>75</v>
      </c>
      <c r="J452" s="830"/>
      <c r="K452" s="830"/>
      <c r="L452" s="828"/>
      <c r="M452" s="828"/>
      <c r="N452" s="830"/>
      <c r="O452" s="830"/>
      <c r="P452" s="828"/>
      <c r="Q452" s="828"/>
      <c r="R452" s="830"/>
      <c r="S452" s="828"/>
      <c r="T452" s="828"/>
      <c r="U452" s="830"/>
      <c r="V452" s="828"/>
      <c r="W452" s="828"/>
    </row>
    <row r="453" spans="1:23" ht="15" customHeight="1" hidden="1">
      <c r="A453" s="832">
        <v>5</v>
      </c>
      <c r="B453" s="833" t="s">
        <v>723</v>
      </c>
      <c r="C453" s="834" t="s">
        <v>719</v>
      </c>
      <c r="D453" s="835" t="s">
        <v>803</v>
      </c>
      <c r="E453" s="831" t="s">
        <v>239</v>
      </c>
      <c r="F453" s="831" t="s">
        <v>800</v>
      </c>
      <c r="G453" s="831" t="s">
        <v>755</v>
      </c>
      <c r="H453" s="425" t="s">
        <v>75</v>
      </c>
      <c r="I453" s="425" t="s">
        <v>75</v>
      </c>
      <c r="J453" s="830">
        <f>K453+N453</f>
        <v>1114750</v>
      </c>
      <c r="K453" s="830">
        <f>L453+M453</f>
        <v>0</v>
      </c>
      <c r="L453" s="828">
        <v>0</v>
      </c>
      <c r="M453" s="828">
        <v>0</v>
      </c>
      <c r="N453" s="830">
        <f>O453+R453+U453</f>
        <v>1114750</v>
      </c>
      <c r="O453" s="830">
        <f>P453+Q453</f>
        <v>1114750</v>
      </c>
      <c r="P453" s="828">
        <v>1091500</v>
      </c>
      <c r="Q453" s="828">
        <v>23250</v>
      </c>
      <c r="R453" s="830">
        <f>S453+T453</f>
        <v>0</v>
      </c>
      <c r="S453" s="828">
        <v>0</v>
      </c>
      <c r="T453" s="828">
        <v>0</v>
      </c>
      <c r="U453" s="830">
        <f>V453+W453</f>
        <v>0</v>
      </c>
      <c r="V453" s="828">
        <v>0</v>
      </c>
      <c r="W453" s="828">
        <v>0</v>
      </c>
    </row>
    <row r="454" spans="1:23" ht="15" customHeight="1" hidden="1">
      <c r="A454" s="832"/>
      <c r="B454" s="833"/>
      <c r="C454" s="834"/>
      <c r="D454" s="835"/>
      <c r="E454" s="831"/>
      <c r="F454" s="831"/>
      <c r="G454" s="831"/>
      <c r="H454" s="425" t="s">
        <v>75</v>
      </c>
      <c r="I454" s="425" t="s">
        <v>75</v>
      </c>
      <c r="J454" s="830"/>
      <c r="K454" s="830"/>
      <c r="L454" s="828"/>
      <c r="M454" s="828"/>
      <c r="N454" s="830"/>
      <c r="O454" s="830"/>
      <c r="P454" s="828"/>
      <c r="Q454" s="828"/>
      <c r="R454" s="830"/>
      <c r="S454" s="828"/>
      <c r="T454" s="828"/>
      <c r="U454" s="830"/>
      <c r="V454" s="828"/>
      <c r="W454" s="828"/>
    </row>
    <row r="455" spans="1:23" ht="15" customHeight="1" hidden="1">
      <c r="A455" s="832"/>
      <c r="B455" s="833"/>
      <c r="C455" s="834"/>
      <c r="D455" s="835"/>
      <c r="E455" s="831"/>
      <c r="F455" s="831"/>
      <c r="G455" s="831"/>
      <c r="H455" s="425" t="s">
        <v>75</v>
      </c>
      <c r="I455" s="425" t="s">
        <v>75</v>
      </c>
      <c r="J455" s="427">
        <f>K455+N455</f>
        <v>0</v>
      </c>
      <c r="K455" s="427">
        <f>L455+M455</f>
        <v>0</v>
      </c>
      <c r="L455" s="428">
        <v>0</v>
      </c>
      <c r="M455" s="428">
        <v>0</v>
      </c>
      <c r="N455" s="427">
        <f>O455+R455+U455</f>
        <v>0</v>
      </c>
      <c r="O455" s="427">
        <f>P455+Q455</f>
        <v>0</v>
      </c>
      <c r="P455" s="428">
        <v>0</v>
      </c>
      <c r="Q455" s="428">
        <v>0</v>
      </c>
      <c r="R455" s="427">
        <f>S455+T455</f>
        <v>0</v>
      </c>
      <c r="S455" s="428">
        <v>0</v>
      </c>
      <c r="T455" s="428">
        <v>0</v>
      </c>
      <c r="U455" s="427">
        <f>V455+W455</f>
        <v>0</v>
      </c>
      <c r="V455" s="428">
        <v>0</v>
      </c>
      <c r="W455" s="428">
        <v>0</v>
      </c>
    </row>
    <row r="456" spans="1:23" ht="15" customHeight="1" hidden="1">
      <c r="A456" s="832"/>
      <c r="B456" s="833"/>
      <c r="C456" s="834"/>
      <c r="D456" s="835"/>
      <c r="E456" s="831"/>
      <c r="F456" s="831"/>
      <c r="G456" s="831"/>
      <c r="H456" s="425" t="s">
        <v>75</v>
      </c>
      <c r="I456" s="425" t="s">
        <v>75</v>
      </c>
      <c r="J456" s="830">
        <f aca="true" t="shared" si="92" ref="J456:W456">J453+J455</f>
        <v>1114750</v>
      </c>
      <c r="K456" s="830">
        <f t="shared" si="92"/>
        <v>0</v>
      </c>
      <c r="L456" s="828">
        <f t="shared" si="92"/>
        <v>0</v>
      </c>
      <c r="M456" s="828">
        <f t="shared" si="92"/>
        <v>0</v>
      </c>
      <c r="N456" s="830">
        <f t="shared" si="92"/>
        <v>1114750</v>
      </c>
      <c r="O456" s="830">
        <f t="shared" si="92"/>
        <v>1114750</v>
      </c>
      <c r="P456" s="828">
        <f t="shared" si="92"/>
        <v>1091500</v>
      </c>
      <c r="Q456" s="828">
        <f t="shared" si="92"/>
        <v>23250</v>
      </c>
      <c r="R456" s="830">
        <f t="shared" si="92"/>
        <v>0</v>
      </c>
      <c r="S456" s="828">
        <f t="shared" si="92"/>
        <v>0</v>
      </c>
      <c r="T456" s="828">
        <f t="shared" si="92"/>
        <v>0</v>
      </c>
      <c r="U456" s="830">
        <f t="shared" si="92"/>
        <v>0</v>
      </c>
      <c r="V456" s="828">
        <f t="shared" si="92"/>
        <v>0</v>
      </c>
      <c r="W456" s="828">
        <f t="shared" si="92"/>
        <v>0</v>
      </c>
    </row>
    <row r="457" spans="1:23" ht="15" customHeight="1" hidden="1">
      <c r="A457" s="832"/>
      <c r="B457" s="833"/>
      <c r="C457" s="834"/>
      <c r="D457" s="835"/>
      <c r="E457" s="831"/>
      <c r="F457" s="831"/>
      <c r="G457" s="831"/>
      <c r="H457" s="425" t="s">
        <v>75</v>
      </c>
      <c r="I457" s="425" t="s">
        <v>75</v>
      </c>
      <c r="J457" s="830"/>
      <c r="K457" s="830"/>
      <c r="L457" s="828"/>
      <c r="M457" s="828"/>
      <c r="N457" s="830"/>
      <c r="O457" s="830"/>
      <c r="P457" s="828"/>
      <c r="Q457" s="828"/>
      <c r="R457" s="830"/>
      <c r="S457" s="828"/>
      <c r="T457" s="828"/>
      <c r="U457" s="830"/>
      <c r="V457" s="828"/>
      <c r="W457" s="828"/>
    </row>
    <row r="458" spans="1:23" ht="15.75" customHeight="1">
      <c r="A458" s="832">
        <v>6</v>
      </c>
      <c r="B458" s="833" t="s">
        <v>804</v>
      </c>
      <c r="C458" s="834" t="s">
        <v>734</v>
      </c>
      <c r="D458" s="835" t="s">
        <v>805</v>
      </c>
      <c r="E458" s="831" t="s">
        <v>239</v>
      </c>
      <c r="F458" s="831" t="s">
        <v>800</v>
      </c>
      <c r="G458" s="831" t="s">
        <v>755</v>
      </c>
      <c r="H458" s="425" t="s">
        <v>75</v>
      </c>
      <c r="I458" s="425" t="s">
        <v>75</v>
      </c>
      <c r="J458" s="830">
        <f>K458+N458</f>
        <v>2559750</v>
      </c>
      <c r="K458" s="830">
        <f>L458+M458</f>
        <v>0</v>
      </c>
      <c r="L458" s="828">
        <v>0</v>
      </c>
      <c r="M458" s="828">
        <v>0</v>
      </c>
      <c r="N458" s="830">
        <f>O458+R458+U458</f>
        <v>2559750</v>
      </c>
      <c r="O458" s="830">
        <f>P458+Q458</f>
        <v>2559750</v>
      </c>
      <c r="P458" s="828">
        <v>2464000</v>
      </c>
      <c r="Q458" s="828">
        <v>95750</v>
      </c>
      <c r="R458" s="830">
        <f>S458+T458</f>
        <v>0</v>
      </c>
      <c r="S458" s="828">
        <v>0</v>
      </c>
      <c r="T458" s="828">
        <v>0</v>
      </c>
      <c r="U458" s="830">
        <f>V458+W458</f>
        <v>0</v>
      </c>
      <c r="V458" s="828">
        <v>0</v>
      </c>
      <c r="W458" s="828">
        <v>0</v>
      </c>
    </row>
    <row r="459" spans="1:23" ht="15.75" customHeight="1">
      <c r="A459" s="832"/>
      <c r="B459" s="833"/>
      <c r="C459" s="834"/>
      <c r="D459" s="835"/>
      <c r="E459" s="831"/>
      <c r="F459" s="831"/>
      <c r="G459" s="831"/>
      <c r="H459" s="425" t="s">
        <v>75</v>
      </c>
      <c r="I459" s="425" t="s">
        <v>75</v>
      </c>
      <c r="J459" s="830"/>
      <c r="K459" s="830"/>
      <c r="L459" s="828"/>
      <c r="M459" s="828"/>
      <c r="N459" s="830"/>
      <c r="O459" s="830"/>
      <c r="P459" s="828"/>
      <c r="Q459" s="828"/>
      <c r="R459" s="830"/>
      <c r="S459" s="828"/>
      <c r="T459" s="828"/>
      <c r="U459" s="830"/>
      <c r="V459" s="828"/>
      <c r="W459" s="828"/>
    </row>
    <row r="460" spans="1:23" ht="15.75" customHeight="1">
      <c r="A460" s="832"/>
      <c r="B460" s="833"/>
      <c r="C460" s="834"/>
      <c r="D460" s="835"/>
      <c r="E460" s="831"/>
      <c r="F460" s="831"/>
      <c r="G460" s="831"/>
      <c r="H460" s="425" t="s">
        <v>75</v>
      </c>
      <c r="I460" s="425" t="s">
        <v>75</v>
      </c>
      <c r="J460" s="427">
        <f>K460+N460</f>
        <v>-1485000</v>
      </c>
      <c r="K460" s="427">
        <f>L460+M460</f>
        <v>0</v>
      </c>
      <c r="L460" s="428">
        <v>0</v>
      </c>
      <c r="M460" s="428">
        <v>0</v>
      </c>
      <c r="N460" s="427">
        <f>O460+R460+U460</f>
        <v>-1485000</v>
      </c>
      <c r="O460" s="427">
        <f>P460+Q460</f>
        <v>-1485000</v>
      </c>
      <c r="P460" s="428">
        <v>-1485000</v>
      </c>
      <c r="Q460" s="428">
        <v>0</v>
      </c>
      <c r="R460" s="427">
        <f>S460+T460</f>
        <v>0</v>
      </c>
      <c r="S460" s="428">
        <v>0</v>
      </c>
      <c r="T460" s="428">
        <v>0</v>
      </c>
      <c r="U460" s="427">
        <f>V460+W460</f>
        <v>0</v>
      </c>
      <c r="V460" s="428">
        <v>0</v>
      </c>
      <c r="W460" s="428">
        <v>0</v>
      </c>
    </row>
    <row r="461" spans="1:23" ht="15.75" customHeight="1">
      <c r="A461" s="832"/>
      <c r="B461" s="833"/>
      <c r="C461" s="834"/>
      <c r="D461" s="835"/>
      <c r="E461" s="831"/>
      <c r="F461" s="831"/>
      <c r="G461" s="831"/>
      <c r="H461" s="425" t="s">
        <v>75</v>
      </c>
      <c r="I461" s="425" t="s">
        <v>75</v>
      </c>
      <c r="J461" s="830">
        <f aca="true" t="shared" si="93" ref="J461:W461">J458+J460</f>
        <v>1074750</v>
      </c>
      <c r="K461" s="830">
        <f t="shared" si="93"/>
        <v>0</v>
      </c>
      <c r="L461" s="828">
        <f t="shared" si="93"/>
        <v>0</v>
      </c>
      <c r="M461" s="828">
        <f t="shared" si="93"/>
        <v>0</v>
      </c>
      <c r="N461" s="830">
        <f t="shared" si="93"/>
        <v>1074750</v>
      </c>
      <c r="O461" s="830">
        <f t="shared" si="93"/>
        <v>1074750</v>
      </c>
      <c r="P461" s="828">
        <f t="shared" si="93"/>
        <v>979000</v>
      </c>
      <c r="Q461" s="828">
        <f t="shared" si="93"/>
        <v>95750</v>
      </c>
      <c r="R461" s="830">
        <f t="shared" si="93"/>
        <v>0</v>
      </c>
      <c r="S461" s="828">
        <f t="shared" si="93"/>
        <v>0</v>
      </c>
      <c r="T461" s="828">
        <f t="shared" si="93"/>
        <v>0</v>
      </c>
      <c r="U461" s="830">
        <f t="shared" si="93"/>
        <v>0</v>
      </c>
      <c r="V461" s="828">
        <f t="shared" si="93"/>
        <v>0</v>
      </c>
      <c r="W461" s="828">
        <f t="shared" si="93"/>
        <v>0</v>
      </c>
    </row>
    <row r="462" spans="1:23" ht="15.75" customHeight="1">
      <c r="A462" s="832"/>
      <c r="B462" s="833"/>
      <c r="C462" s="834"/>
      <c r="D462" s="835"/>
      <c r="E462" s="831"/>
      <c r="F462" s="831"/>
      <c r="G462" s="831"/>
      <c r="H462" s="425" t="s">
        <v>75</v>
      </c>
      <c r="I462" s="425" t="s">
        <v>75</v>
      </c>
      <c r="J462" s="830"/>
      <c r="K462" s="830"/>
      <c r="L462" s="828"/>
      <c r="M462" s="828"/>
      <c r="N462" s="830"/>
      <c r="O462" s="830"/>
      <c r="P462" s="828"/>
      <c r="Q462" s="828"/>
      <c r="R462" s="830"/>
      <c r="S462" s="828"/>
      <c r="T462" s="828"/>
      <c r="U462" s="830"/>
      <c r="V462" s="828"/>
      <c r="W462" s="828"/>
    </row>
    <row r="463" spans="1:23" ht="15.75" customHeight="1" hidden="1">
      <c r="A463" s="832">
        <v>21</v>
      </c>
      <c r="B463" s="833" t="s">
        <v>736</v>
      </c>
      <c r="C463" s="834" t="s">
        <v>737</v>
      </c>
      <c r="D463" s="835" t="s">
        <v>806</v>
      </c>
      <c r="E463" s="831" t="s">
        <v>239</v>
      </c>
      <c r="F463" s="831" t="s">
        <v>807</v>
      </c>
      <c r="G463" s="831" t="s">
        <v>755</v>
      </c>
      <c r="H463" s="425" t="s">
        <v>75</v>
      </c>
      <c r="I463" s="425" t="s">
        <v>75</v>
      </c>
      <c r="J463" s="830">
        <f>K463+N463</f>
        <v>345000</v>
      </c>
      <c r="K463" s="830">
        <f>L463+M463</f>
        <v>0</v>
      </c>
      <c r="L463" s="828">
        <v>0</v>
      </c>
      <c r="M463" s="828">
        <v>0</v>
      </c>
      <c r="N463" s="830">
        <f>O463+R463+U463</f>
        <v>345000</v>
      </c>
      <c r="O463" s="830">
        <f>P463+Q463</f>
        <v>345000</v>
      </c>
      <c r="P463" s="828">
        <v>345000</v>
      </c>
      <c r="Q463" s="828">
        <v>0</v>
      </c>
      <c r="R463" s="830">
        <f>S463+T463</f>
        <v>0</v>
      </c>
      <c r="S463" s="828">
        <v>0</v>
      </c>
      <c r="T463" s="828">
        <v>0</v>
      </c>
      <c r="U463" s="830">
        <f>V463+W463</f>
        <v>0</v>
      </c>
      <c r="V463" s="828">
        <v>0</v>
      </c>
      <c r="W463" s="828">
        <v>0</v>
      </c>
    </row>
    <row r="464" spans="1:23" ht="15.75" customHeight="1" hidden="1">
      <c r="A464" s="832"/>
      <c r="B464" s="833"/>
      <c r="C464" s="834"/>
      <c r="D464" s="835"/>
      <c r="E464" s="831"/>
      <c r="F464" s="831"/>
      <c r="G464" s="831"/>
      <c r="H464" s="425" t="s">
        <v>75</v>
      </c>
      <c r="I464" s="425" t="s">
        <v>75</v>
      </c>
      <c r="J464" s="830"/>
      <c r="K464" s="830"/>
      <c r="L464" s="828"/>
      <c r="M464" s="828"/>
      <c r="N464" s="830"/>
      <c r="O464" s="830"/>
      <c r="P464" s="828"/>
      <c r="Q464" s="828"/>
      <c r="R464" s="830"/>
      <c r="S464" s="828"/>
      <c r="T464" s="828"/>
      <c r="U464" s="830"/>
      <c r="V464" s="828"/>
      <c r="W464" s="828"/>
    </row>
    <row r="465" spans="1:23" ht="15.75" customHeight="1" hidden="1">
      <c r="A465" s="832"/>
      <c r="B465" s="833"/>
      <c r="C465" s="834"/>
      <c r="D465" s="835"/>
      <c r="E465" s="831"/>
      <c r="F465" s="831"/>
      <c r="G465" s="831"/>
      <c r="H465" s="425" t="s">
        <v>75</v>
      </c>
      <c r="I465" s="425" t="s">
        <v>75</v>
      </c>
      <c r="J465" s="427">
        <f>K465+N465</f>
        <v>0</v>
      </c>
      <c r="K465" s="427">
        <f>L465+M465</f>
        <v>0</v>
      </c>
      <c r="L465" s="428">
        <v>0</v>
      </c>
      <c r="M465" s="428">
        <v>0</v>
      </c>
      <c r="N465" s="427">
        <f>O465+R465+U465</f>
        <v>0</v>
      </c>
      <c r="O465" s="427">
        <f>P465+Q465</f>
        <v>0</v>
      </c>
      <c r="P465" s="428">
        <v>0</v>
      </c>
      <c r="Q465" s="428">
        <v>0</v>
      </c>
      <c r="R465" s="427">
        <f>S465+T465</f>
        <v>0</v>
      </c>
      <c r="S465" s="428">
        <v>0</v>
      </c>
      <c r="T465" s="428">
        <v>0</v>
      </c>
      <c r="U465" s="427">
        <f>V465+W465</f>
        <v>0</v>
      </c>
      <c r="V465" s="428">
        <v>0</v>
      </c>
      <c r="W465" s="428">
        <v>0</v>
      </c>
    </row>
    <row r="466" spans="1:23" ht="15.75" customHeight="1" hidden="1">
      <c r="A466" s="832"/>
      <c r="B466" s="833"/>
      <c r="C466" s="834"/>
      <c r="D466" s="835"/>
      <c r="E466" s="831"/>
      <c r="F466" s="831"/>
      <c r="G466" s="831"/>
      <c r="H466" s="425" t="s">
        <v>75</v>
      </c>
      <c r="I466" s="425" t="s">
        <v>75</v>
      </c>
      <c r="J466" s="830">
        <f aca="true" t="shared" si="94" ref="J466:W466">J463+J465</f>
        <v>345000</v>
      </c>
      <c r="K466" s="830">
        <f t="shared" si="94"/>
        <v>0</v>
      </c>
      <c r="L466" s="828">
        <f t="shared" si="94"/>
        <v>0</v>
      </c>
      <c r="M466" s="828">
        <f t="shared" si="94"/>
        <v>0</v>
      </c>
      <c r="N466" s="830">
        <f t="shared" si="94"/>
        <v>345000</v>
      </c>
      <c r="O466" s="830">
        <f t="shared" si="94"/>
        <v>345000</v>
      </c>
      <c r="P466" s="828">
        <f t="shared" si="94"/>
        <v>345000</v>
      </c>
      <c r="Q466" s="828">
        <f t="shared" si="94"/>
        <v>0</v>
      </c>
      <c r="R466" s="830">
        <f t="shared" si="94"/>
        <v>0</v>
      </c>
      <c r="S466" s="828">
        <f t="shared" si="94"/>
        <v>0</v>
      </c>
      <c r="T466" s="828">
        <f t="shared" si="94"/>
        <v>0</v>
      </c>
      <c r="U466" s="830">
        <f t="shared" si="94"/>
        <v>0</v>
      </c>
      <c r="V466" s="828">
        <f t="shared" si="94"/>
        <v>0</v>
      </c>
      <c r="W466" s="828">
        <f t="shared" si="94"/>
        <v>0</v>
      </c>
    </row>
    <row r="467" spans="1:23" ht="15.75" customHeight="1" hidden="1">
      <c r="A467" s="832"/>
      <c r="B467" s="833"/>
      <c r="C467" s="834"/>
      <c r="D467" s="835"/>
      <c r="E467" s="831"/>
      <c r="F467" s="831"/>
      <c r="G467" s="831"/>
      <c r="H467" s="425" t="s">
        <v>75</v>
      </c>
      <c r="I467" s="425" t="s">
        <v>75</v>
      </c>
      <c r="J467" s="830"/>
      <c r="K467" s="830"/>
      <c r="L467" s="828"/>
      <c r="M467" s="828"/>
      <c r="N467" s="830"/>
      <c r="O467" s="830"/>
      <c r="P467" s="828"/>
      <c r="Q467" s="828"/>
      <c r="R467" s="830"/>
      <c r="S467" s="828"/>
      <c r="T467" s="828"/>
      <c r="U467" s="830"/>
      <c r="V467" s="828"/>
      <c r="W467" s="828"/>
    </row>
    <row r="468" spans="1:23" ht="15.75" customHeight="1" hidden="1">
      <c r="A468" s="832">
        <v>11</v>
      </c>
      <c r="B468" s="833" t="s">
        <v>808</v>
      </c>
      <c r="C468" s="834" t="s">
        <v>734</v>
      </c>
      <c r="D468" s="835" t="s">
        <v>809</v>
      </c>
      <c r="E468" s="831" t="s">
        <v>239</v>
      </c>
      <c r="F468" s="831" t="s">
        <v>807</v>
      </c>
      <c r="G468" s="831" t="s">
        <v>755</v>
      </c>
      <c r="H468" s="425" t="s">
        <v>75</v>
      </c>
      <c r="I468" s="425" t="s">
        <v>75</v>
      </c>
      <c r="J468" s="830">
        <f>K468+N468</f>
        <v>712000</v>
      </c>
      <c r="K468" s="830">
        <f>L468+M468</f>
        <v>0</v>
      </c>
      <c r="L468" s="828">
        <v>0</v>
      </c>
      <c r="M468" s="828">
        <v>0</v>
      </c>
      <c r="N468" s="830">
        <f>O468+R468+U468</f>
        <v>712000</v>
      </c>
      <c r="O468" s="830">
        <f>P468+Q468</f>
        <v>712000</v>
      </c>
      <c r="P468" s="828">
        <v>712000</v>
      </c>
      <c r="Q468" s="828">
        <v>0</v>
      </c>
      <c r="R468" s="830">
        <f>S468+T468</f>
        <v>0</v>
      </c>
      <c r="S468" s="828">
        <v>0</v>
      </c>
      <c r="T468" s="828">
        <v>0</v>
      </c>
      <c r="U468" s="830">
        <f>V468+W468</f>
        <v>0</v>
      </c>
      <c r="V468" s="828">
        <v>0</v>
      </c>
      <c r="W468" s="828">
        <v>0</v>
      </c>
    </row>
    <row r="469" spans="1:23" ht="15.75" customHeight="1" hidden="1">
      <c r="A469" s="832"/>
      <c r="B469" s="833"/>
      <c r="C469" s="834"/>
      <c r="D469" s="835"/>
      <c r="E469" s="831"/>
      <c r="F469" s="831"/>
      <c r="G469" s="831"/>
      <c r="H469" s="425" t="s">
        <v>75</v>
      </c>
      <c r="I469" s="425" t="s">
        <v>75</v>
      </c>
      <c r="J469" s="830"/>
      <c r="K469" s="830"/>
      <c r="L469" s="828"/>
      <c r="M469" s="828"/>
      <c r="N469" s="830"/>
      <c r="O469" s="830"/>
      <c r="P469" s="828"/>
      <c r="Q469" s="828"/>
      <c r="R469" s="830"/>
      <c r="S469" s="828"/>
      <c r="T469" s="828"/>
      <c r="U469" s="830"/>
      <c r="V469" s="828"/>
      <c r="W469" s="828"/>
    </row>
    <row r="470" spans="1:23" ht="15.75" customHeight="1" hidden="1">
      <c r="A470" s="832"/>
      <c r="B470" s="833"/>
      <c r="C470" s="834"/>
      <c r="D470" s="835"/>
      <c r="E470" s="831"/>
      <c r="F470" s="831"/>
      <c r="G470" s="831"/>
      <c r="H470" s="425" t="s">
        <v>75</v>
      </c>
      <c r="I470" s="425" t="s">
        <v>75</v>
      </c>
      <c r="J470" s="427">
        <f>K470+N470</f>
        <v>0</v>
      </c>
      <c r="K470" s="427">
        <f>L470+M470</f>
        <v>0</v>
      </c>
      <c r="L470" s="428">
        <v>0</v>
      </c>
      <c r="M470" s="428">
        <v>0</v>
      </c>
      <c r="N470" s="427">
        <f>O470+R470+U470</f>
        <v>0</v>
      </c>
      <c r="O470" s="427">
        <f>P470+Q470</f>
        <v>0</v>
      </c>
      <c r="P470" s="428">
        <v>0</v>
      </c>
      <c r="Q470" s="428">
        <v>0</v>
      </c>
      <c r="R470" s="427">
        <f>S470+T470</f>
        <v>0</v>
      </c>
      <c r="S470" s="428">
        <v>0</v>
      </c>
      <c r="T470" s="428">
        <v>0</v>
      </c>
      <c r="U470" s="427">
        <f>V470+W470</f>
        <v>0</v>
      </c>
      <c r="V470" s="428">
        <v>0</v>
      </c>
      <c r="W470" s="428">
        <v>0</v>
      </c>
    </row>
    <row r="471" spans="1:23" ht="15.75" customHeight="1" hidden="1">
      <c r="A471" s="832"/>
      <c r="B471" s="833"/>
      <c r="C471" s="834"/>
      <c r="D471" s="835"/>
      <c r="E471" s="831"/>
      <c r="F471" s="831"/>
      <c r="G471" s="831"/>
      <c r="H471" s="425" t="s">
        <v>75</v>
      </c>
      <c r="I471" s="425" t="s">
        <v>75</v>
      </c>
      <c r="J471" s="830">
        <f aca="true" t="shared" si="95" ref="J471:W471">J468+J470</f>
        <v>712000</v>
      </c>
      <c r="K471" s="830">
        <f t="shared" si="95"/>
        <v>0</v>
      </c>
      <c r="L471" s="828">
        <f t="shared" si="95"/>
        <v>0</v>
      </c>
      <c r="M471" s="828">
        <f t="shared" si="95"/>
        <v>0</v>
      </c>
      <c r="N471" s="830">
        <f t="shared" si="95"/>
        <v>712000</v>
      </c>
      <c r="O471" s="830">
        <f t="shared" si="95"/>
        <v>712000</v>
      </c>
      <c r="P471" s="828">
        <f t="shared" si="95"/>
        <v>712000</v>
      </c>
      <c r="Q471" s="828">
        <f t="shared" si="95"/>
        <v>0</v>
      </c>
      <c r="R471" s="830">
        <f t="shared" si="95"/>
        <v>0</v>
      </c>
      <c r="S471" s="828">
        <f t="shared" si="95"/>
        <v>0</v>
      </c>
      <c r="T471" s="828">
        <f t="shared" si="95"/>
        <v>0</v>
      </c>
      <c r="U471" s="830">
        <f t="shared" si="95"/>
        <v>0</v>
      </c>
      <c r="V471" s="828">
        <f t="shared" si="95"/>
        <v>0</v>
      </c>
      <c r="W471" s="828">
        <f t="shared" si="95"/>
        <v>0</v>
      </c>
    </row>
    <row r="472" spans="1:23" ht="15.75" customHeight="1" hidden="1">
      <c r="A472" s="832"/>
      <c r="B472" s="833"/>
      <c r="C472" s="834"/>
      <c r="D472" s="835"/>
      <c r="E472" s="831"/>
      <c r="F472" s="831"/>
      <c r="G472" s="831"/>
      <c r="H472" s="425" t="s">
        <v>75</v>
      </c>
      <c r="I472" s="425" t="s">
        <v>75</v>
      </c>
      <c r="J472" s="830"/>
      <c r="K472" s="830"/>
      <c r="L472" s="828"/>
      <c r="M472" s="828"/>
      <c r="N472" s="830"/>
      <c r="O472" s="830"/>
      <c r="P472" s="828"/>
      <c r="Q472" s="828"/>
      <c r="R472" s="830"/>
      <c r="S472" s="828"/>
      <c r="T472" s="828"/>
      <c r="U472" s="830"/>
      <c r="V472" s="828"/>
      <c r="W472" s="828"/>
    </row>
    <row r="473" spans="1:23" s="441" customFormat="1" ht="14.25" customHeight="1">
      <c r="A473" s="829" t="s">
        <v>810</v>
      </c>
      <c r="B473" s="829"/>
      <c r="C473" s="829"/>
      <c r="D473" s="829"/>
      <c r="E473" s="829"/>
      <c r="F473" s="829"/>
      <c r="G473" s="829"/>
      <c r="H473" s="440" t="s">
        <v>75</v>
      </c>
      <c r="I473" s="440" t="s">
        <v>75</v>
      </c>
      <c r="J473" s="826">
        <f>J353+J358+J363+J368+J373+J383+J388+J393+J403+J408+J413+J418+J423+J428+J433+J438+J443+J448+J453+J458+J463+J468+J378+J398</f>
        <v>36618616</v>
      </c>
      <c r="K473" s="826">
        <f aca="true" t="shared" si="96" ref="K473:W473">K353+K358+K363+K368+K373+K383+K388+K393+K403+K408+K413+K418+K423+K428+K433+K438+K443+K448+K453+K458+K463+K468+K378+K398</f>
        <v>0</v>
      </c>
      <c r="L473" s="826">
        <f t="shared" si="96"/>
        <v>0</v>
      </c>
      <c r="M473" s="826">
        <f t="shared" si="96"/>
        <v>0</v>
      </c>
      <c r="N473" s="826">
        <f t="shared" si="96"/>
        <v>36618616</v>
      </c>
      <c r="O473" s="826">
        <f t="shared" si="96"/>
        <v>36618616</v>
      </c>
      <c r="P473" s="826">
        <f t="shared" si="96"/>
        <v>19456745</v>
      </c>
      <c r="Q473" s="826">
        <f t="shared" si="96"/>
        <v>17161871</v>
      </c>
      <c r="R473" s="826">
        <f t="shared" si="96"/>
        <v>0</v>
      </c>
      <c r="S473" s="826">
        <f t="shared" si="96"/>
        <v>0</v>
      </c>
      <c r="T473" s="826">
        <f t="shared" si="96"/>
        <v>0</v>
      </c>
      <c r="U473" s="826">
        <f t="shared" si="96"/>
        <v>0</v>
      </c>
      <c r="V473" s="826">
        <f t="shared" si="96"/>
        <v>0</v>
      </c>
      <c r="W473" s="826">
        <f t="shared" si="96"/>
        <v>0</v>
      </c>
    </row>
    <row r="474" spans="1:23" s="442" customFormat="1" ht="14.25" customHeight="1">
      <c r="A474" s="829"/>
      <c r="B474" s="829"/>
      <c r="C474" s="829"/>
      <c r="D474" s="829"/>
      <c r="E474" s="829"/>
      <c r="F474" s="829"/>
      <c r="G474" s="829"/>
      <c r="H474" s="440" t="s">
        <v>75</v>
      </c>
      <c r="I474" s="440" t="s">
        <v>75</v>
      </c>
      <c r="J474" s="826"/>
      <c r="K474" s="826"/>
      <c r="L474" s="826"/>
      <c r="M474" s="826"/>
      <c r="N474" s="826"/>
      <c r="O474" s="826"/>
      <c r="P474" s="826"/>
      <c r="Q474" s="826"/>
      <c r="R474" s="826"/>
      <c r="S474" s="826"/>
      <c r="T474" s="826"/>
      <c r="U474" s="826"/>
      <c r="V474" s="826"/>
      <c r="W474" s="826"/>
    </row>
    <row r="475" spans="1:23" s="442" customFormat="1" ht="14.25" customHeight="1">
      <c r="A475" s="829"/>
      <c r="B475" s="829"/>
      <c r="C475" s="829"/>
      <c r="D475" s="829"/>
      <c r="E475" s="829"/>
      <c r="F475" s="829"/>
      <c r="G475" s="829"/>
      <c r="H475" s="440" t="s">
        <v>75</v>
      </c>
      <c r="I475" s="440" t="s">
        <v>75</v>
      </c>
      <c r="J475" s="432">
        <f>J355+J360+J365+J370+J375+J385+J390+J395+J405+J410+J415+J420+J425+J430+J435+J440+J445+J450+J455+J460+J465+J470+J380+J400</f>
        <v>-4462968</v>
      </c>
      <c r="K475" s="432">
        <f aca="true" t="shared" si="97" ref="K475:W475">K355+K360+K365+K370+K375+K385+K390+K395+K405+K410+K415+K420+K425+K430+K435+K440+K445+K450+K455+K460+K465+K470+K380+K400</f>
        <v>0</v>
      </c>
      <c r="L475" s="432">
        <f t="shared" si="97"/>
        <v>0</v>
      </c>
      <c r="M475" s="432">
        <f t="shared" si="97"/>
        <v>0</v>
      </c>
      <c r="N475" s="432">
        <f t="shared" si="97"/>
        <v>-4462968</v>
      </c>
      <c r="O475" s="432">
        <f t="shared" si="97"/>
        <v>-4462968</v>
      </c>
      <c r="P475" s="432">
        <f t="shared" si="97"/>
        <v>-4562968</v>
      </c>
      <c r="Q475" s="432">
        <f t="shared" si="97"/>
        <v>100000</v>
      </c>
      <c r="R475" s="432">
        <f t="shared" si="97"/>
        <v>0</v>
      </c>
      <c r="S475" s="432">
        <f t="shared" si="97"/>
        <v>0</v>
      </c>
      <c r="T475" s="432">
        <f t="shared" si="97"/>
        <v>0</v>
      </c>
      <c r="U475" s="432">
        <f t="shared" si="97"/>
        <v>0</v>
      </c>
      <c r="V475" s="432">
        <f t="shared" si="97"/>
        <v>0</v>
      </c>
      <c r="W475" s="432">
        <f t="shared" si="97"/>
        <v>0</v>
      </c>
    </row>
    <row r="476" spans="1:23" s="442" customFormat="1" ht="14.25" customHeight="1">
      <c r="A476" s="829"/>
      <c r="B476" s="829"/>
      <c r="C476" s="829"/>
      <c r="D476" s="829"/>
      <c r="E476" s="829"/>
      <c r="F476" s="829"/>
      <c r="G476" s="829"/>
      <c r="H476" s="440" t="s">
        <v>75</v>
      </c>
      <c r="I476" s="440" t="s">
        <v>75</v>
      </c>
      <c r="J476" s="826">
        <f aca="true" t="shared" si="98" ref="J476:W476">J473+J475</f>
        <v>32155648</v>
      </c>
      <c r="K476" s="826">
        <f t="shared" si="98"/>
        <v>0</v>
      </c>
      <c r="L476" s="826">
        <f t="shared" si="98"/>
        <v>0</v>
      </c>
      <c r="M476" s="826">
        <f t="shared" si="98"/>
        <v>0</v>
      </c>
      <c r="N476" s="826">
        <f t="shared" si="98"/>
        <v>32155648</v>
      </c>
      <c r="O476" s="826">
        <f t="shared" si="98"/>
        <v>32155648</v>
      </c>
      <c r="P476" s="826">
        <f t="shared" si="98"/>
        <v>14893777</v>
      </c>
      <c r="Q476" s="826">
        <f t="shared" si="98"/>
        <v>17261871</v>
      </c>
      <c r="R476" s="826">
        <f t="shared" si="98"/>
        <v>0</v>
      </c>
      <c r="S476" s="826">
        <f t="shared" si="98"/>
        <v>0</v>
      </c>
      <c r="T476" s="826">
        <f t="shared" si="98"/>
        <v>0</v>
      </c>
      <c r="U476" s="826">
        <f t="shared" si="98"/>
        <v>0</v>
      </c>
      <c r="V476" s="826">
        <f t="shared" si="98"/>
        <v>0</v>
      </c>
      <c r="W476" s="826">
        <f t="shared" si="98"/>
        <v>0</v>
      </c>
    </row>
    <row r="477" spans="1:23" s="442" customFormat="1" ht="14.25" customHeight="1">
      <c r="A477" s="829"/>
      <c r="B477" s="829"/>
      <c r="C477" s="829"/>
      <c r="D477" s="829"/>
      <c r="E477" s="829"/>
      <c r="F477" s="829"/>
      <c r="G477" s="829"/>
      <c r="H477" s="440" t="s">
        <v>75</v>
      </c>
      <c r="I477" s="440" t="s">
        <v>75</v>
      </c>
      <c r="J477" s="826"/>
      <c r="K477" s="826"/>
      <c r="L477" s="826"/>
      <c r="M477" s="826"/>
      <c r="N477" s="826"/>
      <c r="O477" s="826"/>
      <c r="P477" s="826"/>
      <c r="Q477" s="826"/>
      <c r="R477" s="826"/>
      <c r="S477" s="826"/>
      <c r="T477" s="826"/>
      <c r="U477" s="826"/>
      <c r="V477" s="826"/>
      <c r="W477" s="826"/>
    </row>
    <row r="478" spans="1:23" s="444" customFormat="1" ht="19.5" customHeight="1">
      <c r="A478" s="827" t="s">
        <v>576</v>
      </c>
      <c r="B478" s="827"/>
      <c r="C478" s="827"/>
      <c r="D478" s="827"/>
      <c r="E478" s="827"/>
      <c r="F478" s="827"/>
      <c r="G478" s="827"/>
      <c r="H478" s="443">
        <f aca="true" t="shared" si="99" ref="H478:I482">H345+H312</f>
        <v>1419163855</v>
      </c>
      <c r="I478" s="443">
        <f t="shared" si="99"/>
        <v>348553323</v>
      </c>
      <c r="J478" s="826">
        <f aca="true" t="shared" si="100" ref="J478:W478">J473+J345+J312</f>
        <v>433210934</v>
      </c>
      <c r="K478" s="826">
        <f t="shared" si="100"/>
        <v>322438688</v>
      </c>
      <c r="L478" s="826">
        <f t="shared" si="100"/>
        <v>95459458</v>
      </c>
      <c r="M478" s="826">
        <f t="shared" si="100"/>
        <v>226979230</v>
      </c>
      <c r="N478" s="826">
        <f t="shared" si="100"/>
        <v>110772246</v>
      </c>
      <c r="O478" s="826">
        <f t="shared" si="100"/>
        <v>41056338</v>
      </c>
      <c r="P478" s="826">
        <f t="shared" si="100"/>
        <v>23160221</v>
      </c>
      <c r="Q478" s="826">
        <f t="shared" si="100"/>
        <v>17896117</v>
      </c>
      <c r="R478" s="826">
        <f t="shared" si="100"/>
        <v>52229922</v>
      </c>
      <c r="S478" s="826">
        <f t="shared" si="100"/>
        <v>10109450</v>
      </c>
      <c r="T478" s="826">
        <f t="shared" si="100"/>
        <v>42120472</v>
      </c>
      <c r="U478" s="826">
        <f t="shared" si="100"/>
        <v>17485986</v>
      </c>
      <c r="V478" s="826">
        <f t="shared" si="100"/>
        <v>820351</v>
      </c>
      <c r="W478" s="826">
        <f t="shared" si="100"/>
        <v>16665635</v>
      </c>
    </row>
    <row r="479" spans="1:23" s="445" customFormat="1" ht="19.5" customHeight="1">
      <c r="A479" s="827"/>
      <c r="B479" s="827"/>
      <c r="C479" s="827"/>
      <c r="D479" s="827"/>
      <c r="E479" s="827"/>
      <c r="F479" s="827"/>
      <c r="G479" s="827"/>
      <c r="H479" s="443">
        <f t="shared" si="99"/>
        <v>1187163046</v>
      </c>
      <c r="I479" s="443">
        <f t="shared" si="99"/>
        <v>264306377</v>
      </c>
      <c r="J479" s="826"/>
      <c r="K479" s="826"/>
      <c r="L479" s="826"/>
      <c r="M479" s="826"/>
      <c r="N479" s="826"/>
      <c r="O479" s="826"/>
      <c r="P479" s="826"/>
      <c r="Q479" s="826"/>
      <c r="R479" s="826"/>
      <c r="S479" s="826"/>
      <c r="T479" s="826"/>
      <c r="U479" s="826"/>
      <c r="V479" s="826"/>
      <c r="W479" s="826"/>
    </row>
    <row r="480" spans="1:23" s="445" customFormat="1" ht="19.5" customHeight="1">
      <c r="A480" s="827"/>
      <c r="B480" s="827"/>
      <c r="C480" s="827"/>
      <c r="D480" s="827"/>
      <c r="E480" s="827"/>
      <c r="F480" s="827"/>
      <c r="G480" s="827"/>
      <c r="H480" s="443">
        <f t="shared" si="99"/>
        <v>19911069</v>
      </c>
      <c r="I480" s="443">
        <f t="shared" si="99"/>
        <v>7624803</v>
      </c>
      <c r="J480" s="432">
        <f aca="true" t="shared" si="101" ref="J480:W480">J475+J347+J314</f>
        <v>41216693</v>
      </c>
      <c r="K480" s="432">
        <f t="shared" si="101"/>
        <v>38508755</v>
      </c>
      <c r="L480" s="432">
        <f t="shared" si="101"/>
        <v>41801578</v>
      </c>
      <c r="M480" s="432">
        <f t="shared" si="101"/>
        <v>-3292823</v>
      </c>
      <c r="N480" s="432">
        <f t="shared" si="101"/>
        <v>2707938</v>
      </c>
      <c r="O480" s="432">
        <f t="shared" si="101"/>
        <v>64410</v>
      </c>
      <c r="P480" s="432">
        <f t="shared" si="101"/>
        <v>64410</v>
      </c>
      <c r="Q480" s="432">
        <f t="shared" si="101"/>
        <v>0</v>
      </c>
      <c r="R480" s="432">
        <f t="shared" si="101"/>
        <v>2503211</v>
      </c>
      <c r="S480" s="432">
        <f t="shared" si="101"/>
        <v>2198940</v>
      </c>
      <c r="T480" s="432">
        <f t="shared" si="101"/>
        <v>304271</v>
      </c>
      <c r="U480" s="432">
        <f t="shared" si="101"/>
        <v>140317</v>
      </c>
      <c r="V480" s="432">
        <f t="shared" si="101"/>
        <v>0</v>
      </c>
      <c r="W480" s="432">
        <f t="shared" si="101"/>
        <v>140317</v>
      </c>
    </row>
    <row r="481" spans="1:23" s="445" customFormat="1" ht="19.5" customHeight="1">
      <c r="A481" s="827"/>
      <c r="B481" s="827"/>
      <c r="C481" s="827"/>
      <c r="D481" s="827"/>
      <c r="E481" s="827"/>
      <c r="F481" s="827"/>
      <c r="G481" s="827"/>
      <c r="H481" s="443">
        <f t="shared" si="99"/>
        <v>189820226</v>
      </c>
      <c r="I481" s="443">
        <f t="shared" si="99"/>
        <v>73424618</v>
      </c>
      <c r="J481" s="826">
        <f aca="true" t="shared" si="102" ref="J481:W481">J478+J480</f>
        <v>474427627</v>
      </c>
      <c r="K481" s="826">
        <f t="shared" si="102"/>
        <v>360947443</v>
      </c>
      <c r="L481" s="826">
        <f t="shared" si="102"/>
        <v>137261036</v>
      </c>
      <c r="M481" s="826">
        <f t="shared" si="102"/>
        <v>223686407</v>
      </c>
      <c r="N481" s="826">
        <f t="shared" si="102"/>
        <v>113480184</v>
      </c>
      <c r="O481" s="826">
        <f t="shared" si="102"/>
        <v>41120748</v>
      </c>
      <c r="P481" s="826">
        <f t="shared" si="102"/>
        <v>23224631</v>
      </c>
      <c r="Q481" s="826">
        <f t="shared" si="102"/>
        <v>17896117</v>
      </c>
      <c r="R481" s="826">
        <f t="shared" si="102"/>
        <v>54733133</v>
      </c>
      <c r="S481" s="826">
        <f t="shared" si="102"/>
        <v>12308390</v>
      </c>
      <c r="T481" s="826">
        <f t="shared" si="102"/>
        <v>42424743</v>
      </c>
      <c r="U481" s="826">
        <f t="shared" si="102"/>
        <v>17626303</v>
      </c>
      <c r="V481" s="826">
        <f t="shared" si="102"/>
        <v>820351</v>
      </c>
      <c r="W481" s="826">
        <f t="shared" si="102"/>
        <v>16805952</v>
      </c>
    </row>
    <row r="482" spans="1:23" s="445" customFormat="1" ht="19.5" customHeight="1">
      <c r="A482" s="827"/>
      <c r="B482" s="827"/>
      <c r="C482" s="827"/>
      <c r="D482" s="827"/>
      <c r="E482" s="827"/>
      <c r="F482" s="827"/>
      <c r="G482" s="827"/>
      <c r="H482" s="443">
        <f t="shared" si="99"/>
        <v>22269514</v>
      </c>
      <c r="I482" s="443">
        <f t="shared" si="99"/>
        <v>3197525</v>
      </c>
      <c r="J482" s="826"/>
      <c r="K482" s="826"/>
      <c r="L482" s="826"/>
      <c r="M482" s="826"/>
      <c r="N482" s="826"/>
      <c r="O482" s="826"/>
      <c r="P482" s="826"/>
      <c r="Q482" s="826"/>
      <c r="R482" s="826"/>
      <c r="S482" s="826"/>
      <c r="T482" s="826"/>
      <c r="U482" s="826"/>
      <c r="V482" s="826"/>
      <c r="W482" s="826"/>
    </row>
  </sheetData>
  <sheetProtection password="C25B" sheet="1"/>
  <mergeCells count="3234">
    <mergeCell ref="H7:H8"/>
    <mergeCell ref="I7:I8"/>
    <mergeCell ref="K11:K12"/>
    <mergeCell ref="L11:L12"/>
    <mergeCell ref="A5:W5"/>
    <mergeCell ref="A7:A12"/>
    <mergeCell ref="B7:B12"/>
    <mergeCell ref="C7:C12"/>
    <mergeCell ref="D7:D12"/>
    <mergeCell ref="E7:E12"/>
    <mergeCell ref="F7:F12"/>
    <mergeCell ref="G7:G12"/>
    <mergeCell ref="R11:R12"/>
    <mergeCell ref="S11:S12"/>
    <mergeCell ref="J7:W8"/>
    <mergeCell ref="J9:J12"/>
    <mergeCell ref="K9:M10"/>
    <mergeCell ref="N9:N12"/>
    <mergeCell ref="O9:W9"/>
    <mergeCell ref="O10:Q10"/>
    <mergeCell ref="R10:T10"/>
    <mergeCell ref="U10:W10"/>
    <mergeCell ref="T11:T12"/>
    <mergeCell ref="U11:U12"/>
    <mergeCell ref="V11:V12"/>
    <mergeCell ref="W11:W12"/>
    <mergeCell ref="A14:W14"/>
    <mergeCell ref="A15:W15"/>
    <mergeCell ref="M11:M12"/>
    <mergeCell ref="O11:O12"/>
    <mergeCell ref="P11:P12"/>
    <mergeCell ref="Q11:Q12"/>
    <mergeCell ref="A16:W16"/>
    <mergeCell ref="A17:A21"/>
    <mergeCell ref="B17:B21"/>
    <mergeCell ref="C17:C21"/>
    <mergeCell ref="D17:D21"/>
    <mergeCell ref="E17:E21"/>
    <mergeCell ref="F17:F21"/>
    <mergeCell ref="G17:G21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A22:A26"/>
    <mergeCell ref="B22:B26"/>
    <mergeCell ref="C22:C26"/>
    <mergeCell ref="D22:D26"/>
    <mergeCell ref="E22:E26"/>
    <mergeCell ref="F22:F26"/>
    <mergeCell ref="G22:G26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A27:A31"/>
    <mergeCell ref="B27:B31"/>
    <mergeCell ref="C27:C31"/>
    <mergeCell ref="D27:D31"/>
    <mergeCell ref="E27:E31"/>
    <mergeCell ref="F27:F31"/>
    <mergeCell ref="G27:G31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A32:A36"/>
    <mergeCell ref="B32:B36"/>
    <mergeCell ref="C32:C36"/>
    <mergeCell ref="D32:D36"/>
    <mergeCell ref="E32:E36"/>
    <mergeCell ref="F32:F36"/>
    <mergeCell ref="G32:G36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A37:A41"/>
    <mergeCell ref="B37:B41"/>
    <mergeCell ref="C37:C41"/>
    <mergeCell ref="D37:D41"/>
    <mergeCell ref="E37:E41"/>
    <mergeCell ref="F37:F41"/>
    <mergeCell ref="G37:G41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A42:A46"/>
    <mergeCell ref="B42:B46"/>
    <mergeCell ref="C42:C46"/>
    <mergeCell ref="D42:D46"/>
    <mergeCell ref="E42:E46"/>
    <mergeCell ref="F42:F46"/>
    <mergeCell ref="G42:G46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A47:A51"/>
    <mergeCell ref="B47:B51"/>
    <mergeCell ref="C47:C51"/>
    <mergeCell ref="D47:D51"/>
    <mergeCell ref="E47:E51"/>
    <mergeCell ref="F47:F51"/>
    <mergeCell ref="G47:G51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A52:A56"/>
    <mergeCell ref="B52:B56"/>
    <mergeCell ref="C52:C56"/>
    <mergeCell ref="D52:D56"/>
    <mergeCell ref="E52:E56"/>
    <mergeCell ref="F52:F56"/>
    <mergeCell ref="G52:G56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W52:W53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A57:A61"/>
    <mergeCell ref="B57:B61"/>
    <mergeCell ref="C57:C61"/>
    <mergeCell ref="D57:D61"/>
    <mergeCell ref="E57:E61"/>
    <mergeCell ref="F57:F61"/>
    <mergeCell ref="G57:G61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A62:A66"/>
    <mergeCell ref="B62:B66"/>
    <mergeCell ref="C62:C66"/>
    <mergeCell ref="D62:D66"/>
    <mergeCell ref="E62:E66"/>
    <mergeCell ref="F62:F66"/>
    <mergeCell ref="G62:G66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A67:A71"/>
    <mergeCell ref="B67:B71"/>
    <mergeCell ref="C67:C71"/>
    <mergeCell ref="D67:D71"/>
    <mergeCell ref="E67:E71"/>
    <mergeCell ref="F67:F71"/>
    <mergeCell ref="G67:G71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A72:A76"/>
    <mergeCell ref="B72:B76"/>
    <mergeCell ref="C72:C76"/>
    <mergeCell ref="D72:D76"/>
    <mergeCell ref="E72:E76"/>
    <mergeCell ref="F72:F76"/>
    <mergeCell ref="G72:G76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J75:J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V75:V76"/>
    <mergeCell ref="W75:W76"/>
    <mergeCell ref="A77:A81"/>
    <mergeCell ref="B77:B81"/>
    <mergeCell ref="C77:C81"/>
    <mergeCell ref="D77:D81"/>
    <mergeCell ref="E77:E81"/>
    <mergeCell ref="F77:F81"/>
    <mergeCell ref="G77:G81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J80:J81"/>
    <mergeCell ref="K80:K81"/>
    <mergeCell ref="L80:L81"/>
    <mergeCell ref="M80:M81"/>
    <mergeCell ref="N80:N81"/>
    <mergeCell ref="O80:O81"/>
    <mergeCell ref="P80:P81"/>
    <mergeCell ref="Q80:Q81"/>
    <mergeCell ref="R80:R81"/>
    <mergeCell ref="S80:S81"/>
    <mergeCell ref="T80:T81"/>
    <mergeCell ref="U80:U81"/>
    <mergeCell ref="V80:V81"/>
    <mergeCell ref="W80:W81"/>
    <mergeCell ref="A82:A86"/>
    <mergeCell ref="B82:B86"/>
    <mergeCell ref="C82:C86"/>
    <mergeCell ref="D82:D86"/>
    <mergeCell ref="E82:E86"/>
    <mergeCell ref="F82:F86"/>
    <mergeCell ref="G82:G86"/>
    <mergeCell ref="J82:J83"/>
    <mergeCell ref="K82:K83"/>
    <mergeCell ref="L82:L83"/>
    <mergeCell ref="M82:M83"/>
    <mergeCell ref="N82:N83"/>
    <mergeCell ref="O82:O83"/>
    <mergeCell ref="P82:P83"/>
    <mergeCell ref="Q82:Q83"/>
    <mergeCell ref="R82:R83"/>
    <mergeCell ref="S82:S83"/>
    <mergeCell ref="T82:T83"/>
    <mergeCell ref="U82:U83"/>
    <mergeCell ref="V82:V83"/>
    <mergeCell ref="W82:W83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A87:A91"/>
    <mergeCell ref="B87:B91"/>
    <mergeCell ref="C87:C91"/>
    <mergeCell ref="D87:D91"/>
    <mergeCell ref="E87:E91"/>
    <mergeCell ref="F87:F91"/>
    <mergeCell ref="G87:G91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J90:J91"/>
    <mergeCell ref="K90:K91"/>
    <mergeCell ref="L90:L91"/>
    <mergeCell ref="M90:M91"/>
    <mergeCell ref="N90:N91"/>
    <mergeCell ref="O90:O91"/>
    <mergeCell ref="P90:P91"/>
    <mergeCell ref="Q90:Q91"/>
    <mergeCell ref="R90:R91"/>
    <mergeCell ref="S90:S91"/>
    <mergeCell ref="T90:T91"/>
    <mergeCell ref="U90:U91"/>
    <mergeCell ref="V90:V91"/>
    <mergeCell ref="W90:W91"/>
    <mergeCell ref="A92:A96"/>
    <mergeCell ref="B92:B96"/>
    <mergeCell ref="C92:C96"/>
    <mergeCell ref="D92:D96"/>
    <mergeCell ref="E92:E96"/>
    <mergeCell ref="F92:F96"/>
    <mergeCell ref="G92:G96"/>
    <mergeCell ref="J92:J93"/>
    <mergeCell ref="K92:K93"/>
    <mergeCell ref="L92:L93"/>
    <mergeCell ref="M92:M93"/>
    <mergeCell ref="N92:N93"/>
    <mergeCell ref="O92:O93"/>
    <mergeCell ref="P92:P93"/>
    <mergeCell ref="Q92:Q93"/>
    <mergeCell ref="R92:R93"/>
    <mergeCell ref="S92:S93"/>
    <mergeCell ref="T92:T93"/>
    <mergeCell ref="U92:U93"/>
    <mergeCell ref="V92:V93"/>
    <mergeCell ref="W92:W93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V95:V96"/>
    <mergeCell ref="W95:W96"/>
    <mergeCell ref="A97:A101"/>
    <mergeCell ref="B97:B101"/>
    <mergeCell ref="C97:C101"/>
    <mergeCell ref="D97:D101"/>
    <mergeCell ref="E97:E101"/>
    <mergeCell ref="F97:F101"/>
    <mergeCell ref="G97:G101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J100:J101"/>
    <mergeCell ref="K100:K101"/>
    <mergeCell ref="L100:L101"/>
    <mergeCell ref="M100:M101"/>
    <mergeCell ref="N100:N101"/>
    <mergeCell ref="O100:O101"/>
    <mergeCell ref="P100:P101"/>
    <mergeCell ref="Q100:Q101"/>
    <mergeCell ref="R100:R101"/>
    <mergeCell ref="S100:S101"/>
    <mergeCell ref="T100:T101"/>
    <mergeCell ref="U100:U101"/>
    <mergeCell ref="V100:V101"/>
    <mergeCell ref="W100:W101"/>
    <mergeCell ref="A102:A106"/>
    <mergeCell ref="B102:B106"/>
    <mergeCell ref="C102:C106"/>
    <mergeCell ref="D102:D106"/>
    <mergeCell ref="E102:E106"/>
    <mergeCell ref="F102:F106"/>
    <mergeCell ref="G102:G106"/>
    <mergeCell ref="J102:J103"/>
    <mergeCell ref="K102:K103"/>
    <mergeCell ref="L102:L103"/>
    <mergeCell ref="M102:M103"/>
    <mergeCell ref="N102:N103"/>
    <mergeCell ref="O102:O103"/>
    <mergeCell ref="P102:P103"/>
    <mergeCell ref="Q102:Q103"/>
    <mergeCell ref="R102:R103"/>
    <mergeCell ref="S102:S103"/>
    <mergeCell ref="T102:T103"/>
    <mergeCell ref="U102:U103"/>
    <mergeCell ref="V102:V103"/>
    <mergeCell ref="W102:W103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V105:V106"/>
    <mergeCell ref="W105:W106"/>
    <mergeCell ref="A107:A111"/>
    <mergeCell ref="B107:B111"/>
    <mergeCell ref="C107:C111"/>
    <mergeCell ref="D107:D111"/>
    <mergeCell ref="E107:E111"/>
    <mergeCell ref="F107:F111"/>
    <mergeCell ref="G107:G111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J110:J111"/>
    <mergeCell ref="K110:K111"/>
    <mergeCell ref="L110:L111"/>
    <mergeCell ref="M110:M111"/>
    <mergeCell ref="N110:N111"/>
    <mergeCell ref="O110:O111"/>
    <mergeCell ref="P110:P111"/>
    <mergeCell ref="Q110:Q111"/>
    <mergeCell ref="R110:R111"/>
    <mergeCell ref="S110:S111"/>
    <mergeCell ref="T110:T111"/>
    <mergeCell ref="U110:U111"/>
    <mergeCell ref="V110:V111"/>
    <mergeCell ref="W110:W111"/>
    <mergeCell ref="A112:A116"/>
    <mergeCell ref="B112:B116"/>
    <mergeCell ref="C112:C116"/>
    <mergeCell ref="D112:D116"/>
    <mergeCell ref="E112:E116"/>
    <mergeCell ref="F112:F116"/>
    <mergeCell ref="G112:G116"/>
    <mergeCell ref="J112:J113"/>
    <mergeCell ref="K112:K113"/>
    <mergeCell ref="L112:L113"/>
    <mergeCell ref="M112:M113"/>
    <mergeCell ref="N112:N113"/>
    <mergeCell ref="O112:O113"/>
    <mergeCell ref="P112:P113"/>
    <mergeCell ref="Q112:Q113"/>
    <mergeCell ref="R112:R113"/>
    <mergeCell ref="S112:S113"/>
    <mergeCell ref="T112:T113"/>
    <mergeCell ref="U112:U113"/>
    <mergeCell ref="V112:V113"/>
    <mergeCell ref="W112:W113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A117:A121"/>
    <mergeCell ref="B117:B121"/>
    <mergeCell ref="C117:C121"/>
    <mergeCell ref="D117:D121"/>
    <mergeCell ref="E117:E121"/>
    <mergeCell ref="F117:F121"/>
    <mergeCell ref="G117:G121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U117:U118"/>
    <mergeCell ref="V117:V118"/>
    <mergeCell ref="W117:W118"/>
    <mergeCell ref="J120:J121"/>
    <mergeCell ref="K120:K121"/>
    <mergeCell ref="L120:L121"/>
    <mergeCell ref="M120:M121"/>
    <mergeCell ref="N120:N121"/>
    <mergeCell ref="O120:O121"/>
    <mergeCell ref="P120:P121"/>
    <mergeCell ref="Q120:Q121"/>
    <mergeCell ref="R120:R121"/>
    <mergeCell ref="S120:S121"/>
    <mergeCell ref="T120:T121"/>
    <mergeCell ref="U120:U121"/>
    <mergeCell ref="V120:V121"/>
    <mergeCell ref="W120:W121"/>
    <mergeCell ref="A122:A126"/>
    <mergeCell ref="B122:B126"/>
    <mergeCell ref="C122:C126"/>
    <mergeCell ref="D122:D126"/>
    <mergeCell ref="E122:E126"/>
    <mergeCell ref="F122:F126"/>
    <mergeCell ref="G122:G126"/>
    <mergeCell ref="J122:J123"/>
    <mergeCell ref="K122:K123"/>
    <mergeCell ref="L122:L123"/>
    <mergeCell ref="M122:M123"/>
    <mergeCell ref="N122:N123"/>
    <mergeCell ref="O122:O123"/>
    <mergeCell ref="P122:P123"/>
    <mergeCell ref="Q122:Q123"/>
    <mergeCell ref="R122:R123"/>
    <mergeCell ref="S122:S123"/>
    <mergeCell ref="T122:T123"/>
    <mergeCell ref="U122:U123"/>
    <mergeCell ref="V122:V123"/>
    <mergeCell ref="W122:W123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U125:U126"/>
    <mergeCell ref="V125:V126"/>
    <mergeCell ref="W125:W126"/>
    <mergeCell ref="A127:A131"/>
    <mergeCell ref="B127:B131"/>
    <mergeCell ref="C127:C131"/>
    <mergeCell ref="D127:D131"/>
    <mergeCell ref="E127:E131"/>
    <mergeCell ref="F127:F131"/>
    <mergeCell ref="G127:G131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J130:J131"/>
    <mergeCell ref="K130:K131"/>
    <mergeCell ref="L130:L131"/>
    <mergeCell ref="M130:M131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W130:W131"/>
    <mergeCell ref="A132:A136"/>
    <mergeCell ref="B132:B136"/>
    <mergeCell ref="C132:C136"/>
    <mergeCell ref="D132:D136"/>
    <mergeCell ref="E132:E136"/>
    <mergeCell ref="F132:F136"/>
    <mergeCell ref="G132:G136"/>
    <mergeCell ref="J132:J133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U132:U133"/>
    <mergeCell ref="V132:V133"/>
    <mergeCell ref="W132:W133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A137:A141"/>
    <mergeCell ref="B137:B141"/>
    <mergeCell ref="C137:C141"/>
    <mergeCell ref="D137:D141"/>
    <mergeCell ref="E137:E141"/>
    <mergeCell ref="F137:F141"/>
    <mergeCell ref="G137:G141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T137:T138"/>
    <mergeCell ref="U137:U138"/>
    <mergeCell ref="V137:V138"/>
    <mergeCell ref="W137:W138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U140:U141"/>
    <mergeCell ref="V140:V141"/>
    <mergeCell ref="W140:W141"/>
    <mergeCell ref="A142:A146"/>
    <mergeCell ref="B142:B146"/>
    <mergeCell ref="C142:C146"/>
    <mergeCell ref="D142:D146"/>
    <mergeCell ref="E142:E146"/>
    <mergeCell ref="F142:F146"/>
    <mergeCell ref="G142:G146"/>
    <mergeCell ref="J142:J143"/>
    <mergeCell ref="K142:K143"/>
    <mergeCell ref="L142:L143"/>
    <mergeCell ref="M142:M143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V142:V143"/>
    <mergeCell ref="W142:W143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S145:S146"/>
    <mergeCell ref="T145:T146"/>
    <mergeCell ref="U145:U146"/>
    <mergeCell ref="V145:V146"/>
    <mergeCell ref="W145:W146"/>
    <mergeCell ref="A147:A151"/>
    <mergeCell ref="B147:B151"/>
    <mergeCell ref="C147:C151"/>
    <mergeCell ref="D147:D151"/>
    <mergeCell ref="E147:E151"/>
    <mergeCell ref="F147:F151"/>
    <mergeCell ref="G147:G151"/>
    <mergeCell ref="J147:J148"/>
    <mergeCell ref="K147:K148"/>
    <mergeCell ref="L147:L148"/>
    <mergeCell ref="M147:M148"/>
    <mergeCell ref="N147:N148"/>
    <mergeCell ref="O147:O148"/>
    <mergeCell ref="P147:P148"/>
    <mergeCell ref="Q147:Q148"/>
    <mergeCell ref="R147:R148"/>
    <mergeCell ref="S147:S148"/>
    <mergeCell ref="T147:T148"/>
    <mergeCell ref="U147:U148"/>
    <mergeCell ref="V147:V148"/>
    <mergeCell ref="W147:W148"/>
    <mergeCell ref="J150:J151"/>
    <mergeCell ref="K150:K151"/>
    <mergeCell ref="L150:L151"/>
    <mergeCell ref="M150:M151"/>
    <mergeCell ref="N150:N151"/>
    <mergeCell ref="O150:O151"/>
    <mergeCell ref="P150:P151"/>
    <mergeCell ref="Q150:Q151"/>
    <mergeCell ref="R150:R151"/>
    <mergeCell ref="S150:S151"/>
    <mergeCell ref="T150:T151"/>
    <mergeCell ref="U150:U151"/>
    <mergeCell ref="V150:V151"/>
    <mergeCell ref="W150:W151"/>
    <mergeCell ref="A152:A156"/>
    <mergeCell ref="B152:B156"/>
    <mergeCell ref="C152:C156"/>
    <mergeCell ref="D152:D156"/>
    <mergeCell ref="E152:E156"/>
    <mergeCell ref="F152:F156"/>
    <mergeCell ref="G152:G156"/>
    <mergeCell ref="J152:J153"/>
    <mergeCell ref="K152:K153"/>
    <mergeCell ref="L152:L153"/>
    <mergeCell ref="M152:M153"/>
    <mergeCell ref="N152:N153"/>
    <mergeCell ref="O152:O153"/>
    <mergeCell ref="P152:P153"/>
    <mergeCell ref="Q152:Q153"/>
    <mergeCell ref="R152:R153"/>
    <mergeCell ref="S152:S153"/>
    <mergeCell ref="T152:T153"/>
    <mergeCell ref="U152:U153"/>
    <mergeCell ref="V152:V153"/>
    <mergeCell ref="W152:W153"/>
    <mergeCell ref="J155:J156"/>
    <mergeCell ref="K155:K156"/>
    <mergeCell ref="L155:L156"/>
    <mergeCell ref="M155:M156"/>
    <mergeCell ref="N155:N156"/>
    <mergeCell ref="O155:O156"/>
    <mergeCell ref="P155:P156"/>
    <mergeCell ref="Q155:Q156"/>
    <mergeCell ref="R155:R156"/>
    <mergeCell ref="S155:S156"/>
    <mergeCell ref="T155:T156"/>
    <mergeCell ref="U155:U156"/>
    <mergeCell ref="V155:V156"/>
    <mergeCell ref="W155:W156"/>
    <mergeCell ref="A157:A161"/>
    <mergeCell ref="B157:B161"/>
    <mergeCell ref="C157:C161"/>
    <mergeCell ref="D157:D161"/>
    <mergeCell ref="E157:E161"/>
    <mergeCell ref="F157:F161"/>
    <mergeCell ref="G157:G161"/>
    <mergeCell ref="J157:J158"/>
    <mergeCell ref="K157:K158"/>
    <mergeCell ref="L157:L158"/>
    <mergeCell ref="M157:M158"/>
    <mergeCell ref="N157:N158"/>
    <mergeCell ref="O157:O158"/>
    <mergeCell ref="P157:P158"/>
    <mergeCell ref="Q157:Q158"/>
    <mergeCell ref="R157:R158"/>
    <mergeCell ref="S157:S158"/>
    <mergeCell ref="T157:T158"/>
    <mergeCell ref="U157:U158"/>
    <mergeCell ref="V157:V158"/>
    <mergeCell ref="W157:W158"/>
    <mergeCell ref="J160:J161"/>
    <mergeCell ref="K160:K161"/>
    <mergeCell ref="L160:L161"/>
    <mergeCell ref="M160:M161"/>
    <mergeCell ref="N160:N161"/>
    <mergeCell ref="O160:O161"/>
    <mergeCell ref="P160:P161"/>
    <mergeCell ref="Q160:Q161"/>
    <mergeCell ref="R160:R161"/>
    <mergeCell ref="S160:S161"/>
    <mergeCell ref="T160:T161"/>
    <mergeCell ref="U160:U161"/>
    <mergeCell ref="V160:V161"/>
    <mergeCell ref="W160:W161"/>
    <mergeCell ref="A162:A166"/>
    <mergeCell ref="B162:B166"/>
    <mergeCell ref="C162:C166"/>
    <mergeCell ref="D162:D166"/>
    <mergeCell ref="E162:E166"/>
    <mergeCell ref="F162:F166"/>
    <mergeCell ref="G162:G166"/>
    <mergeCell ref="J162:J163"/>
    <mergeCell ref="K162:K163"/>
    <mergeCell ref="L162:L163"/>
    <mergeCell ref="M162:M163"/>
    <mergeCell ref="N162:N163"/>
    <mergeCell ref="O162:O163"/>
    <mergeCell ref="P162:P163"/>
    <mergeCell ref="Q162:Q163"/>
    <mergeCell ref="R162:R163"/>
    <mergeCell ref="S162:S163"/>
    <mergeCell ref="T162:T163"/>
    <mergeCell ref="U162:U163"/>
    <mergeCell ref="V162:V163"/>
    <mergeCell ref="W162:W163"/>
    <mergeCell ref="J165:J166"/>
    <mergeCell ref="K165:K166"/>
    <mergeCell ref="L165:L166"/>
    <mergeCell ref="M165:M166"/>
    <mergeCell ref="N165:N166"/>
    <mergeCell ref="O165:O166"/>
    <mergeCell ref="P165:P166"/>
    <mergeCell ref="Q165:Q166"/>
    <mergeCell ref="R165:R166"/>
    <mergeCell ref="S165:S166"/>
    <mergeCell ref="T165:T166"/>
    <mergeCell ref="U165:U166"/>
    <mergeCell ref="V165:V166"/>
    <mergeCell ref="W165:W166"/>
    <mergeCell ref="A167:A171"/>
    <mergeCell ref="B167:B171"/>
    <mergeCell ref="C167:C171"/>
    <mergeCell ref="D167:D171"/>
    <mergeCell ref="E167:E171"/>
    <mergeCell ref="F167:F171"/>
    <mergeCell ref="G167:G171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S167:S168"/>
    <mergeCell ref="T167:T168"/>
    <mergeCell ref="U167:U168"/>
    <mergeCell ref="V167:V168"/>
    <mergeCell ref="W167:W168"/>
    <mergeCell ref="J170:J171"/>
    <mergeCell ref="K170:K171"/>
    <mergeCell ref="L170:L171"/>
    <mergeCell ref="M170:M171"/>
    <mergeCell ref="N170:N171"/>
    <mergeCell ref="O170:O171"/>
    <mergeCell ref="P170:P171"/>
    <mergeCell ref="Q170:Q171"/>
    <mergeCell ref="R170:R171"/>
    <mergeCell ref="S170:S171"/>
    <mergeCell ref="T170:T171"/>
    <mergeCell ref="U170:U171"/>
    <mergeCell ref="V170:V171"/>
    <mergeCell ref="W170:W171"/>
    <mergeCell ref="A172:A176"/>
    <mergeCell ref="B172:B176"/>
    <mergeCell ref="C172:C176"/>
    <mergeCell ref="D172:D176"/>
    <mergeCell ref="E172:E176"/>
    <mergeCell ref="F172:F176"/>
    <mergeCell ref="G172:G176"/>
    <mergeCell ref="J172:J173"/>
    <mergeCell ref="K172:K173"/>
    <mergeCell ref="L172:L173"/>
    <mergeCell ref="M172:M173"/>
    <mergeCell ref="N172:N173"/>
    <mergeCell ref="O172:O173"/>
    <mergeCell ref="P172:P173"/>
    <mergeCell ref="Q172:Q173"/>
    <mergeCell ref="R172:R173"/>
    <mergeCell ref="S172:S173"/>
    <mergeCell ref="T172:T173"/>
    <mergeCell ref="U172:U173"/>
    <mergeCell ref="V172:V173"/>
    <mergeCell ref="W172:W173"/>
    <mergeCell ref="J175:J176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S175:S176"/>
    <mergeCell ref="T175:T176"/>
    <mergeCell ref="U175:U176"/>
    <mergeCell ref="V175:V176"/>
    <mergeCell ref="W175:W176"/>
    <mergeCell ref="A177:A181"/>
    <mergeCell ref="B177:B181"/>
    <mergeCell ref="C177:C181"/>
    <mergeCell ref="D177:D181"/>
    <mergeCell ref="E177:E181"/>
    <mergeCell ref="F177:F181"/>
    <mergeCell ref="G177:G181"/>
    <mergeCell ref="J177:J178"/>
    <mergeCell ref="K177:K178"/>
    <mergeCell ref="L177:L178"/>
    <mergeCell ref="M177:M178"/>
    <mergeCell ref="N177:N178"/>
    <mergeCell ref="O177:O178"/>
    <mergeCell ref="P177:P178"/>
    <mergeCell ref="Q177:Q178"/>
    <mergeCell ref="R177:R178"/>
    <mergeCell ref="S177:S178"/>
    <mergeCell ref="T177:T178"/>
    <mergeCell ref="U177:U178"/>
    <mergeCell ref="V177:V178"/>
    <mergeCell ref="W177:W178"/>
    <mergeCell ref="J180:J181"/>
    <mergeCell ref="K180:K181"/>
    <mergeCell ref="L180:L181"/>
    <mergeCell ref="M180:M181"/>
    <mergeCell ref="N180:N181"/>
    <mergeCell ref="O180:O181"/>
    <mergeCell ref="P180:P181"/>
    <mergeCell ref="Q180:Q181"/>
    <mergeCell ref="R180:R181"/>
    <mergeCell ref="S180:S181"/>
    <mergeCell ref="T180:T181"/>
    <mergeCell ref="U180:U181"/>
    <mergeCell ref="V180:V181"/>
    <mergeCell ref="W180:W181"/>
    <mergeCell ref="A182:A186"/>
    <mergeCell ref="B182:B186"/>
    <mergeCell ref="C182:C186"/>
    <mergeCell ref="D182:D186"/>
    <mergeCell ref="E182:E186"/>
    <mergeCell ref="F182:F186"/>
    <mergeCell ref="G182:G186"/>
    <mergeCell ref="J182:J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S182:S183"/>
    <mergeCell ref="T182:T183"/>
    <mergeCell ref="U182:U183"/>
    <mergeCell ref="V182:V183"/>
    <mergeCell ref="W182:W183"/>
    <mergeCell ref="J185:J186"/>
    <mergeCell ref="K185:K186"/>
    <mergeCell ref="L185:L186"/>
    <mergeCell ref="M185:M186"/>
    <mergeCell ref="N185:N186"/>
    <mergeCell ref="O185:O186"/>
    <mergeCell ref="P185:P186"/>
    <mergeCell ref="Q185:Q186"/>
    <mergeCell ref="R185:R186"/>
    <mergeCell ref="S185:S186"/>
    <mergeCell ref="T185:T186"/>
    <mergeCell ref="U185:U186"/>
    <mergeCell ref="V185:V186"/>
    <mergeCell ref="W185:W186"/>
    <mergeCell ref="A187:A191"/>
    <mergeCell ref="B187:B191"/>
    <mergeCell ref="C187:C191"/>
    <mergeCell ref="D187:D191"/>
    <mergeCell ref="E187:E191"/>
    <mergeCell ref="F187:F191"/>
    <mergeCell ref="G187:G191"/>
    <mergeCell ref="J187:J188"/>
    <mergeCell ref="K187:K188"/>
    <mergeCell ref="L187:L188"/>
    <mergeCell ref="M187:M188"/>
    <mergeCell ref="N187:N188"/>
    <mergeCell ref="O187:O188"/>
    <mergeCell ref="P187:P188"/>
    <mergeCell ref="Q187:Q188"/>
    <mergeCell ref="R187:R188"/>
    <mergeCell ref="S187:S188"/>
    <mergeCell ref="T187:T188"/>
    <mergeCell ref="U187:U188"/>
    <mergeCell ref="V187:V188"/>
    <mergeCell ref="W187:W188"/>
    <mergeCell ref="J190:J191"/>
    <mergeCell ref="K190:K191"/>
    <mergeCell ref="L190:L191"/>
    <mergeCell ref="M190:M191"/>
    <mergeCell ref="N190:N191"/>
    <mergeCell ref="O190:O191"/>
    <mergeCell ref="P190:P191"/>
    <mergeCell ref="Q190:Q191"/>
    <mergeCell ref="R190:R191"/>
    <mergeCell ref="S190:S191"/>
    <mergeCell ref="T190:T191"/>
    <mergeCell ref="U190:U191"/>
    <mergeCell ref="V190:V191"/>
    <mergeCell ref="W190:W191"/>
    <mergeCell ref="A192:A196"/>
    <mergeCell ref="B192:B196"/>
    <mergeCell ref="C192:C196"/>
    <mergeCell ref="D192:D196"/>
    <mergeCell ref="E192:E196"/>
    <mergeCell ref="F192:F196"/>
    <mergeCell ref="G192:G196"/>
    <mergeCell ref="J192:J193"/>
    <mergeCell ref="K192:K193"/>
    <mergeCell ref="L192:L193"/>
    <mergeCell ref="M192:M193"/>
    <mergeCell ref="N192:N193"/>
    <mergeCell ref="O192:O193"/>
    <mergeCell ref="P192:P193"/>
    <mergeCell ref="Q192:Q193"/>
    <mergeCell ref="R192:R193"/>
    <mergeCell ref="S192:S193"/>
    <mergeCell ref="T192:T193"/>
    <mergeCell ref="U192:U193"/>
    <mergeCell ref="V192:V193"/>
    <mergeCell ref="W192:W193"/>
    <mergeCell ref="J195:J196"/>
    <mergeCell ref="K195:K196"/>
    <mergeCell ref="L195:L196"/>
    <mergeCell ref="M195:M196"/>
    <mergeCell ref="N195:N196"/>
    <mergeCell ref="O195:O196"/>
    <mergeCell ref="P195:P196"/>
    <mergeCell ref="Q195:Q196"/>
    <mergeCell ref="R195:R196"/>
    <mergeCell ref="S195:S196"/>
    <mergeCell ref="T195:T196"/>
    <mergeCell ref="U195:U196"/>
    <mergeCell ref="V195:V196"/>
    <mergeCell ref="W195:W196"/>
    <mergeCell ref="A197:A201"/>
    <mergeCell ref="B197:B201"/>
    <mergeCell ref="C197:C201"/>
    <mergeCell ref="D197:D201"/>
    <mergeCell ref="E197:E201"/>
    <mergeCell ref="F197:F201"/>
    <mergeCell ref="G197:G201"/>
    <mergeCell ref="J197:J198"/>
    <mergeCell ref="K197:K198"/>
    <mergeCell ref="L197:L198"/>
    <mergeCell ref="M197:M198"/>
    <mergeCell ref="N197:N198"/>
    <mergeCell ref="O197:O198"/>
    <mergeCell ref="P197:P198"/>
    <mergeCell ref="Q197:Q198"/>
    <mergeCell ref="R197:R198"/>
    <mergeCell ref="S197:S198"/>
    <mergeCell ref="T197:T198"/>
    <mergeCell ref="U197:U198"/>
    <mergeCell ref="V197:V198"/>
    <mergeCell ref="W197:W198"/>
    <mergeCell ref="J200:J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S200:S201"/>
    <mergeCell ref="T200:T201"/>
    <mergeCell ref="U200:U201"/>
    <mergeCell ref="V200:V201"/>
    <mergeCell ref="W200:W201"/>
    <mergeCell ref="A202:A206"/>
    <mergeCell ref="B202:B206"/>
    <mergeCell ref="C202:C206"/>
    <mergeCell ref="D202:D206"/>
    <mergeCell ref="E202:E206"/>
    <mergeCell ref="F202:F206"/>
    <mergeCell ref="G202:G206"/>
    <mergeCell ref="J202:J203"/>
    <mergeCell ref="K202:K203"/>
    <mergeCell ref="L202:L203"/>
    <mergeCell ref="M202:M203"/>
    <mergeCell ref="N202:N203"/>
    <mergeCell ref="O202:O203"/>
    <mergeCell ref="P202:P203"/>
    <mergeCell ref="Q202:Q203"/>
    <mergeCell ref="R202:R203"/>
    <mergeCell ref="S202:S203"/>
    <mergeCell ref="T202:T203"/>
    <mergeCell ref="U202:U203"/>
    <mergeCell ref="V202:V203"/>
    <mergeCell ref="W202:W203"/>
    <mergeCell ref="J205:J206"/>
    <mergeCell ref="K205:K206"/>
    <mergeCell ref="L205:L206"/>
    <mergeCell ref="M205:M206"/>
    <mergeCell ref="N205:N206"/>
    <mergeCell ref="O205:O206"/>
    <mergeCell ref="P205:P206"/>
    <mergeCell ref="Q205:Q206"/>
    <mergeCell ref="R205:R206"/>
    <mergeCell ref="S205:S206"/>
    <mergeCell ref="T205:T206"/>
    <mergeCell ref="U205:U206"/>
    <mergeCell ref="V205:V206"/>
    <mergeCell ref="W205:W206"/>
    <mergeCell ref="A207:A211"/>
    <mergeCell ref="B207:B211"/>
    <mergeCell ref="C207:C211"/>
    <mergeCell ref="D207:D211"/>
    <mergeCell ref="E207:E211"/>
    <mergeCell ref="F207:F211"/>
    <mergeCell ref="G207:G211"/>
    <mergeCell ref="J207:J208"/>
    <mergeCell ref="K207:K208"/>
    <mergeCell ref="L207:L208"/>
    <mergeCell ref="M207:M208"/>
    <mergeCell ref="N207:N208"/>
    <mergeCell ref="O207:O208"/>
    <mergeCell ref="P207:P208"/>
    <mergeCell ref="Q207:Q208"/>
    <mergeCell ref="R207:R208"/>
    <mergeCell ref="S207:S208"/>
    <mergeCell ref="T207:T208"/>
    <mergeCell ref="U207:U208"/>
    <mergeCell ref="V207:V208"/>
    <mergeCell ref="W207:W208"/>
    <mergeCell ref="J210:J211"/>
    <mergeCell ref="K210:K211"/>
    <mergeCell ref="L210:L211"/>
    <mergeCell ref="M210:M211"/>
    <mergeCell ref="N210:N211"/>
    <mergeCell ref="O210:O211"/>
    <mergeCell ref="P210:P211"/>
    <mergeCell ref="Q210:Q211"/>
    <mergeCell ref="R210:R211"/>
    <mergeCell ref="S210:S211"/>
    <mergeCell ref="T210:T211"/>
    <mergeCell ref="U210:U211"/>
    <mergeCell ref="V210:V211"/>
    <mergeCell ref="W210:W211"/>
    <mergeCell ref="A212:A216"/>
    <mergeCell ref="B212:B216"/>
    <mergeCell ref="C212:C216"/>
    <mergeCell ref="D212:D216"/>
    <mergeCell ref="E212:E216"/>
    <mergeCell ref="F212:F216"/>
    <mergeCell ref="G212:G216"/>
    <mergeCell ref="J212:J213"/>
    <mergeCell ref="K212:K213"/>
    <mergeCell ref="L212:L213"/>
    <mergeCell ref="M212:M213"/>
    <mergeCell ref="N212:N213"/>
    <mergeCell ref="O212:O213"/>
    <mergeCell ref="P212:P213"/>
    <mergeCell ref="Q212:Q213"/>
    <mergeCell ref="R212:R213"/>
    <mergeCell ref="S212:S213"/>
    <mergeCell ref="T212:T213"/>
    <mergeCell ref="U212:U213"/>
    <mergeCell ref="V212:V213"/>
    <mergeCell ref="W212:W213"/>
    <mergeCell ref="J215:J216"/>
    <mergeCell ref="K215:K216"/>
    <mergeCell ref="L215:L216"/>
    <mergeCell ref="M215:M216"/>
    <mergeCell ref="N215:N216"/>
    <mergeCell ref="O215:O216"/>
    <mergeCell ref="P215:P216"/>
    <mergeCell ref="Q215:Q216"/>
    <mergeCell ref="R215:R216"/>
    <mergeCell ref="S215:S216"/>
    <mergeCell ref="T215:T216"/>
    <mergeCell ref="U215:U216"/>
    <mergeCell ref="V215:V216"/>
    <mergeCell ref="W215:W216"/>
    <mergeCell ref="A217:A221"/>
    <mergeCell ref="B217:B221"/>
    <mergeCell ref="C217:C221"/>
    <mergeCell ref="D217:D221"/>
    <mergeCell ref="E217:E221"/>
    <mergeCell ref="F217:F221"/>
    <mergeCell ref="G217:G221"/>
    <mergeCell ref="J217:J218"/>
    <mergeCell ref="K217:K218"/>
    <mergeCell ref="L217:L218"/>
    <mergeCell ref="M217:M218"/>
    <mergeCell ref="N217:N218"/>
    <mergeCell ref="O217:O218"/>
    <mergeCell ref="P217:P218"/>
    <mergeCell ref="Q217:Q218"/>
    <mergeCell ref="R217:R218"/>
    <mergeCell ref="S217:S218"/>
    <mergeCell ref="T217:T218"/>
    <mergeCell ref="U217:U218"/>
    <mergeCell ref="V217:V218"/>
    <mergeCell ref="W217:W218"/>
    <mergeCell ref="J220:J221"/>
    <mergeCell ref="K220:K221"/>
    <mergeCell ref="L220:L221"/>
    <mergeCell ref="M220:M221"/>
    <mergeCell ref="N220:N221"/>
    <mergeCell ref="O220:O221"/>
    <mergeCell ref="P220:P221"/>
    <mergeCell ref="Q220:Q221"/>
    <mergeCell ref="R220:R221"/>
    <mergeCell ref="S220:S221"/>
    <mergeCell ref="T220:T221"/>
    <mergeCell ref="U220:U221"/>
    <mergeCell ref="V220:V221"/>
    <mergeCell ref="W220:W221"/>
    <mergeCell ref="A222:A226"/>
    <mergeCell ref="B222:B226"/>
    <mergeCell ref="C222:C226"/>
    <mergeCell ref="D222:D226"/>
    <mergeCell ref="E222:E226"/>
    <mergeCell ref="F222:F226"/>
    <mergeCell ref="G222:G226"/>
    <mergeCell ref="J222:J223"/>
    <mergeCell ref="K222:K223"/>
    <mergeCell ref="L222:L223"/>
    <mergeCell ref="M222:M223"/>
    <mergeCell ref="N222:N223"/>
    <mergeCell ref="O222:O223"/>
    <mergeCell ref="P222:P223"/>
    <mergeCell ref="Q222:Q223"/>
    <mergeCell ref="R222:R223"/>
    <mergeCell ref="S222:S223"/>
    <mergeCell ref="T222:T223"/>
    <mergeCell ref="U222:U223"/>
    <mergeCell ref="V222:V223"/>
    <mergeCell ref="W222:W223"/>
    <mergeCell ref="J225:J226"/>
    <mergeCell ref="K225:K226"/>
    <mergeCell ref="L225:L226"/>
    <mergeCell ref="M225:M226"/>
    <mergeCell ref="N225:N226"/>
    <mergeCell ref="O225:O226"/>
    <mergeCell ref="P225:P226"/>
    <mergeCell ref="Q225:Q226"/>
    <mergeCell ref="R225:R226"/>
    <mergeCell ref="S225:S226"/>
    <mergeCell ref="T225:T226"/>
    <mergeCell ref="U225:U226"/>
    <mergeCell ref="V225:V226"/>
    <mergeCell ref="W225:W226"/>
    <mergeCell ref="A227:A231"/>
    <mergeCell ref="B227:B231"/>
    <mergeCell ref="C227:C231"/>
    <mergeCell ref="D227:D231"/>
    <mergeCell ref="E227:E231"/>
    <mergeCell ref="F227:F231"/>
    <mergeCell ref="G227:G231"/>
    <mergeCell ref="J227:J228"/>
    <mergeCell ref="K227:K228"/>
    <mergeCell ref="L227:L228"/>
    <mergeCell ref="M227:M228"/>
    <mergeCell ref="N227:N228"/>
    <mergeCell ref="O227:O228"/>
    <mergeCell ref="P227:P228"/>
    <mergeCell ref="Q227:Q228"/>
    <mergeCell ref="R227:R228"/>
    <mergeCell ref="S227:S228"/>
    <mergeCell ref="T227:T228"/>
    <mergeCell ref="U227:U228"/>
    <mergeCell ref="V227:V228"/>
    <mergeCell ref="W227:W228"/>
    <mergeCell ref="J230:J231"/>
    <mergeCell ref="K230:K231"/>
    <mergeCell ref="L230:L231"/>
    <mergeCell ref="M230:M231"/>
    <mergeCell ref="N230:N231"/>
    <mergeCell ref="O230:O231"/>
    <mergeCell ref="P230:P231"/>
    <mergeCell ref="Q230:Q231"/>
    <mergeCell ref="R230:R231"/>
    <mergeCell ref="S230:S231"/>
    <mergeCell ref="T230:T231"/>
    <mergeCell ref="U230:U231"/>
    <mergeCell ref="V230:V231"/>
    <mergeCell ref="W230:W231"/>
    <mergeCell ref="A232:A236"/>
    <mergeCell ref="B232:B236"/>
    <mergeCell ref="C232:C236"/>
    <mergeCell ref="D232:D236"/>
    <mergeCell ref="E232:E236"/>
    <mergeCell ref="F232:F236"/>
    <mergeCell ref="G232:G236"/>
    <mergeCell ref="J232:J233"/>
    <mergeCell ref="K232:K233"/>
    <mergeCell ref="L232:L233"/>
    <mergeCell ref="M232:M233"/>
    <mergeCell ref="N232:N233"/>
    <mergeCell ref="O232:O233"/>
    <mergeCell ref="P232:P233"/>
    <mergeCell ref="Q232:Q233"/>
    <mergeCell ref="R232:R233"/>
    <mergeCell ref="S232:S233"/>
    <mergeCell ref="T232:T233"/>
    <mergeCell ref="U232:U233"/>
    <mergeCell ref="V232:V233"/>
    <mergeCell ref="W232:W233"/>
    <mergeCell ref="J235:J236"/>
    <mergeCell ref="K235:K236"/>
    <mergeCell ref="L235:L236"/>
    <mergeCell ref="M235:M236"/>
    <mergeCell ref="N235:N236"/>
    <mergeCell ref="O235:O236"/>
    <mergeCell ref="P235:P236"/>
    <mergeCell ref="Q235:Q236"/>
    <mergeCell ref="R235:R236"/>
    <mergeCell ref="S235:S236"/>
    <mergeCell ref="T235:T236"/>
    <mergeCell ref="U235:U236"/>
    <mergeCell ref="V235:V236"/>
    <mergeCell ref="W235:W236"/>
    <mergeCell ref="A237:A241"/>
    <mergeCell ref="B237:B241"/>
    <mergeCell ref="C237:C241"/>
    <mergeCell ref="D237:D241"/>
    <mergeCell ref="E237:E241"/>
    <mergeCell ref="F237:F241"/>
    <mergeCell ref="G237:G241"/>
    <mergeCell ref="J237:J238"/>
    <mergeCell ref="K237:K238"/>
    <mergeCell ref="L237:L238"/>
    <mergeCell ref="M237:M238"/>
    <mergeCell ref="N237:N238"/>
    <mergeCell ref="O237:O238"/>
    <mergeCell ref="P237:P238"/>
    <mergeCell ref="Q237:Q238"/>
    <mergeCell ref="R237:R238"/>
    <mergeCell ref="S237:S238"/>
    <mergeCell ref="T237:T238"/>
    <mergeCell ref="U237:U238"/>
    <mergeCell ref="V237:V238"/>
    <mergeCell ref="W237:W238"/>
    <mergeCell ref="J240:J241"/>
    <mergeCell ref="K240:K241"/>
    <mergeCell ref="L240:L241"/>
    <mergeCell ref="M240:M241"/>
    <mergeCell ref="N240:N241"/>
    <mergeCell ref="O240:O241"/>
    <mergeCell ref="P240:P241"/>
    <mergeCell ref="Q240:Q241"/>
    <mergeCell ref="R240:R241"/>
    <mergeCell ref="S240:S241"/>
    <mergeCell ref="T240:T241"/>
    <mergeCell ref="U240:U241"/>
    <mergeCell ref="V240:V241"/>
    <mergeCell ref="W240:W241"/>
    <mergeCell ref="A242:A246"/>
    <mergeCell ref="B242:B246"/>
    <mergeCell ref="C242:C246"/>
    <mergeCell ref="D242:D246"/>
    <mergeCell ref="E242:E246"/>
    <mergeCell ref="F242:F246"/>
    <mergeCell ref="G242:G246"/>
    <mergeCell ref="J242:J243"/>
    <mergeCell ref="K242:K243"/>
    <mergeCell ref="L242:L243"/>
    <mergeCell ref="M242:M243"/>
    <mergeCell ref="N242:N243"/>
    <mergeCell ref="O242:O243"/>
    <mergeCell ref="P242:P243"/>
    <mergeCell ref="Q242:Q243"/>
    <mergeCell ref="R242:R243"/>
    <mergeCell ref="S242:S243"/>
    <mergeCell ref="T242:T243"/>
    <mergeCell ref="U242:U243"/>
    <mergeCell ref="V242:V243"/>
    <mergeCell ref="W242:W243"/>
    <mergeCell ref="J245:J246"/>
    <mergeCell ref="K245:K246"/>
    <mergeCell ref="L245:L246"/>
    <mergeCell ref="M245:M246"/>
    <mergeCell ref="N245:N246"/>
    <mergeCell ref="O245:O246"/>
    <mergeCell ref="P245:P246"/>
    <mergeCell ref="Q245:Q246"/>
    <mergeCell ref="R245:R246"/>
    <mergeCell ref="S245:S246"/>
    <mergeCell ref="T245:T246"/>
    <mergeCell ref="U245:U246"/>
    <mergeCell ref="V245:V246"/>
    <mergeCell ref="W245:W246"/>
    <mergeCell ref="A247:A251"/>
    <mergeCell ref="B247:B251"/>
    <mergeCell ref="C247:C251"/>
    <mergeCell ref="D247:D251"/>
    <mergeCell ref="E247:E251"/>
    <mergeCell ref="F247:F251"/>
    <mergeCell ref="G247:G251"/>
    <mergeCell ref="J247:J248"/>
    <mergeCell ref="K247:K248"/>
    <mergeCell ref="L247:L248"/>
    <mergeCell ref="M247:M248"/>
    <mergeCell ref="N247:N248"/>
    <mergeCell ref="O247:O248"/>
    <mergeCell ref="P247:P248"/>
    <mergeCell ref="Q247:Q248"/>
    <mergeCell ref="R247:R248"/>
    <mergeCell ref="S247:S248"/>
    <mergeCell ref="T247:T248"/>
    <mergeCell ref="U247:U248"/>
    <mergeCell ref="V247:V248"/>
    <mergeCell ref="W247:W248"/>
    <mergeCell ref="J250:J251"/>
    <mergeCell ref="K250:K251"/>
    <mergeCell ref="L250:L251"/>
    <mergeCell ref="M250:M251"/>
    <mergeCell ref="N250:N251"/>
    <mergeCell ref="O250:O251"/>
    <mergeCell ref="P250:P251"/>
    <mergeCell ref="Q250:Q251"/>
    <mergeCell ref="R250:R251"/>
    <mergeCell ref="S250:S251"/>
    <mergeCell ref="T250:T251"/>
    <mergeCell ref="U250:U251"/>
    <mergeCell ref="V250:V251"/>
    <mergeCell ref="W250:W251"/>
    <mergeCell ref="A252:A256"/>
    <mergeCell ref="B252:B256"/>
    <mergeCell ref="C252:C256"/>
    <mergeCell ref="D252:D256"/>
    <mergeCell ref="E252:E256"/>
    <mergeCell ref="F252:F256"/>
    <mergeCell ref="G252:G256"/>
    <mergeCell ref="J252:J253"/>
    <mergeCell ref="K252:K253"/>
    <mergeCell ref="L252:L253"/>
    <mergeCell ref="M252:M253"/>
    <mergeCell ref="N252:N253"/>
    <mergeCell ref="O252:O253"/>
    <mergeCell ref="P252:P253"/>
    <mergeCell ref="Q252:Q253"/>
    <mergeCell ref="R252:R253"/>
    <mergeCell ref="S252:S253"/>
    <mergeCell ref="T252:T253"/>
    <mergeCell ref="U252:U253"/>
    <mergeCell ref="V252:V253"/>
    <mergeCell ref="W252:W253"/>
    <mergeCell ref="J255:J256"/>
    <mergeCell ref="K255:K256"/>
    <mergeCell ref="L255:L256"/>
    <mergeCell ref="M255:M256"/>
    <mergeCell ref="N255:N256"/>
    <mergeCell ref="O255:O256"/>
    <mergeCell ref="P255:P256"/>
    <mergeCell ref="Q255:Q256"/>
    <mergeCell ref="R255:R256"/>
    <mergeCell ref="S255:S256"/>
    <mergeCell ref="T255:T256"/>
    <mergeCell ref="U255:U256"/>
    <mergeCell ref="V255:V256"/>
    <mergeCell ref="W255:W256"/>
    <mergeCell ref="A257:A261"/>
    <mergeCell ref="B257:B261"/>
    <mergeCell ref="C257:C261"/>
    <mergeCell ref="D257:D261"/>
    <mergeCell ref="E257:E261"/>
    <mergeCell ref="F257:F261"/>
    <mergeCell ref="G257:G261"/>
    <mergeCell ref="J257:J258"/>
    <mergeCell ref="K257:K258"/>
    <mergeCell ref="L257:L258"/>
    <mergeCell ref="M257:M258"/>
    <mergeCell ref="N257:N258"/>
    <mergeCell ref="O257:O258"/>
    <mergeCell ref="P257:P258"/>
    <mergeCell ref="Q257:Q258"/>
    <mergeCell ref="R257:R258"/>
    <mergeCell ref="S257:S258"/>
    <mergeCell ref="T257:T258"/>
    <mergeCell ref="U257:U258"/>
    <mergeCell ref="V257:V258"/>
    <mergeCell ref="W257:W258"/>
    <mergeCell ref="J260:J261"/>
    <mergeCell ref="K260:K261"/>
    <mergeCell ref="L260:L261"/>
    <mergeCell ref="M260:M261"/>
    <mergeCell ref="N260:N261"/>
    <mergeCell ref="O260:O261"/>
    <mergeCell ref="P260:P261"/>
    <mergeCell ref="Q260:Q261"/>
    <mergeCell ref="R260:R261"/>
    <mergeCell ref="S260:S261"/>
    <mergeCell ref="T260:T261"/>
    <mergeCell ref="U260:U261"/>
    <mergeCell ref="V260:V261"/>
    <mergeCell ref="W260:W261"/>
    <mergeCell ref="A262:A266"/>
    <mergeCell ref="B262:B266"/>
    <mergeCell ref="C262:C266"/>
    <mergeCell ref="D262:D266"/>
    <mergeCell ref="E262:E266"/>
    <mergeCell ref="F262:F266"/>
    <mergeCell ref="G262:G266"/>
    <mergeCell ref="J262:J263"/>
    <mergeCell ref="K262:K263"/>
    <mergeCell ref="L262:L263"/>
    <mergeCell ref="M262:M263"/>
    <mergeCell ref="N262:N263"/>
    <mergeCell ref="O262:O263"/>
    <mergeCell ref="P262:P263"/>
    <mergeCell ref="Q262:Q263"/>
    <mergeCell ref="R262:R263"/>
    <mergeCell ref="S262:S263"/>
    <mergeCell ref="T262:T263"/>
    <mergeCell ref="U262:U263"/>
    <mergeCell ref="V262:V263"/>
    <mergeCell ref="W262:W263"/>
    <mergeCell ref="J265:J266"/>
    <mergeCell ref="K265:K266"/>
    <mergeCell ref="L265:L266"/>
    <mergeCell ref="M265:M266"/>
    <mergeCell ref="N265:N266"/>
    <mergeCell ref="O265:O266"/>
    <mergeCell ref="P265:P266"/>
    <mergeCell ref="Q265:Q266"/>
    <mergeCell ref="R265:R266"/>
    <mergeCell ref="S265:S266"/>
    <mergeCell ref="T265:T266"/>
    <mergeCell ref="U265:U266"/>
    <mergeCell ref="V265:V266"/>
    <mergeCell ref="W265:W266"/>
    <mergeCell ref="A267:A271"/>
    <mergeCell ref="B267:B271"/>
    <mergeCell ref="C267:C271"/>
    <mergeCell ref="D267:D271"/>
    <mergeCell ref="E267:E271"/>
    <mergeCell ref="F267:F271"/>
    <mergeCell ref="G267:G271"/>
    <mergeCell ref="J267:J268"/>
    <mergeCell ref="K267:K268"/>
    <mergeCell ref="L267:L268"/>
    <mergeCell ref="M267:M268"/>
    <mergeCell ref="N267:N268"/>
    <mergeCell ref="O267:O268"/>
    <mergeCell ref="P267:P268"/>
    <mergeCell ref="Q267:Q268"/>
    <mergeCell ref="R267:R268"/>
    <mergeCell ref="S267:S268"/>
    <mergeCell ref="T267:T268"/>
    <mergeCell ref="U267:U268"/>
    <mergeCell ref="V267:V268"/>
    <mergeCell ref="W267:W268"/>
    <mergeCell ref="J270:J271"/>
    <mergeCell ref="K270:K271"/>
    <mergeCell ref="L270:L271"/>
    <mergeCell ref="M270:M271"/>
    <mergeCell ref="N270:N271"/>
    <mergeCell ref="O270:O271"/>
    <mergeCell ref="P270:P271"/>
    <mergeCell ref="Q270:Q271"/>
    <mergeCell ref="R270:R271"/>
    <mergeCell ref="S270:S271"/>
    <mergeCell ref="T270:T271"/>
    <mergeCell ref="U270:U271"/>
    <mergeCell ref="V270:V271"/>
    <mergeCell ref="W270:W271"/>
    <mergeCell ref="A272:A276"/>
    <mergeCell ref="B272:B276"/>
    <mergeCell ref="C272:C276"/>
    <mergeCell ref="D272:D276"/>
    <mergeCell ref="E272:E276"/>
    <mergeCell ref="F272:F276"/>
    <mergeCell ref="G272:G276"/>
    <mergeCell ref="J272:J273"/>
    <mergeCell ref="K272:K273"/>
    <mergeCell ref="L272:L273"/>
    <mergeCell ref="M272:M273"/>
    <mergeCell ref="N272:N273"/>
    <mergeCell ref="O272:O273"/>
    <mergeCell ref="P272:P273"/>
    <mergeCell ref="Q272:Q273"/>
    <mergeCell ref="R272:R273"/>
    <mergeCell ref="S272:S273"/>
    <mergeCell ref="T272:T273"/>
    <mergeCell ref="U272:U273"/>
    <mergeCell ref="V272:V273"/>
    <mergeCell ref="W272:W273"/>
    <mergeCell ref="J275:J276"/>
    <mergeCell ref="K275:K276"/>
    <mergeCell ref="L275:L276"/>
    <mergeCell ref="M275:M276"/>
    <mergeCell ref="N275:N276"/>
    <mergeCell ref="O275:O276"/>
    <mergeCell ref="P275:P276"/>
    <mergeCell ref="Q275:Q276"/>
    <mergeCell ref="R275:R276"/>
    <mergeCell ref="S275:S276"/>
    <mergeCell ref="T275:T276"/>
    <mergeCell ref="U275:U276"/>
    <mergeCell ref="V275:V276"/>
    <mergeCell ref="W275:W276"/>
    <mergeCell ref="A277:A281"/>
    <mergeCell ref="B277:B281"/>
    <mergeCell ref="C277:C281"/>
    <mergeCell ref="D277:D281"/>
    <mergeCell ref="E277:E281"/>
    <mergeCell ref="F277:F281"/>
    <mergeCell ref="G277:G281"/>
    <mergeCell ref="J277:J278"/>
    <mergeCell ref="K277:K278"/>
    <mergeCell ref="L277:L278"/>
    <mergeCell ref="M277:M278"/>
    <mergeCell ref="N277:N278"/>
    <mergeCell ref="O277:O278"/>
    <mergeCell ref="P277:P278"/>
    <mergeCell ref="Q277:Q278"/>
    <mergeCell ref="R277:R278"/>
    <mergeCell ref="S277:S278"/>
    <mergeCell ref="T277:T278"/>
    <mergeCell ref="U277:U278"/>
    <mergeCell ref="V277:V278"/>
    <mergeCell ref="W277:W278"/>
    <mergeCell ref="J280:J281"/>
    <mergeCell ref="K280:K281"/>
    <mergeCell ref="L280:L281"/>
    <mergeCell ref="M280:M281"/>
    <mergeCell ref="N280:N281"/>
    <mergeCell ref="O280:O281"/>
    <mergeCell ref="P280:P281"/>
    <mergeCell ref="Q280:Q281"/>
    <mergeCell ref="R280:R281"/>
    <mergeCell ref="S280:S281"/>
    <mergeCell ref="T280:T281"/>
    <mergeCell ref="U280:U281"/>
    <mergeCell ref="V280:V281"/>
    <mergeCell ref="W280:W281"/>
    <mergeCell ref="A282:A286"/>
    <mergeCell ref="B282:B286"/>
    <mergeCell ref="C282:C286"/>
    <mergeCell ref="D282:D286"/>
    <mergeCell ref="E282:E286"/>
    <mergeCell ref="F282:F286"/>
    <mergeCell ref="G282:G286"/>
    <mergeCell ref="J282:J283"/>
    <mergeCell ref="K282:K283"/>
    <mergeCell ref="L282:L283"/>
    <mergeCell ref="M282:M283"/>
    <mergeCell ref="N282:N283"/>
    <mergeCell ref="O282:O283"/>
    <mergeCell ref="P282:P283"/>
    <mergeCell ref="Q282:Q283"/>
    <mergeCell ref="R282:R283"/>
    <mergeCell ref="S282:S283"/>
    <mergeCell ref="T282:T283"/>
    <mergeCell ref="U282:U283"/>
    <mergeCell ref="V282:V283"/>
    <mergeCell ref="W282:W283"/>
    <mergeCell ref="J285:J286"/>
    <mergeCell ref="K285:K286"/>
    <mergeCell ref="L285:L286"/>
    <mergeCell ref="M285:M286"/>
    <mergeCell ref="N285:N286"/>
    <mergeCell ref="O285:O286"/>
    <mergeCell ref="P285:P286"/>
    <mergeCell ref="Q285:Q286"/>
    <mergeCell ref="R285:R286"/>
    <mergeCell ref="S285:S286"/>
    <mergeCell ref="T285:T286"/>
    <mergeCell ref="U285:U286"/>
    <mergeCell ref="V285:V286"/>
    <mergeCell ref="W285:W286"/>
    <mergeCell ref="A287:A291"/>
    <mergeCell ref="B287:B291"/>
    <mergeCell ref="C287:C291"/>
    <mergeCell ref="D287:D291"/>
    <mergeCell ref="E287:E291"/>
    <mergeCell ref="F287:F291"/>
    <mergeCell ref="G287:G291"/>
    <mergeCell ref="J287:J288"/>
    <mergeCell ref="K287:K288"/>
    <mergeCell ref="L287:L288"/>
    <mergeCell ref="M287:M288"/>
    <mergeCell ref="N287:N288"/>
    <mergeCell ref="O287:O288"/>
    <mergeCell ref="P287:P288"/>
    <mergeCell ref="Q287:Q288"/>
    <mergeCell ref="R287:R288"/>
    <mergeCell ref="S287:S288"/>
    <mergeCell ref="T287:T288"/>
    <mergeCell ref="U287:U288"/>
    <mergeCell ref="V287:V288"/>
    <mergeCell ref="W287:W288"/>
    <mergeCell ref="J290:J291"/>
    <mergeCell ref="K290:K291"/>
    <mergeCell ref="L290:L291"/>
    <mergeCell ref="M290:M291"/>
    <mergeCell ref="N290:N291"/>
    <mergeCell ref="O290:O291"/>
    <mergeCell ref="P290:P291"/>
    <mergeCell ref="Q290:Q291"/>
    <mergeCell ref="R290:R291"/>
    <mergeCell ref="S290:S291"/>
    <mergeCell ref="T290:T291"/>
    <mergeCell ref="U290:U291"/>
    <mergeCell ref="V290:V291"/>
    <mergeCell ref="W290:W291"/>
    <mergeCell ref="A292:A296"/>
    <mergeCell ref="B292:B296"/>
    <mergeCell ref="C292:C296"/>
    <mergeCell ref="D292:D296"/>
    <mergeCell ref="E292:E296"/>
    <mergeCell ref="F292:F296"/>
    <mergeCell ref="G292:G296"/>
    <mergeCell ref="J292:J293"/>
    <mergeCell ref="K292:K293"/>
    <mergeCell ref="L292:L293"/>
    <mergeCell ref="M292:M293"/>
    <mergeCell ref="N292:N293"/>
    <mergeCell ref="O292:O293"/>
    <mergeCell ref="P292:P293"/>
    <mergeCell ref="Q292:Q293"/>
    <mergeCell ref="R292:R293"/>
    <mergeCell ref="S292:S293"/>
    <mergeCell ref="T292:T293"/>
    <mergeCell ref="U292:U293"/>
    <mergeCell ref="V292:V293"/>
    <mergeCell ref="W292:W293"/>
    <mergeCell ref="J295:J296"/>
    <mergeCell ref="K295:K296"/>
    <mergeCell ref="L295:L296"/>
    <mergeCell ref="M295:M296"/>
    <mergeCell ref="N295:N296"/>
    <mergeCell ref="O295:O296"/>
    <mergeCell ref="P295:P296"/>
    <mergeCell ref="Q295:Q296"/>
    <mergeCell ref="R295:R296"/>
    <mergeCell ref="S295:S296"/>
    <mergeCell ref="T295:T296"/>
    <mergeCell ref="U295:U296"/>
    <mergeCell ref="V295:V296"/>
    <mergeCell ref="W295:W296"/>
    <mergeCell ref="A297:A301"/>
    <mergeCell ref="B297:B301"/>
    <mergeCell ref="C297:C301"/>
    <mergeCell ref="D297:D301"/>
    <mergeCell ref="E297:E301"/>
    <mergeCell ref="F297:F301"/>
    <mergeCell ref="G297:G301"/>
    <mergeCell ref="J297:J298"/>
    <mergeCell ref="K297:K298"/>
    <mergeCell ref="L297:L298"/>
    <mergeCell ref="M297:M298"/>
    <mergeCell ref="N297:N298"/>
    <mergeCell ref="O297:O298"/>
    <mergeCell ref="P297:P298"/>
    <mergeCell ref="Q297:Q298"/>
    <mergeCell ref="R297:R298"/>
    <mergeCell ref="S297:S298"/>
    <mergeCell ref="T297:T298"/>
    <mergeCell ref="U297:U298"/>
    <mergeCell ref="V297:V298"/>
    <mergeCell ref="W297:W298"/>
    <mergeCell ref="J300:J301"/>
    <mergeCell ref="K300:K301"/>
    <mergeCell ref="L300:L301"/>
    <mergeCell ref="M300:M301"/>
    <mergeCell ref="N300:N301"/>
    <mergeCell ref="O300:O301"/>
    <mergeCell ref="P300:P301"/>
    <mergeCell ref="Q300:Q301"/>
    <mergeCell ref="R300:R301"/>
    <mergeCell ref="S300:S301"/>
    <mergeCell ref="T300:T301"/>
    <mergeCell ref="U300:U301"/>
    <mergeCell ref="V300:V301"/>
    <mergeCell ref="W300:W301"/>
    <mergeCell ref="A302:A306"/>
    <mergeCell ref="B302:B306"/>
    <mergeCell ref="C302:C306"/>
    <mergeCell ref="D302:D306"/>
    <mergeCell ref="E302:E306"/>
    <mergeCell ref="F302:F306"/>
    <mergeCell ref="G302:G306"/>
    <mergeCell ref="J302:J303"/>
    <mergeCell ref="K302:K303"/>
    <mergeCell ref="L302:L303"/>
    <mergeCell ref="M302:M303"/>
    <mergeCell ref="N302:N303"/>
    <mergeCell ref="O302:O303"/>
    <mergeCell ref="P302:P303"/>
    <mergeCell ref="Q302:Q303"/>
    <mergeCell ref="R302:R303"/>
    <mergeCell ref="S302:S303"/>
    <mergeCell ref="T302:T303"/>
    <mergeCell ref="U302:U303"/>
    <mergeCell ref="V302:V303"/>
    <mergeCell ref="W302:W303"/>
    <mergeCell ref="J305:J306"/>
    <mergeCell ref="K305:K306"/>
    <mergeCell ref="L305:L306"/>
    <mergeCell ref="M305:M306"/>
    <mergeCell ref="N305:N306"/>
    <mergeCell ref="O305:O306"/>
    <mergeCell ref="P305:P306"/>
    <mergeCell ref="Q305:Q306"/>
    <mergeCell ref="R305:R306"/>
    <mergeCell ref="S305:S306"/>
    <mergeCell ref="T305:T306"/>
    <mergeCell ref="U305:U306"/>
    <mergeCell ref="V305:V306"/>
    <mergeCell ref="W305:W306"/>
    <mergeCell ref="A307:A311"/>
    <mergeCell ref="B307:B311"/>
    <mergeCell ref="C307:C311"/>
    <mergeCell ref="D307:D311"/>
    <mergeCell ref="E307:E311"/>
    <mergeCell ref="F307:F311"/>
    <mergeCell ref="G307:G311"/>
    <mergeCell ref="J307:J308"/>
    <mergeCell ref="K307:K308"/>
    <mergeCell ref="L307:L308"/>
    <mergeCell ref="M307:M308"/>
    <mergeCell ref="N307:N308"/>
    <mergeCell ref="O307:O308"/>
    <mergeCell ref="P307:P308"/>
    <mergeCell ref="Q307:Q308"/>
    <mergeCell ref="R307:R308"/>
    <mergeCell ref="S307:S308"/>
    <mergeCell ref="T307:T308"/>
    <mergeCell ref="U307:U308"/>
    <mergeCell ref="V307:V308"/>
    <mergeCell ref="W307:W308"/>
    <mergeCell ref="J310:J311"/>
    <mergeCell ref="K310:K311"/>
    <mergeCell ref="L310:L311"/>
    <mergeCell ref="M310:M311"/>
    <mergeCell ref="N310:N311"/>
    <mergeCell ref="O310:O311"/>
    <mergeCell ref="P310:P311"/>
    <mergeCell ref="Q310:Q311"/>
    <mergeCell ref="R310:R311"/>
    <mergeCell ref="S310:S311"/>
    <mergeCell ref="T310:T311"/>
    <mergeCell ref="U310:U311"/>
    <mergeCell ref="V310:V311"/>
    <mergeCell ref="W310:W311"/>
    <mergeCell ref="A312:G316"/>
    <mergeCell ref="J312:J313"/>
    <mergeCell ref="K312:K313"/>
    <mergeCell ref="L312:L313"/>
    <mergeCell ref="M312:M313"/>
    <mergeCell ref="N312:N313"/>
    <mergeCell ref="O312:O313"/>
    <mergeCell ref="P312:P313"/>
    <mergeCell ref="Q312:Q313"/>
    <mergeCell ref="R312:R313"/>
    <mergeCell ref="S312:S313"/>
    <mergeCell ref="T312:T313"/>
    <mergeCell ref="U312:U313"/>
    <mergeCell ref="V312:V313"/>
    <mergeCell ref="W312:W313"/>
    <mergeCell ref="J315:J316"/>
    <mergeCell ref="K315:K316"/>
    <mergeCell ref="L315:L316"/>
    <mergeCell ref="M315:M316"/>
    <mergeCell ref="N315:N316"/>
    <mergeCell ref="O315:O316"/>
    <mergeCell ref="P315:P316"/>
    <mergeCell ref="Q315:Q316"/>
    <mergeCell ref="R315:R316"/>
    <mergeCell ref="S315:S316"/>
    <mergeCell ref="T315:T316"/>
    <mergeCell ref="U315:U316"/>
    <mergeCell ref="V315:V316"/>
    <mergeCell ref="W315:W316"/>
    <mergeCell ref="A318:W318"/>
    <mergeCell ref="A319:W319"/>
    <mergeCell ref="A320:A324"/>
    <mergeCell ref="B320:B324"/>
    <mergeCell ref="C320:C324"/>
    <mergeCell ref="D320:D324"/>
    <mergeCell ref="E320:E324"/>
    <mergeCell ref="F320:F324"/>
    <mergeCell ref="G320:G324"/>
    <mergeCell ref="J320:J321"/>
    <mergeCell ref="K320:K321"/>
    <mergeCell ref="L320:L321"/>
    <mergeCell ref="M320:M321"/>
    <mergeCell ref="N320:N321"/>
    <mergeCell ref="O320:O321"/>
    <mergeCell ref="P320:P321"/>
    <mergeCell ref="Q320:Q321"/>
    <mergeCell ref="R320:R321"/>
    <mergeCell ref="S320:S321"/>
    <mergeCell ref="T320:T321"/>
    <mergeCell ref="U320:U321"/>
    <mergeCell ref="V320:V321"/>
    <mergeCell ref="W320:W321"/>
    <mergeCell ref="J323:J324"/>
    <mergeCell ref="K323:K324"/>
    <mergeCell ref="L323:L324"/>
    <mergeCell ref="M323:M324"/>
    <mergeCell ref="N323:N324"/>
    <mergeCell ref="O323:O324"/>
    <mergeCell ref="P323:P324"/>
    <mergeCell ref="Q323:Q324"/>
    <mergeCell ref="R323:R324"/>
    <mergeCell ref="S323:S324"/>
    <mergeCell ref="T323:T324"/>
    <mergeCell ref="U323:U324"/>
    <mergeCell ref="V323:V324"/>
    <mergeCell ref="W323:W324"/>
    <mergeCell ref="A325:A329"/>
    <mergeCell ref="B325:B329"/>
    <mergeCell ref="C325:C329"/>
    <mergeCell ref="D325:D329"/>
    <mergeCell ref="E325:E329"/>
    <mergeCell ref="F325:F329"/>
    <mergeCell ref="G325:G329"/>
    <mergeCell ref="J325:J326"/>
    <mergeCell ref="K325:K326"/>
    <mergeCell ref="L325:L326"/>
    <mergeCell ref="M325:M326"/>
    <mergeCell ref="N325:N326"/>
    <mergeCell ref="O325:O326"/>
    <mergeCell ref="P325:P326"/>
    <mergeCell ref="Q325:Q326"/>
    <mergeCell ref="R325:R326"/>
    <mergeCell ref="S325:S326"/>
    <mergeCell ref="T325:T326"/>
    <mergeCell ref="U325:U326"/>
    <mergeCell ref="V325:V326"/>
    <mergeCell ref="W325:W326"/>
    <mergeCell ref="J328:J329"/>
    <mergeCell ref="K328:K329"/>
    <mergeCell ref="L328:L329"/>
    <mergeCell ref="M328:M329"/>
    <mergeCell ref="N328:N329"/>
    <mergeCell ref="O328:O329"/>
    <mergeCell ref="P328:P329"/>
    <mergeCell ref="Q328:Q329"/>
    <mergeCell ref="R328:R329"/>
    <mergeCell ref="S328:S329"/>
    <mergeCell ref="T328:T329"/>
    <mergeCell ref="U328:U329"/>
    <mergeCell ref="V328:V329"/>
    <mergeCell ref="W328:W329"/>
    <mergeCell ref="A330:A334"/>
    <mergeCell ref="B330:B334"/>
    <mergeCell ref="C330:C334"/>
    <mergeCell ref="D330:D334"/>
    <mergeCell ref="E330:E334"/>
    <mergeCell ref="F330:F334"/>
    <mergeCell ref="G330:G334"/>
    <mergeCell ref="J330:J331"/>
    <mergeCell ref="K330:K331"/>
    <mergeCell ref="L330:L331"/>
    <mergeCell ref="M330:M331"/>
    <mergeCell ref="N330:N331"/>
    <mergeCell ref="O330:O331"/>
    <mergeCell ref="P330:P331"/>
    <mergeCell ref="Q330:Q331"/>
    <mergeCell ref="R330:R331"/>
    <mergeCell ref="S330:S331"/>
    <mergeCell ref="T330:T331"/>
    <mergeCell ref="U330:U331"/>
    <mergeCell ref="V330:V331"/>
    <mergeCell ref="W330:W331"/>
    <mergeCell ref="J333:J334"/>
    <mergeCell ref="K333:K334"/>
    <mergeCell ref="L333:L334"/>
    <mergeCell ref="M333:M334"/>
    <mergeCell ref="N333:N334"/>
    <mergeCell ref="O333:O334"/>
    <mergeCell ref="P333:P334"/>
    <mergeCell ref="Q333:Q334"/>
    <mergeCell ref="R333:R334"/>
    <mergeCell ref="S333:S334"/>
    <mergeCell ref="T333:T334"/>
    <mergeCell ref="U333:U334"/>
    <mergeCell ref="V333:V334"/>
    <mergeCell ref="W333:W334"/>
    <mergeCell ref="A335:A339"/>
    <mergeCell ref="B335:B339"/>
    <mergeCell ref="C335:C339"/>
    <mergeCell ref="D335:D339"/>
    <mergeCell ref="E335:E339"/>
    <mergeCell ref="F335:F339"/>
    <mergeCell ref="G335:G339"/>
    <mergeCell ref="J335:J336"/>
    <mergeCell ref="K335:K336"/>
    <mergeCell ref="L335:L336"/>
    <mergeCell ref="M335:M336"/>
    <mergeCell ref="N335:N336"/>
    <mergeCell ref="O335:O336"/>
    <mergeCell ref="P335:P336"/>
    <mergeCell ref="Q335:Q336"/>
    <mergeCell ref="R335:R336"/>
    <mergeCell ref="S335:S336"/>
    <mergeCell ref="T335:T336"/>
    <mergeCell ref="U335:U336"/>
    <mergeCell ref="V335:V336"/>
    <mergeCell ref="W335:W336"/>
    <mergeCell ref="J338:J339"/>
    <mergeCell ref="K338:K339"/>
    <mergeCell ref="L338:L339"/>
    <mergeCell ref="M338:M339"/>
    <mergeCell ref="N338:N339"/>
    <mergeCell ref="O338:O339"/>
    <mergeCell ref="P338:P339"/>
    <mergeCell ref="Q338:Q339"/>
    <mergeCell ref="R338:R339"/>
    <mergeCell ref="S338:S339"/>
    <mergeCell ref="T338:T339"/>
    <mergeCell ref="U338:U339"/>
    <mergeCell ref="V338:V339"/>
    <mergeCell ref="W338:W339"/>
    <mergeCell ref="A340:A344"/>
    <mergeCell ref="B340:B344"/>
    <mergeCell ref="C340:C344"/>
    <mergeCell ref="D340:D344"/>
    <mergeCell ref="E340:E344"/>
    <mergeCell ref="F340:F344"/>
    <mergeCell ref="G340:G344"/>
    <mergeCell ref="J340:J341"/>
    <mergeCell ref="K340:K341"/>
    <mergeCell ref="L340:L341"/>
    <mergeCell ref="M340:M341"/>
    <mergeCell ref="N340:N341"/>
    <mergeCell ref="O340:O341"/>
    <mergeCell ref="P340:P341"/>
    <mergeCell ref="Q340:Q341"/>
    <mergeCell ref="R340:R341"/>
    <mergeCell ref="S340:S341"/>
    <mergeCell ref="T340:T341"/>
    <mergeCell ref="U340:U341"/>
    <mergeCell ref="V340:V341"/>
    <mergeCell ref="W340:W341"/>
    <mergeCell ref="J343:J344"/>
    <mergeCell ref="K343:K344"/>
    <mergeCell ref="L343:L344"/>
    <mergeCell ref="M343:M344"/>
    <mergeCell ref="N343:N344"/>
    <mergeCell ref="O343:O344"/>
    <mergeCell ref="P343:P344"/>
    <mergeCell ref="Q343:Q344"/>
    <mergeCell ref="R343:R344"/>
    <mergeCell ref="S343:S344"/>
    <mergeCell ref="T343:T344"/>
    <mergeCell ref="U343:U344"/>
    <mergeCell ref="V343:V344"/>
    <mergeCell ref="W343:W344"/>
    <mergeCell ref="A345:G349"/>
    <mergeCell ref="J345:J346"/>
    <mergeCell ref="K345:K346"/>
    <mergeCell ref="L345:L346"/>
    <mergeCell ref="M345:M346"/>
    <mergeCell ref="N345:N346"/>
    <mergeCell ref="O345:O346"/>
    <mergeCell ref="P345:P346"/>
    <mergeCell ref="Q345:Q346"/>
    <mergeCell ref="R345:R346"/>
    <mergeCell ref="S345:S346"/>
    <mergeCell ref="T345:T346"/>
    <mergeCell ref="U345:U346"/>
    <mergeCell ref="V345:V346"/>
    <mergeCell ref="W345:W346"/>
    <mergeCell ref="J348:J349"/>
    <mergeCell ref="K348:K349"/>
    <mergeCell ref="L348:L349"/>
    <mergeCell ref="M348:M349"/>
    <mergeCell ref="N348:N349"/>
    <mergeCell ref="O348:O349"/>
    <mergeCell ref="P348:P349"/>
    <mergeCell ref="Q348:Q349"/>
    <mergeCell ref="R348:R349"/>
    <mergeCell ref="S348:S349"/>
    <mergeCell ref="T348:T349"/>
    <mergeCell ref="U348:U349"/>
    <mergeCell ref="V348:V349"/>
    <mergeCell ref="W348:W349"/>
    <mergeCell ref="A350:W350"/>
    <mergeCell ref="A351:W351"/>
    <mergeCell ref="A352:W352"/>
    <mergeCell ref="A353:A357"/>
    <mergeCell ref="B353:B357"/>
    <mergeCell ref="C353:C357"/>
    <mergeCell ref="D353:D357"/>
    <mergeCell ref="E353:E357"/>
    <mergeCell ref="F353:F357"/>
    <mergeCell ref="G353:G357"/>
    <mergeCell ref="J353:J354"/>
    <mergeCell ref="K353:K354"/>
    <mergeCell ref="L353:L354"/>
    <mergeCell ref="M353:M354"/>
    <mergeCell ref="N353:N354"/>
    <mergeCell ref="O353:O354"/>
    <mergeCell ref="P353:P354"/>
    <mergeCell ref="Q353:Q354"/>
    <mergeCell ref="R353:R354"/>
    <mergeCell ref="S353:S354"/>
    <mergeCell ref="T353:T354"/>
    <mergeCell ref="U353:U354"/>
    <mergeCell ref="V353:V354"/>
    <mergeCell ref="W353:W354"/>
    <mergeCell ref="J356:J357"/>
    <mergeCell ref="K356:K357"/>
    <mergeCell ref="L356:L357"/>
    <mergeCell ref="M356:M357"/>
    <mergeCell ref="N356:N357"/>
    <mergeCell ref="O356:O357"/>
    <mergeCell ref="P356:P357"/>
    <mergeCell ref="Q356:Q357"/>
    <mergeCell ref="R356:R357"/>
    <mergeCell ref="S356:S357"/>
    <mergeCell ref="T356:T357"/>
    <mergeCell ref="U356:U357"/>
    <mergeCell ref="V356:V357"/>
    <mergeCell ref="W356:W357"/>
    <mergeCell ref="A358:A362"/>
    <mergeCell ref="B358:B362"/>
    <mergeCell ref="C358:C362"/>
    <mergeCell ref="D358:D362"/>
    <mergeCell ref="E358:E362"/>
    <mergeCell ref="F358:F362"/>
    <mergeCell ref="G358:G362"/>
    <mergeCell ref="J358:J359"/>
    <mergeCell ref="K358:K359"/>
    <mergeCell ref="L358:L359"/>
    <mergeCell ref="M358:M359"/>
    <mergeCell ref="N358:N359"/>
    <mergeCell ref="O358:O359"/>
    <mergeCell ref="P358:P359"/>
    <mergeCell ref="Q358:Q359"/>
    <mergeCell ref="R358:R359"/>
    <mergeCell ref="S358:S359"/>
    <mergeCell ref="T358:T359"/>
    <mergeCell ref="U358:U359"/>
    <mergeCell ref="V358:V359"/>
    <mergeCell ref="W358:W359"/>
    <mergeCell ref="J361:J362"/>
    <mergeCell ref="K361:K362"/>
    <mergeCell ref="L361:L362"/>
    <mergeCell ref="M361:M362"/>
    <mergeCell ref="N361:N362"/>
    <mergeCell ref="O361:O362"/>
    <mergeCell ref="P361:P362"/>
    <mergeCell ref="Q361:Q362"/>
    <mergeCell ref="R361:R362"/>
    <mergeCell ref="S361:S362"/>
    <mergeCell ref="T361:T362"/>
    <mergeCell ref="U361:U362"/>
    <mergeCell ref="V361:V362"/>
    <mergeCell ref="W361:W362"/>
    <mergeCell ref="A363:A367"/>
    <mergeCell ref="B363:B367"/>
    <mergeCell ref="C363:C367"/>
    <mergeCell ref="D363:D367"/>
    <mergeCell ref="E363:E367"/>
    <mergeCell ref="F363:F367"/>
    <mergeCell ref="G363:G367"/>
    <mergeCell ref="J363:J364"/>
    <mergeCell ref="K363:K364"/>
    <mergeCell ref="L363:L364"/>
    <mergeCell ref="M363:M364"/>
    <mergeCell ref="N363:N364"/>
    <mergeCell ref="O363:O364"/>
    <mergeCell ref="P363:P364"/>
    <mergeCell ref="Q363:Q364"/>
    <mergeCell ref="R363:R364"/>
    <mergeCell ref="S363:S364"/>
    <mergeCell ref="T363:T364"/>
    <mergeCell ref="U363:U364"/>
    <mergeCell ref="V363:V364"/>
    <mergeCell ref="W363:W364"/>
    <mergeCell ref="J366:J367"/>
    <mergeCell ref="K366:K367"/>
    <mergeCell ref="L366:L367"/>
    <mergeCell ref="M366:M367"/>
    <mergeCell ref="N366:N367"/>
    <mergeCell ref="O366:O367"/>
    <mergeCell ref="P366:P367"/>
    <mergeCell ref="Q366:Q367"/>
    <mergeCell ref="R366:R367"/>
    <mergeCell ref="S366:S367"/>
    <mergeCell ref="T366:T367"/>
    <mergeCell ref="U366:U367"/>
    <mergeCell ref="V366:V367"/>
    <mergeCell ref="W366:W367"/>
    <mergeCell ref="A368:A372"/>
    <mergeCell ref="B368:B372"/>
    <mergeCell ref="C368:C372"/>
    <mergeCell ref="D368:D372"/>
    <mergeCell ref="E368:E372"/>
    <mergeCell ref="F368:F372"/>
    <mergeCell ref="G368:G372"/>
    <mergeCell ref="J368:J369"/>
    <mergeCell ref="K368:K369"/>
    <mergeCell ref="L368:L369"/>
    <mergeCell ref="M368:M369"/>
    <mergeCell ref="N368:N369"/>
    <mergeCell ref="O368:O369"/>
    <mergeCell ref="P368:P369"/>
    <mergeCell ref="Q368:Q369"/>
    <mergeCell ref="R368:R369"/>
    <mergeCell ref="S368:S369"/>
    <mergeCell ref="T368:T369"/>
    <mergeCell ref="U368:U369"/>
    <mergeCell ref="V368:V369"/>
    <mergeCell ref="W368:W369"/>
    <mergeCell ref="J371:J372"/>
    <mergeCell ref="K371:K372"/>
    <mergeCell ref="L371:L372"/>
    <mergeCell ref="M371:M372"/>
    <mergeCell ref="N371:N372"/>
    <mergeCell ref="O371:O372"/>
    <mergeCell ref="P371:P372"/>
    <mergeCell ref="Q371:Q372"/>
    <mergeCell ref="R371:R372"/>
    <mergeCell ref="S371:S372"/>
    <mergeCell ref="T371:T372"/>
    <mergeCell ref="U371:U372"/>
    <mergeCell ref="V371:V372"/>
    <mergeCell ref="W371:W372"/>
    <mergeCell ref="A373:A377"/>
    <mergeCell ref="B373:B377"/>
    <mergeCell ref="C373:C377"/>
    <mergeCell ref="D373:D377"/>
    <mergeCell ref="E373:E377"/>
    <mergeCell ref="F373:F377"/>
    <mergeCell ref="G373:G377"/>
    <mergeCell ref="J373:J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S373:S374"/>
    <mergeCell ref="T373:T374"/>
    <mergeCell ref="U373:U374"/>
    <mergeCell ref="V373:V374"/>
    <mergeCell ref="W373:W374"/>
    <mergeCell ref="J376:J377"/>
    <mergeCell ref="K376:K377"/>
    <mergeCell ref="L376:L377"/>
    <mergeCell ref="M376:M377"/>
    <mergeCell ref="N376:N377"/>
    <mergeCell ref="O376:O377"/>
    <mergeCell ref="P376:P377"/>
    <mergeCell ref="Q376:Q377"/>
    <mergeCell ref="R376:R377"/>
    <mergeCell ref="S376:S377"/>
    <mergeCell ref="T376:T377"/>
    <mergeCell ref="U376:U377"/>
    <mergeCell ref="V376:V377"/>
    <mergeCell ref="W376:W377"/>
    <mergeCell ref="A378:A382"/>
    <mergeCell ref="B378:B382"/>
    <mergeCell ref="C378:C382"/>
    <mergeCell ref="D378:D382"/>
    <mergeCell ref="E378:E382"/>
    <mergeCell ref="F378:F382"/>
    <mergeCell ref="G378:G382"/>
    <mergeCell ref="J378:J379"/>
    <mergeCell ref="K378:K379"/>
    <mergeCell ref="L378:L379"/>
    <mergeCell ref="M378:M379"/>
    <mergeCell ref="N378:N379"/>
    <mergeCell ref="O378:O379"/>
    <mergeCell ref="P378:P379"/>
    <mergeCell ref="Q378:Q379"/>
    <mergeCell ref="R378:R379"/>
    <mergeCell ref="S378:S379"/>
    <mergeCell ref="T378:T379"/>
    <mergeCell ref="U378:U379"/>
    <mergeCell ref="V378:V379"/>
    <mergeCell ref="W378:W379"/>
    <mergeCell ref="J381:J382"/>
    <mergeCell ref="K381:K382"/>
    <mergeCell ref="L381:L382"/>
    <mergeCell ref="M381:M382"/>
    <mergeCell ref="N381:N382"/>
    <mergeCell ref="O381:O382"/>
    <mergeCell ref="P381:P382"/>
    <mergeCell ref="Q381:Q382"/>
    <mergeCell ref="R381:R382"/>
    <mergeCell ref="S381:S382"/>
    <mergeCell ref="T381:T382"/>
    <mergeCell ref="U381:U382"/>
    <mergeCell ref="V381:V382"/>
    <mergeCell ref="W381:W382"/>
    <mergeCell ref="A383:A387"/>
    <mergeCell ref="B383:B387"/>
    <mergeCell ref="C383:C387"/>
    <mergeCell ref="D383:D387"/>
    <mergeCell ref="E383:E387"/>
    <mergeCell ref="F383:F387"/>
    <mergeCell ref="G383:G387"/>
    <mergeCell ref="J383:J384"/>
    <mergeCell ref="K383:K384"/>
    <mergeCell ref="L383:L384"/>
    <mergeCell ref="M383:M384"/>
    <mergeCell ref="N383:N384"/>
    <mergeCell ref="O383:O384"/>
    <mergeCell ref="P383:P384"/>
    <mergeCell ref="Q383:Q384"/>
    <mergeCell ref="R383:R384"/>
    <mergeCell ref="S383:S384"/>
    <mergeCell ref="T383:T384"/>
    <mergeCell ref="U383:U384"/>
    <mergeCell ref="V383:V384"/>
    <mergeCell ref="W383:W384"/>
    <mergeCell ref="J386:J387"/>
    <mergeCell ref="K386:K387"/>
    <mergeCell ref="L386:L387"/>
    <mergeCell ref="M386:M387"/>
    <mergeCell ref="N386:N387"/>
    <mergeCell ref="O386:O387"/>
    <mergeCell ref="P386:P387"/>
    <mergeCell ref="Q386:Q387"/>
    <mergeCell ref="R386:R387"/>
    <mergeCell ref="S386:S387"/>
    <mergeCell ref="T386:T387"/>
    <mergeCell ref="U386:U387"/>
    <mergeCell ref="V386:V387"/>
    <mergeCell ref="W386:W387"/>
    <mergeCell ref="A388:A392"/>
    <mergeCell ref="B388:B392"/>
    <mergeCell ref="C388:C392"/>
    <mergeCell ref="D388:D392"/>
    <mergeCell ref="E388:E392"/>
    <mergeCell ref="F388:F392"/>
    <mergeCell ref="G388:G392"/>
    <mergeCell ref="J388:J389"/>
    <mergeCell ref="K388:K389"/>
    <mergeCell ref="L388:L389"/>
    <mergeCell ref="M388:M389"/>
    <mergeCell ref="N388:N389"/>
    <mergeCell ref="O388:O389"/>
    <mergeCell ref="P388:P389"/>
    <mergeCell ref="Q388:Q389"/>
    <mergeCell ref="R388:R389"/>
    <mergeCell ref="S388:S389"/>
    <mergeCell ref="T388:T389"/>
    <mergeCell ref="U388:U389"/>
    <mergeCell ref="V388:V389"/>
    <mergeCell ref="W388:W389"/>
    <mergeCell ref="J391:J392"/>
    <mergeCell ref="K391:K392"/>
    <mergeCell ref="L391:L392"/>
    <mergeCell ref="M391:M392"/>
    <mergeCell ref="N391:N392"/>
    <mergeCell ref="O391:O392"/>
    <mergeCell ref="P391:P392"/>
    <mergeCell ref="Q391:Q392"/>
    <mergeCell ref="R391:R392"/>
    <mergeCell ref="S391:S392"/>
    <mergeCell ref="T391:T392"/>
    <mergeCell ref="U391:U392"/>
    <mergeCell ref="V391:V392"/>
    <mergeCell ref="W391:W392"/>
    <mergeCell ref="A393:A397"/>
    <mergeCell ref="B393:B397"/>
    <mergeCell ref="C393:C397"/>
    <mergeCell ref="D393:D397"/>
    <mergeCell ref="E393:E397"/>
    <mergeCell ref="F393:F397"/>
    <mergeCell ref="G393:G397"/>
    <mergeCell ref="J393:J394"/>
    <mergeCell ref="K393:K394"/>
    <mergeCell ref="L393:L394"/>
    <mergeCell ref="M393:M394"/>
    <mergeCell ref="N393:N394"/>
    <mergeCell ref="O393:O394"/>
    <mergeCell ref="P393:P394"/>
    <mergeCell ref="Q393:Q394"/>
    <mergeCell ref="R393:R394"/>
    <mergeCell ref="S393:S394"/>
    <mergeCell ref="T393:T394"/>
    <mergeCell ref="U393:U394"/>
    <mergeCell ref="V393:V394"/>
    <mergeCell ref="W393:W394"/>
    <mergeCell ref="J396:J397"/>
    <mergeCell ref="K396:K397"/>
    <mergeCell ref="L396:L397"/>
    <mergeCell ref="M396:M397"/>
    <mergeCell ref="N396:N397"/>
    <mergeCell ref="O396:O397"/>
    <mergeCell ref="P396:P397"/>
    <mergeCell ref="Q396:Q397"/>
    <mergeCell ref="R396:R397"/>
    <mergeCell ref="S396:S397"/>
    <mergeCell ref="T396:T397"/>
    <mergeCell ref="U396:U397"/>
    <mergeCell ref="V396:V397"/>
    <mergeCell ref="W396:W397"/>
    <mergeCell ref="A398:A402"/>
    <mergeCell ref="B398:B402"/>
    <mergeCell ref="C398:C402"/>
    <mergeCell ref="D398:D402"/>
    <mergeCell ref="E398:E402"/>
    <mergeCell ref="F398:F402"/>
    <mergeCell ref="G398:G402"/>
    <mergeCell ref="J398:J399"/>
    <mergeCell ref="K398:K399"/>
    <mergeCell ref="L398:L399"/>
    <mergeCell ref="M398:M399"/>
    <mergeCell ref="N398:N399"/>
    <mergeCell ref="O398:O399"/>
    <mergeCell ref="P398:P399"/>
    <mergeCell ref="Q398:Q399"/>
    <mergeCell ref="R398:R399"/>
    <mergeCell ref="S398:S399"/>
    <mergeCell ref="T398:T399"/>
    <mergeCell ref="U398:U399"/>
    <mergeCell ref="V398:V399"/>
    <mergeCell ref="W398:W399"/>
    <mergeCell ref="J401:J402"/>
    <mergeCell ref="K401:K402"/>
    <mergeCell ref="L401:L402"/>
    <mergeCell ref="M401:M402"/>
    <mergeCell ref="N401:N402"/>
    <mergeCell ref="O401:O402"/>
    <mergeCell ref="P401:P402"/>
    <mergeCell ref="Q401:Q402"/>
    <mergeCell ref="R401:R402"/>
    <mergeCell ref="S401:S402"/>
    <mergeCell ref="T401:T402"/>
    <mergeCell ref="U401:U402"/>
    <mergeCell ref="V401:V402"/>
    <mergeCell ref="W401:W402"/>
    <mergeCell ref="A403:A407"/>
    <mergeCell ref="B403:B407"/>
    <mergeCell ref="C403:C407"/>
    <mergeCell ref="D403:D407"/>
    <mergeCell ref="E403:E407"/>
    <mergeCell ref="F403:F407"/>
    <mergeCell ref="G403:G407"/>
    <mergeCell ref="J403:J404"/>
    <mergeCell ref="K403:K404"/>
    <mergeCell ref="L403:L404"/>
    <mergeCell ref="M403:M404"/>
    <mergeCell ref="N403:N404"/>
    <mergeCell ref="O403:O404"/>
    <mergeCell ref="P403:P404"/>
    <mergeCell ref="Q403:Q404"/>
    <mergeCell ref="R403:R404"/>
    <mergeCell ref="S403:S404"/>
    <mergeCell ref="T403:T404"/>
    <mergeCell ref="U403:U404"/>
    <mergeCell ref="V403:V404"/>
    <mergeCell ref="W403:W404"/>
    <mergeCell ref="J406:J407"/>
    <mergeCell ref="K406:K407"/>
    <mergeCell ref="L406:L407"/>
    <mergeCell ref="M406:M407"/>
    <mergeCell ref="N406:N407"/>
    <mergeCell ref="O406:O407"/>
    <mergeCell ref="P406:P407"/>
    <mergeCell ref="Q406:Q407"/>
    <mergeCell ref="R406:R407"/>
    <mergeCell ref="S406:S407"/>
    <mergeCell ref="T406:T407"/>
    <mergeCell ref="U406:U407"/>
    <mergeCell ref="V406:V407"/>
    <mergeCell ref="W406:W407"/>
    <mergeCell ref="A408:A412"/>
    <mergeCell ref="B408:B412"/>
    <mergeCell ref="C408:C412"/>
    <mergeCell ref="D408:D412"/>
    <mergeCell ref="E408:E412"/>
    <mergeCell ref="F408:F412"/>
    <mergeCell ref="G408:G412"/>
    <mergeCell ref="J408:J409"/>
    <mergeCell ref="K408:K409"/>
    <mergeCell ref="L408:L409"/>
    <mergeCell ref="M408:M409"/>
    <mergeCell ref="N408:N409"/>
    <mergeCell ref="O408:O409"/>
    <mergeCell ref="P408:P409"/>
    <mergeCell ref="Q408:Q409"/>
    <mergeCell ref="R408:R409"/>
    <mergeCell ref="S408:S409"/>
    <mergeCell ref="T408:T409"/>
    <mergeCell ref="U408:U409"/>
    <mergeCell ref="V408:V409"/>
    <mergeCell ref="W408:W409"/>
    <mergeCell ref="J411:J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S411:S412"/>
    <mergeCell ref="T411:T412"/>
    <mergeCell ref="U411:U412"/>
    <mergeCell ref="V411:V412"/>
    <mergeCell ref="W411:W412"/>
    <mergeCell ref="A413:A417"/>
    <mergeCell ref="B413:B417"/>
    <mergeCell ref="C413:C417"/>
    <mergeCell ref="D413:D417"/>
    <mergeCell ref="E413:E417"/>
    <mergeCell ref="F413:F417"/>
    <mergeCell ref="G413:G417"/>
    <mergeCell ref="J413:J414"/>
    <mergeCell ref="K413:K414"/>
    <mergeCell ref="L413:L414"/>
    <mergeCell ref="M413:M414"/>
    <mergeCell ref="N413:N414"/>
    <mergeCell ref="O413:O414"/>
    <mergeCell ref="P413:P414"/>
    <mergeCell ref="Q413:Q414"/>
    <mergeCell ref="R413:R414"/>
    <mergeCell ref="S413:S414"/>
    <mergeCell ref="T413:T414"/>
    <mergeCell ref="U413:U414"/>
    <mergeCell ref="V413:V414"/>
    <mergeCell ref="W413:W414"/>
    <mergeCell ref="J416:J417"/>
    <mergeCell ref="K416:K417"/>
    <mergeCell ref="L416:L417"/>
    <mergeCell ref="M416:M417"/>
    <mergeCell ref="N416:N417"/>
    <mergeCell ref="O416:O417"/>
    <mergeCell ref="P416:P417"/>
    <mergeCell ref="Q416:Q417"/>
    <mergeCell ref="R416:R417"/>
    <mergeCell ref="S416:S417"/>
    <mergeCell ref="T416:T417"/>
    <mergeCell ref="U416:U417"/>
    <mergeCell ref="V416:V417"/>
    <mergeCell ref="W416:W417"/>
    <mergeCell ref="A418:A422"/>
    <mergeCell ref="B418:B422"/>
    <mergeCell ref="C418:C422"/>
    <mergeCell ref="D418:D422"/>
    <mergeCell ref="E418:E422"/>
    <mergeCell ref="F418:F422"/>
    <mergeCell ref="G418:G422"/>
    <mergeCell ref="J418:J419"/>
    <mergeCell ref="K418:K419"/>
    <mergeCell ref="L418:L419"/>
    <mergeCell ref="M418:M419"/>
    <mergeCell ref="N418:N419"/>
    <mergeCell ref="O418:O419"/>
    <mergeCell ref="P418:P419"/>
    <mergeCell ref="Q418:Q419"/>
    <mergeCell ref="R418:R419"/>
    <mergeCell ref="S418:S419"/>
    <mergeCell ref="T418:T419"/>
    <mergeCell ref="U418:U419"/>
    <mergeCell ref="V418:V419"/>
    <mergeCell ref="W418:W419"/>
    <mergeCell ref="J421:J422"/>
    <mergeCell ref="K421:K422"/>
    <mergeCell ref="L421:L422"/>
    <mergeCell ref="M421:M422"/>
    <mergeCell ref="N421:N422"/>
    <mergeCell ref="O421:O422"/>
    <mergeCell ref="P421:P422"/>
    <mergeCell ref="Q421:Q422"/>
    <mergeCell ref="R421:R422"/>
    <mergeCell ref="S421:S422"/>
    <mergeCell ref="T421:T422"/>
    <mergeCell ref="U421:U422"/>
    <mergeCell ref="V421:V422"/>
    <mergeCell ref="W421:W422"/>
    <mergeCell ref="A423:A427"/>
    <mergeCell ref="B423:B427"/>
    <mergeCell ref="C423:C427"/>
    <mergeCell ref="D423:D427"/>
    <mergeCell ref="E423:E427"/>
    <mergeCell ref="F423:F427"/>
    <mergeCell ref="G423:G427"/>
    <mergeCell ref="J423:J424"/>
    <mergeCell ref="K423:K424"/>
    <mergeCell ref="L423:L424"/>
    <mergeCell ref="M423:M424"/>
    <mergeCell ref="N423:N424"/>
    <mergeCell ref="O423:O424"/>
    <mergeCell ref="P423:P424"/>
    <mergeCell ref="Q423:Q424"/>
    <mergeCell ref="R423:R424"/>
    <mergeCell ref="S423:S424"/>
    <mergeCell ref="T423:T424"/>
    <mergeCell ref="U423:U424"/>
    <mergeCell ref="V423:V424"/>
    <mergeCell ref="W423:W424"/>
    <mergeCell ref="J426:J427"/>
    <mergeCell ref="K426:K427"/>
    <mergeCell ref="L426:L427"/>
    <mergeCell ref="M426:M427"/>
    <mergeCell ref="N426:N427"/>
    <mergeCell ref="O426:O427"/>
    <mergeCell ref="P426:P427"/>
    <mergeCell ref="Q426:Q427"/>
    <mergeCell ref="R426:R427"/>
    <mergeCell ref="S426:S427"/>
    <mergeCell ref="T426:T427"/>
    <mergeCell ref="U426:U427"/>
    <mergeCell ref="V426:V427"/>
    <mergeCell ref="W426:W427"/>
    <mergeCell ref="A428:A432"/>
    <mergeCell ref="B428:B432"/>
    <mergeCell ref="C428:C432"/>
    <mergeCell ref="D428:D432"/>
    <mergeCell ref="E428:E432"/>
    <mergeCell ref="F428:F432"/>
    <mergeCell ref="G428:G432"/>
    <mergeCell ref="J428:J429"/>
    <mergeCell ref="K428:K429"/>
    <mergeCell ref="L428:L429"/>
    <mergeCell ref="M428:M429"/>
    <mergeCell ref="N428:N429"/>
    <mergeCell ref="O428:O429"/>
    <mergeCell ref="P428:P429"/>
    <mergeCell ref="Q428:Q429"/>
    <mergeCell ref="R428:R429"/>
    <mergeCell ref="S428:S429"/>
    <mergeCell ref="T428:T429"/>
    <mergeCell ref="U428:U429"/>
    <mergeCell ref="V428:V429"/>
    <mergeCell ref="W428:W429"/>
    <mergeCell ref="J431:J432"/>
    <mergeCell ref="K431:K432"/>
    <mergeCell ref="L431:L432"/>
    <mergeCell ref="M431:M432"/>
    <mergeCell ref="N431:N432"/>
    <mergeCell ref="O431:O432"/>
    <mergeCell ref="P431:P432"/>
    <mergeCell ref="Q431:Q432"/>
    <mergeCell ref="R431:R432"/>
    <mergeCell ref="S431:S432"/>
    <mergeCell ref="T431:T432"/>
    <mergeCell ref="U431:U432"/>
    <mergeCell ref="V431:V432"/>
    <mergeCell ref="W431:W432"/>
    <mergeCell ref="A433:A437"/>
    <mergeCell ref="B433:B437"/>
    <mergeCell ref="C433:C437"/>
    <mergeCell ref="D433:D437"/>
    <mergeCell ref="E433:E437"/>
    <mergeCell ref="F433:F437"/>
    <mergeCell ref="G433:G437"/>
    <mergeCell ref="J433:J434"/>
    <mergeCell ref="K433:K434"/>
    <mergeCell ref="L433:L434"/>
    <mergeCell ref="M433:M434"/>
    <mergeCell ref="N433:N434"/>
    <mergeCell ref="O433:O434"/>
    <mergeCell ref="P433:P434"/>
    <mergeCell ref="Q433:Q434"/>
    <mergeCell ref="R433:R434"/>
    <mergeCell ref="S433:S434"/>
    <mergeCell ref="T433:T434"/>
    <mergeCell ref="U433:U434"/>
    <mergeCell ref="V433:V434"/>
    <mergeCell ref="W433:W434"/>
    <mergeCell ref="J436:J437"/>
    <mergeCell ref="K436:K437"/>
    <mergeCell ref="L436:L437"/>
    <mergeCell ref="M436:M437"/>
    <mergeCell ref="N436:N437"/>
    <mergeCell ref="O436:O437"/>
    <mergeCell ref="P436:P437"/>
    <mergeCell ref="Q436:Q437"/>
    <mergeCell ref="R436:R437"/>
    <mergeCell ref="S436:S437"/>
    <mergeCell ref="T436:T437"/>
    <mergeCell ref="U436:U437"/>
    <mergeCell ref="V436:V437"/>
    <mergeCell ref="W436:W437"/>
    <mergeCell ref="A438:A442"/>
    <mergeCell ref="B438:B442"/>
    <mergeCell ref="C438:C442"/>
    <mergeCell ref="D438:D442"/>
    <mergeCell ref="E438:E442"/>
    <mergeCell ref="F438:F442"/>
    <mergeCell ref="G438:G442"/>
    <mergeCell ref="J438:J439"/>
    <mergeCell ref="K438:K439"/>
    <mergeCell ref="L438:L439"/>
    <mergeCell ref="M438:M439"/>
    <mergeCell ref="N438:N439"/>
    <mergeCell ref="O438:O439"/>
    <mergeCell ref="P438:P439"/>
    <mergeCell ref="Q438:Q439"/>
    <mergeCell ref="R438:R439"/>
    <mergeCell ref="S438:S439"/>
    <mergeCell ref="T438:T439"/>
    <mergeCell ref="U438:U439"/>
    <mergeCell ref="V438:V439"/>
    <mergeCell ref="W438:W439"/>
    <mergeCell ref="J441:J442"/>
    <mergeCell ref="K441:K442"/>
    <mergeCell ref="L441:L442"/>
    <mergeCell ref="M441:M442"/>
    <mergeCell ref="N441:N442"/>
    <mergeCell ref="O441:O442"/>
    <mergeCell ref="P441:P442"/>
    <mergeCell ref="Q441:Q442"/>
    <mergeCell ref="R441:R442"/>
    <mergeCell ref="S441:S442"/>
    <mergeCell ref="T441:T442"/>
    <mergeCell ref="U441:U442"/>
    <mergeCell ref="V441:V442"/>
    <mergeCell ref="W441:W442"/>
    <mergeCell ref="A443:A447"/>
    <mergeCell ref="B443:B447"/>
    <mergeCell ref="C443:C447"/>
    <mergeCell ref="D443:D447"/>
    <mergeCell ref="E443:E447"/>
    <mergeCell ref="F443:F447"/>
    <mergeCell ref="G443:G447"/>
    <mergeCell ref="J443:J444"/>
    <mergeCell ref="K443:K444"/>
    <mergeCell ref="L443:L444"/>
    <mergeCell ref="M443:M444"/>
    <mergeCell ref="N443:N444"/>
    <mergeCell ref="O443:O444"/>
    <mergeCell ref="P443:P444"/>
    <mergeCell ref="Q443:Q444"/>
    <mergeCell ref="R443:R444"/>
    <mergeCell ref="S443:S444"/>
    <mergeCell ref="T443:T444"/>
    <mergeCell ref="U443:U444"/>
    <mergeCell ref="V443:V444"/>
    <mergeCell ref="W443:W444"/>
    <mergeCell ref="J446:J447"/>
    <mergeCell ref="K446:K447"/>
    <mergeCell ref="L446:L447"/>
    <mergeCell ref="M446:M447"/>
    <mergeCell ref="N446:N447"/>
    <mergeCell ref="O446:O447"/>
    <mergeCell ref="P446:P447"/>
    <mergeCell ref="Q446:Q447"/>
    <mergeCell ref="R446:R447"/>
    <mergeCell ref="S446:S447"/>
    <mergeCell ref="T446:T447"/>
    <mergeCell ref="U446:U447"/>
    <mergeCell ref="V446:V447"/>
    <mergeCell ref="W446:W447"/>
    <mergeCell ref="A448:A452"/>
    <mergeCell ref="B448:B452"/>
    <mergeCell ref="C448:C452"/>
    <mergeCell ref="D448:D452"/>
    <mergeCell ref="E448:E452"/>
    <mergeCell ref="F448:F452"/>
    <mergeCell ref="G448:G452"/>
    <mergeCell ref="J448:J449"/>
    <mergeCell ref="K448:K449"/>
    <mergeCell ref="L448:L449"/>
    <mergeCell ref="M448:M449"/>
    <mergeCell ref="N448:N449"/>
    <mergeCell ref="O448:O449"/>
    <mergeCell ref="P448:P449"/>
    <mergeCell ref="Q448:Q449"/>
    <mergeCell ref="R448:R449"/>
    <mergeCell ref="S448:S449"/>
    <mergeCell ref="T448:T449"/>
    <mergeCell ref="U448:U449"/>
    <mergeCell ref="V448:V449"/>
    <mergeCell ref="W448:W449"/>
    <mergeCell ref="J451:J452"/>
    <mergeCell ref="K451:K452"/>
    <mergeCell ref="L451:L452"/>
    <mergeCell ref="M451:M452"/>
    <mergeCell ref="N451:N452"/>
    <mergeCell ref="O451:O452"/>
    <mergeCell ref="P451:P452"/>
    <mergeCell ref="Q451:Q452"/>
    <mergeCell ref="R451:R452"/>
    <mergeCell ref="S451:S452"/>
    <mergeCell ref="T451:T452"/>
    <mergeCell ref="U451:U452"/>
    <mergeCell ref="V451:V452"/>
    <mergeCell ref="W451:W452"/>
    <mergeCell ref="A453:A457"/>
    <mergeCell ref="B453:B457"/>
    <mergeCell ref="C453:C457"/>
    <mergeCell ref="D453:D457"/>
    <mergeCell ref="E453:E457"/>
    <mergeCell ref="F453:F457"/>
    <mergeCell ref="G453:G457"/>
    <mergeCell ref="J453:J454"/>
    <mergeCell ref="K453:K454"/>
    <mergeCell ref="L453:L454"/>
    <mergeCell ref="M453:M454"/>
    <mergeCell ref="N453:N454"/>
    <mergeCell ref="O453:O454"/>
    <mergeCell ref="P453:P454"/>
    <mergeCell ref="Q453:Q454"/>
    <mergeCell ref="R453:R454"/>
    <mergeCell ref="S453:S454"/>
    <mergeCell ref="T453:T454"/>
    <mergeCell ref="U453:U454"/>
    <mergeCell ref="V453:V454"/>
    <mergeCell ref="W453:W454"/>
    <mergeCell ref="J456:J457"/>
    <mergeCell ref="K456:K457"/>
    <mergeCell ref="L456:L457"/>
    <mergeCell ref="M456:M457"/>
    <mergeCell ref="N456:N457"/>
    <mergeCell ref="O456:O457"/>
    <mergeCell ref="P456:P457"/>
    <mergeCell ref="Q456:Q457"/>
    <mergeCell ref="R456:R457"/>
    <mergeCell ref="S456:S457"/>
    <mergeCell ref="T456:T457"/>
    <mergeCell ref="U456:U457"/>
    <mergeCell ref="V456:V457"/>
    <mergeCell ref="W456:W457"/>
    <mergeCell ref="A458:A462"/>
    <mergeCell ref="B458:B462"/>
    <mergeCell ref="C458:C462"/>
    <mergeCell ref="D458:D462"/>
    <mergeCell ref="E458:E462"/>
    <mergeCell ref="F458:F462"/>
    <mergeCell ref="G458:G462"/>
    <mergeCell ref="J458:J459"/>
    <mergeCell ref="K458:K459"/>
    <mergeCell ref="L458:L459"/>
    <mergeCell ref="M458:M459"/>
    <mergeCell ref="N458:N459"/>
    <mergeCell ref="O458:O459"/>
    <mergeCell ref="P458:P459"/>
    <mergeCell ref="Q458:Q459"/>
    <mergeCell ref="R458:R459"/>
    <mergeCell ref="S458:S459"/>
    <mergeCell ref="T458:T459"/>
    <mergeCell ref="U458:U459"/>
    <mergeCell ref="V458:V459"/>
    <mergeCell ref="W458:W459"/>
    <mergeCell ref="J461:J462"/>
    <mergeCell ref="K461:K462"/>
    <mergeCell ref="L461:L462"/>
    <mergeCell ref="M461:M462"/>
    <mergeCell ref="N461:N462"/>
    <mergeCell ref="O461:O462"/>
    <mergeCell ref="P461:P462"/>
    <mergeCell ref="Q461:Q462"/>
    <mergeCell ref="R461:R462"/>
    <mergeCell ref="S461:S462"/>
    <mergeCell ref="T461:T462"/>
    <mergeCell ref="U461:U462"/>
    <mergeCell ref="V461:V462"/>
    <mergeCell ref="W461:W462"/>
    <mergeCell ref="A463:A467"/>
    <mergeCell ref="B463:B467"/>
    <mergeCell ref="C463:C467"/>
    <mergeCell ref="D463:D467"/>
    <mergeCell ref="E463:E467"/>
    <mergeCell ref="F463:F467"/>
    <mergeCell ref="G463:G467"/>
    <mergeCell ref="J463:J464"/>
    <mergeCell ref="K463:K464"/>
    <mergeCell ref="L463:L464"/>
    <mergeCell ref="M463:M464"/>
    <mergeCell ref="N463:N464"/>
    <mergeCell ref="O463:O464"/>
    <mergeCell ref="P463:P464"/>
    <mergeCell ref="Q463:Q464"/>
    <mergeCell ref="R463:R464"/>
    <mergeCell ref="S463:S464"/>
    <mergeCell ref="T463:T464"/>
    <mergeCell ref="U463:U464"/>
    <mergeCell ref="V463:V464"/>
    <mergeCell ref="W463:W464"/>
    <mergeCell ref="J466:J467"/>
    <mergeCell ref="K466:K467"/>
    <mergeCell ref="L466:L467"/>
    <mergeCell ref="M466:M467"/>
    <mergeCell ref="N466:N467"/>
    <mergeCell ref="O466:O467"/>
    <mergeCell ref="P466:P467"/>
    <mergeCell ref="Q466:Q467"/>
    <mergeCell ref="R466:R467"/>
    <mergeCell ref="S466:S467"/>
    <mergeCell ref="T466:T467"/>
    <mergeCell ref="U466:U467"/>
    <mergeCell ref="V466:V467"/>
    <mergeCell ref="W466:W467"/>
    <mergeCell ref="A468:A472"/>
    <mergeCell ref="B468:B472"/>
    <mergeCell ref="C468:C472"/>
    <mergeCell ref="D468:D472"/>
    <mergeCell ref="E468:E472"/>
    <mergeCell ref="F468:F472"/>
    <mergeCell ref="G468:G472"/>
    <mergeCell ref="J468:J469"/>
    <mergeCell ref="K468:K469"/>
    <mergeCell ref="L468:L469"/>
    <mergeCell ref="M468:M469"/>
    <mergeCell ref="N468:N469"/>
    <mergeCell ref="O468:O469"/>
    <mergeCell ref="P468:P469"/>
    <mergeCell ref="Q468:Q469"/>
    <mergeCell ref="R468:R469"/>
    <mergeCell ref="S468:S469"/>
    <mergeCell ref="T468:T469"/>
    <mergeCell ref="U468:U469"/>
    <mergeCell ref="V468:V469"/>
    <mergeCell ref="W468:W469"/>
    <mergeCell ref="J471:J472"/>
    <mergeCell ref="K471:K472"/>
    <mergeCell ref="L471:L472"/>
    <mergeCell ref="M471:M472"/>
    <mergeCell ref="N471:N472"/>
    <mergeCell ref="O471:O472"/>
    <mergeCell ref="P471:P472"/>
    <mergeCell ref="Q471:Q472"/>
    <mergeCell ref="R471:R472"/>
    <mergeCell ref="S471:S472"/>
    <mergeCell ref="T471:T472"/>
    <mergeCell ref="U471:U472"/>
    <mergeCell ref="V471:V472"/>
    <mergeCell ref="W471:W472"/>
    <mergeCell ref="A473:G477"/>
    <mergeCell ref="J473:J474"/>
    <mergeCell ref="K473:K474"/>
    <mergeCell ref="L473:L474"/>
    <mergeCell ref="M473:M474"/>
    <mergeCell ref="N473:N474"/>
    <mergeCell ref="O473:O474"/>
    <mergeCell ref="P473:P474"/>
    <mergeCell ref="Q473:Q474"/>
    <mergeCell ref="R473:R474"/>
    <mergeCell ref="S473:S474"/>
    <mergeCell ref="T473:T474"/>
    <mergeCell ref="U473:U474"/>
    <mergeCell ref="V473:V474"/>
    <mergeCell ref="W473:W474"/>
    <mergeCell ref="J476:J477"/>
    <mergeCell ref="K476:K477"/>
    <mergeCell ref="L476:L477"/>
    <mergeCell ref="M476:M477"/>
    <mergeCell ref="N476:N477"/>
    <mergeCell ref="O476:O477"/>
    <mergeCell ref="P476:P477"/>
    <mergeCell ref="Q476:Q477"/>
    <mergeCell ref="R476:R477"/>
    <mergeCell ref="S476:S477"/>
    <mergeCell ref="T476:T477"/>
    <mergeCell ref="U476:U477"/>
    <mergeCell ref="V476:V477"/>
    <mergeCell ref="W476:W477"/>
    <mergeCell ref="A478:G482"/>
    <mergeCell ref="J478:J479"/>
    <mergeCell ref="K478:K479"/>
    <mergeCell ref="L478:L479"/>
    <mergeCell ref="M478:M479"/>
    <mergeCell ref="N478:N479"/>
    <mergeCell ref="O478:O479"/>
    <mergeCell ref="P478:P479"/>
    <mergeCell ref="Q478:Q479"/>
    <mergeCell ref="R478:R479"/>
    <mergeCell ref="S478:S479"/>
    <mergeCell ref="T478:T479"/>
    <mergeCell ref="U478:U479"/>
    <mergeCell ref="V478:V479"/>
    <mergeCell ref="W478:W479"/>
    <mergeCell ref="J481:J482"/>
    <mergeCell ref="K481:K482"/>
    <mergeCell ref="L481:L482"/>
    <mergeCell ref="M481:M482"/>
    <mergeCell ref="N481:N482"/>
    <mergeCell ref="O481:O482"/>
    <mergeCell ref="V481:V482"/>
    <mergeCell ref="W481:W482"/>
    <mergeCell ref="P481:P482"/>
    <mergeCell ref="Q481:Q482"/>
    <mergeCell ref="R481:R482"/>
    <mergeCell ref="S481:S482"/>
    <mergeCell ref="T481:T482"/>
    <mergeCell ref="U481:U482"/>
  </mergeCells>
  <printOptions horizontalCentered="1"/>
  <pageMargins left="0.31496062992125984" right="0.2755905511811024" top="0.984251968503937" bottom="0.7480314960629921" header="0.31496062992125984" footer="0.31496062992125984"/>
  <pageSetup fitToHeight="6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37"/>
  <sheetViews>
    <sheetView view="pageBreakPreview" zoomScaleSheetLayoutView="100" zoomScalePageLayoutView="0" workbookViewId="0" topLeftCell="F135">
      <selection activeCell="K136" sqref="K136:K137"/>
    </sheetView>
  </sheetViews>
  <sheetFormatPr defaultColWidth="8.796875" defaultRowHeight="14.25"/>
  <cols>
    <col min="1" max="1" width="5.3984375" style="453" customWidth="1"/>
    <col min="2" max="2" width="13.09765625" style="453" customWidth="1"/>
    <col min="3" max="3" width="43.8984375" style="453" customWidth="1"/>
    <col min="4" max="4" width="10.69921875" style="453" customWidth="1"/>
    <col min="5" max="5" width="10.3984375" style="453" customWidth="1"/>
    <col min="6" max="6" width="11" style="453" customWidth="1"/>
    <col min="7" max="8" width="12.09765625" style="453" customWidth="1"/>
    <col min="9" max="9" width="12.8984375" style="453" customWidth="1"/>
    <col min="10" max="11" width="12.09765625" style="453" customWidth="1"/>
    <col min="12" max="12" width="11.3984375" style="453" customWidth="1"/>
    <col min="13" max="14" width="11.8984375" style="453" customWidth="1"/>
    <col min="15" max="15" width="11.69921875" style="453" customWidth="1"/>
    <col min="16" max="16" width="11.3984375" style="453" customWidth="1"/>
    <col min="17" max="17" width="11.8984375" style="453" customWidth="1"/>
    <col min="18" max="18" width="11.3984375" style="453" customWidth="1"/>
    <col min="19" max="19" width="10.3984375" style="453" customWidth="1"/>
    <col min="20" max="20" width="12.8984375" style="453" customWidth="1"/>
    <col min="21" max="21" width="11.69921875" style="453" customWidth="1"/>
    <col min="22" max="22" width="11" style="453" customWidth="1"/>
    <col min="23" max="16384" width="9" style="453" customWidth="1"/>
  </cols>
  <sheetData>
    <row r="1" spans="1:22" s="415" customFormat="1" ht="15.75">
      <c r="A1" s="414" t="s">
        <v>372</v>
      </c>
      <c r="T1" s="905" t="s">
        <v>875</v>
      </c>
      <c r="U1" s="905"/>
      <c r="V1" s="905"/>
    </row>
    <row r="2" spans="1:22" s="415" customFormat="1" ht="15.75">
      <c r="A2" s="414"/>
      <c r="T2" s="905" t="s">
        <v>410</v>
      </c>
      <c r="U2" s="905"/>
      <c r="V2" s="905"/>
    </row>
    <row r="3" spans="1:22" s="415" customFormat="1" ht="15.75">
      <c r="A3" s="414"/>
      <c r="T3" s="905" t="s">
        <v>411</v>
      </c>
      <c r="U3" s="905"/>
      <c r="V3" s="905"/>
    </row>
    <row r="4" s="415" customFormat="1" ht="10.5" customHeight="1">
      <c r="A4" s="414"/>
    </row>
    <row r="5" s="415" customFormat="1" ht="10.5" customHeight="1">
      <c r="A5" s="414"/>
    </row>
    <row r="6" spans="1:24" s="415" customFormat="1" ht="43.5" customHeight="1">
      <c r="A6" s="906" t="s">
        <v>812</v>
      </c>
      <c r="B6" s="906"/>
      <c r="C6" s="906"/>
      <c r="D6" s="906"/>
      <c r="E6" s="906"/>
      <c r="F6" s="906"/>
      <c r="G6" s="906"/>
      <c r="H6" s="906"/>
      <c r="I6" s="906"/>
      <c r="J6" s="906"/>
      <c r="K6" s="906"/>
      <c r="L6" s="906"/>
      <c r="M6" s="906"/>
      <c r="N6" s="906"/>
      <c r="O6" s="906"/>
      <c r="P6" s="906"/>
      <c r="Q6" s="906"/>
      <c r="R6" s="906"/>
      <c r="S6" s="906"/>
      <c r="T6" s="906"/>
      <c r="U6" s="906"/>
      <c r="V6" s="906"/>
      <c r="W6" s="446"/>
      <c r="X6" s="446"/>
    </row>
    <row r="7" spans="1:21" s="415" customFormat="1" ht="15" customHeight="1">
      <c r="A7" s="417"/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8" t="s">
        <v>0</v>
      </c>
    </row>
    <row r="8" spans="1:22" s="415" customFormat="1" ht="24" customHeight="1">
      <c r="A8" s="874" t="s">
        <v>564</v>
      </c>
      <c r="B8" s="877" t="s">
        <v>813</v>
      </c>
      <c r="C8" s="880" t="s">
        <v>814</v>
      </c>
      <c r="D8" s="880" t="s">
        <v>568</v>
      </c>
      <c r="E8" s="877" t="s">
        <v>569</v>
      </c>
      <c r="F8" s="880" t="s">
        <v>227</v>
      </c>
      <c r="G8" s="883" t="s">
        <v>815</v>
      </c>
      <c r="H8" s="883" t="s">
        <v>816</v>
      </c>
      <c r="I8" s="829" t="s">
        <v>572</v>
      </c>
      <c r="J8" s="829"/>
      <c r="K8" s="829"/>
      <c r="L8" s="829"/>
      <c r="M8" s="829"/>
      <c r="N8" s="829"/>
      <c r="O8" s="829"/>
      <c r="P8" s="829"/>
      <c r="Q8" s="829"/>
      <c r="R8" s="829"/>
      <c r="S8" s="829"/>
      <c r="T8" s="829"/>
      <c r="U8" s="829"/>
      <c r="V8" s="829"/>
    </row>
    <row r="9" spans="1:22" s="419" customFormat="1" ht="25.5" customHeight="1">
      <c r="A9" s="875"/>
      <c r="B9" s="878"/>
      <c r="C9" s="881"/>
      <c r="D9" s="881"/>
      <c r="E9" s="878"/>
      <c r="F9" s="881"/>
      <c r="G9" s="883"/>
      <c r="H9" s="883"/>
      <c r="I9" s="829"/>
      <c r="J9" s="829"/>
      <c r="K9" s="829"/>
      <c r="L9" s="829"/>
      <c r="M9" s="829"/>
      <c r="N9" s="829"/>
      <c r="O9" s="829"/>
      <c r="P9" s="829"/>
      <c r="Q9" s="829"/>
      <c r="R9" s="829"/>
      <c r="S9" s="829"/>
      <c r="T9" s="829"/>
      <c r="U9" s="829"/>
      <c r="V9" s="829"/>
    </row>
    <row r="10" spans="1:22" s="419" customFormat="1" ht="15.75" customHeight="1">
      <c r="A10" s="875"/>
      <c r="B10" s="878"/>
      <c r="C10" s="881"/>
      <c r="D10" s="881"/>
      <c r="E10" s="878"/>
      <c r="F10" s="881"/>
      <c r="G10" s="420" t="s">
        <v>573</v>
      </c>
      <c r="H10" s="420" t="s">
        <v>573</v>
      </c>
      <c r="I10" s="829" t="s">
        <v>574</v>
      </c>
      <c r="J10" s="872" t="s">
        <v>575</v>
      </c>
      <c r="K10" s="872"/>
      <c r="L10" s="872"/>
      <c r="M10" s="867" t="s">
        <v>576</v>
      </c>
      <c r="N10" s="872" t="s">
        <v>817</v>
      </c>
      <c r="O10" s="872"/>
      <c r="P10" s="872"/>
      <c r="Q10" s="872"/>
      <c r="R10" s="872"/>
      <c r="S10" s="872"/>
      <c r="T10" s="872"/>
      <c r="U10" s="872"/>
      <c r="V10" s="872"/>
    </row>
    <row r="11" spans="1:22" s="419" customFormat="1" ht="12.75" customHeight="1">
      <c r="A11" s="875"/>
      <c r="B11" s="878"/>
      <c r="C11" s="881"/>
      <c r="D11" s="881"/>
      <c r="E11" s="878"/>
      <c r="F11" s="881"/>
      <c r="G11" s="420" t="s">
        <v>578</v>
      </c>
      <c r="H11" s="420" t="s">
        <v>578</v>
      </c>
      <c r="I11" s="829"/>
      <c r="J11" s="872"/>
      <c r="K11" s="872"/>
      <c r="L11" s="872"/>
      <c r="M11" s="867"/>
      <c r="N11" s="868" t="s">
        <v>579</v>
      </c>
      <c r="O11" s="868"/>
      <c r="P11" s="868"/>
      <c r="Q11" s="868" t="s">
        <v>580</v>
      </c>
      <c r="R11" s="868"/>
      <c r="S11" s="868"/>
      <c r="T11" s="867" t="s">
        <v>818</v>
      </c>
      <c r="U11" s="867"/>
      <c r="V11" s="867"/>
    </row>
    <row r="12" spans="1:22" s="419" customFormat="1" ht="14.25" customHeight="1">
      <c r="A12" s="875"/>
      <c r="B12" s="878"/>
      <c r="C12" s="881"/>
      <c r="D12" s="881"/>
      <c r="E12" s="878"/>
      <c r="F12" s="881"/>
      <c r="G12" s="420" t="s">
        <v>582</v>
      </c>
      <c r="H12" s="420" t="s">
        <v>582</v>
      </c>
      <c r="I12" s="829"/>
      <c r="J12" s="868" t="s">
        <v>84</v>
      </c>
      <c r="K12" s="868" t="s">
        <v>583</v>
      </c>
      <c r="L12" s="868" t="s">
        <v>584</v>
      </c>
      <c r="M12" s="867"/>
      <c r="N12" s="868" t="s">
        <v>84</v>
      </c>
      <c r="O12" s="868" t="s">
        <v>585</v>
      </c>
      <c r="P12" s="871" t="s">
        <v>584</v>
      </c>
      <c r="Q12" s="868" t="s">
        <v>84</v>
      </c>
      <c r="R12" s="868" t="s">
        <v>585</v>
      </c>
      <c r="S12" s="866" t="s">
        <v>584</v>
      </c>
      <c r="T12" s="867" t="s">
        <v>586</v>
      </c>
      <c r="U12" s="868" t="s">
        <v>585</v>
      </c>
      <c r="V12" s="866" t="s">
        <v>584</v>
      </c>
    </row>
    <row r="13" spans="1:22" s="419" customFormat="1" ht="16.5" customHeight="1">
      <c r="A13" s="876"/>
      <c r="B13" s="879"/>
      <c r="C13" s="882"/>
      <c r="D13" s="882"/>
      <c r="E13" s="879"/>
      <c r="F13" s="882"/>
      <c r="G13" s="420" t="s">
        <v>818</v>
      </c>
      <c r="H13" s="420" t="s">
        <v>818</v>
      </c>
      <c r="I13" s="829"/>
      <c r="J13" s="868"/>
      <c r="K13" s="868"/>
      <c r="L13" s="868"/>
      <c r="M13" s="867"/>
      <c r="N13" s="868"/>
      <c r="O13" s="868"/>
      <c r="P13" s="871"/>
      <c r="Q13" s="868"/>
      <c r="R13" s="868"/>
      <c r="S13" s="866"/>
      <c r="T13" s="867"/>
      <c r="U13" s="868"/>
      <c r="V13" s="866"/>
    </row>
    <row r="14" spans="1:22" s="422" customFormat="1" ht="12.75" customHeight="1">
      <c r="A14" s="421">
        <v>1</v>
      </c>
      <c r="B14" s="421">
        <v>2</v>
      </c>
      <c r="C14" s="421">
        <v>3</v>
      </c>
      <c r="D14" s="421">
        <v>4</v>
      </c>
      <c r="E14" s="421">
        <v>5</v>
      </c>
      <c r="F14" s="421">
        <v>6</v>
      </c>
      <c r="G14" s="421">
        <v>7</v>
      </c>
      <c r="H14" s="421">
        <v>8</v>
      </c>
      <c r="I14" s="421" t="s">
        <v>588</v>
      </c>
      <c r="J14" s="421" t="s">
        <v>589</v>
      </c>
      <c r="K14" s="421">
        <v>11</v>
      </c>
      <c r="L14" s="421">
        <v>12</v>
      </c>
      <c r="M14" s="421" t="s">
        <v>590</v>
      </c>
      <c r="N14" s="421" t="s">
        <v>591</v>
      </c>
      <c r="O14" s="421">
        <v>15</v>
      </c>
      <c r="P14" s="421">
        <v>16</v>
      </c>
      <c r="Q14" s="421" t="s">
        <v>592</v>
      </c>
      <c r="R14" s="421">
        <v>18</v>
      </c>
      <c r="S14" s="421">
        <v>19</v>
      </c>
      <c r="T14" s="421" t="s">
        <v>593</v>
      </c>
      <c r="U14" s="421">
        <v>21</v>
      </c>
      <c r="V14" s="421">
        <v>22</v>
      </c>
    </row>
    <row r="15" spans="1:22" s="422" customFormat="1" ht="6" customHeight="1">
      <c r="A15" s="869"/>
      <c r="B15" s="869"/>
      <c r="C15" s="869"/>
      <c r="D15" s="869"/>
      <c r="E15" s="869"/>
      <c r="F15" s="869"/>
      <c r="G15" s="869"/>
      <c r="H15" s="869"/>
      <c r="I15" s="869"/>
      <c r="J15" s="869"/>
      <c r="K15" s="869"/>
      <c r="L15" s="869"/>
      <c r="M15" s="869"/>
      <c r="N15" s="869"/>
      <c r="O15" s="869"/>
      <c r="P15" s="869"/>
      <c r="Q15" s="869"/>
      <c r="R15" s="869"/>
      <c r="S15" s="869"/>
      <c r="T15" s="869"/>
      <c r="U15" s="869"/>
      <c r="V15" s="869"/>
    </row>
    <row r="16" spans="1:23" s="422" customFormat="1" ht="19.5" customHeight="1">
      <c r="A16" s="870" t="s">
        <v>819</v>
      </c>
      <c r="B16" s="870"/>
      <c r="C16" s="870"/>
      <c r="D16" s="870"/>
      <c r="E16" s="870"/>
      <c r="F16" s="870"/>
      <c r="G16" s="870"/>
      <c r="H16" s="870"/>
      <c r="I16" s="870"/>
      <c r="J16" s="870"/>
      <c r="K16" s="870"/>
      <c r="L16" s="870"/>
      <c r="M16" s="870"/>
      <c r="N16" s="870"/>
      <c r="O16" s="870"/>
      <c r="P16" s="870"/>
      <c r="Q16" s="870"/>
      <c r="R16" s="870"/>
      <c r="S16" s="870"/>
      <c r="T16" s="870"/>
      <c r="U16" s="870"/>
      <c r="V16" s="870"/>
      <c r="W16" s="423"/>
    </row>
    <row r="17" spans="1:23" s="422" customFormat="1" ht="7.5" customHeight="1">
      <c r="A17" s="865"/>
      <c r="B17" s="865"/>
      <c r="C17" s="865"/>
      <c r="D17" s="865"/>
      <c r="E17" s="865"/>
      <c r="F17" s="865"/>
      <c r="G17" s="865"/>
      <c r="H17" s="865"/>
      <c r="I17" s="865"/>
      <c r="J17" s="865"/>
      <c r="K17" s="865"/>
      <c r="L17" s="865"/>
      <c r="M17" s="865"/>
      <c r="N17" s="865"/>
      <c r="O17" s="865"/>
      <c r="P17" s="865"/>
      <c r="Q17" s="865"/>
      <c r="R17" s="865"/>
      <c r="S17" s="865"/>
      <c r="T17" s="865"/>
      <c r="U17" s="865"/>
      <c r="V17" s="865"/>
      <c r="W17" s="424"/>
    </row>
    <row r="18" spans="1:22" s="448" customFormat="1" ht="13.5" customHeight="1" hidden="1">
      <c r="A18" s="832">
        <v>1</v>
      </c>
      <c r="B18" s="832" t="s">
        <v>820</v>
      </c>
      <c r="C18" s="901" t="s">
        <v>821</v>
      </c>
      <c r="D18" s="831" t="s">
        <v>239</v>
      </c>
      <c r="E18" s="899" t="s">
        <v>822</v>
      </c>
      <c r="F18" s="832" t="s">
        <v>823</v>
      </c>
      <c r="G18" s="447">
        <f>G19+G20+G21+G22</f>
        <v>9088150</v>
      </c>
      <c r="H18" s="447">
        <f>H19+H20+H21+H22</f>
        <v>7688150</v>
      </c>
      <c r="I18" s="895">
        <f>J18+M18</f>
        <v>1400000</v>
      </c>
      <c r="J18" s="895">
        <f>K18+L18</f>
        <v>1190000</v>
      </c>
      <c r="K18" s="828">
        <v>1190000</v>
      </c>
      <c r="L18" s="828">
        <v>0</v>
      </c>
      <c r="M18" s="895">
        <f>N18+Q18+T18</f>
        <v>210000</v>
      </c>
      <c r="N18" s="895">
        <f>O18+P18</f>
        <v>210000</v>
      </c>
      <c r="O18" s="828">
        <v>210000</v>
      </c>
      <c r="P18" s="828">
        <v>0</v>
      </c>
      <c r="Q18" s="895">
        <f>R18+S18</f>
        <v>0</v>
      </c>
      <c r="R18" s="828">
        <v>0</v>
      </c>
      <c r="S18" s="828">
        <v>0</v>
      </c>
      <c r="T18" s="895">
        <f>U18+V18</f>
        <v>0</v>
      </c>
      <c r="U18" s="828">
        <v>0</v>
      </c>
      <c r="V18" s="828">
        <v>0</v>
      </c>
    </row>
    <row r="19" spans="1:22" s="448" customFormat="1" ht="13.5" customHeight="1" hidden="1">
      <c r="A19" s="832"/>
      <c r="B19" s="832"/>
      <c r="C19" s="902"/>
      <c r="D19" s="831"/>
      <c r="E19" s="899"/>
      <c r="F19" s="832"/>
      <c r="G19" s="447">
        <v>7724895</v>
      </c>
      <c r="H19" s="447">
        <v>6534895</v>
      </c>
      <c r="I19" s="895"/>
      <c r="J19" s="895"/>
      <c r="K19" s="828"/>
      <c r="L19" s="828"/>
      <c r="M19" s="895"/>
      <c r="N19" s="895"/>
      <c r="O19" s="828"/>
      <c r="P19" s="828"/>
      <c r="Q19" s="895"/>
      <c r="R19" s="828"/>
      <c r="S19" s="828"/>
      <c r="T19" s="895"/>
      <c r="U19" s="828"/>
      <c r="V19" s="828"/>
    </row>
    <row r="20" spans="1:22" s="448" customFormat="1" ht="13.5" customHeight="1" hidden="1">
      <c r="A20" s="832"/>
      <c r="B20" s="832"/>
      <c r="C20" s="902"/>
      <c r="D20" s="831"/>
      <c r="E20" s="899"/>
      <c r="F20" s="832"/>
      <c r="G20" s="447">
        <v>1363216</v>
      </c>
      <c r="H20" s="447">
        <v>1153216</v>
      </c>
      <c r="I20" s="449">
        <f>J20+M20</f>
        <v>0</v>
      </c>
      <c r="J20" s="449">
        <f>K20+L20</f>
        <v>0</v>
      </c>
      <c r="K20" s="428">
        <v>0</v>
      </c>
      <c r="L20" s="428">
        <v>0</v>
      </c>
      <c r="M20" s="449">
        <f>N20+Q20+T20</f>
        <v>0</v>
      </c>
      <c r="N20" s="449">
        <f>O20+P20</f>
        <v>0</v>
      </c>
      <c r="O20" s="428">
        <v>0</v>
      </c>
      <c r="P20" s="428">
        <v>0</v>
      </c>
      <c r="Q20" s="449">
        <f>R20+S20</f>
        <v>0</v>
      </c>
      <c r="R20" s="428">
        <v>0</v>
      </c>
      <c r="S20" s="428">
        <v>0</v>
      </c>
      <c r="T20" s="449">
        <f>U20+V20</f>
        <v>0</v>
      </c>
      <c r="U20" s="428">
        <v>0</v>
      </c>
      <c r="V20" s="428">
        <v>0</v>
      </c>
    </row>
    <row r="21" spans="1:22" s="448" customFormat="1" ht="13.5" customHeight="1" hidden="1">
      <c r="A21" s="832"/>
      <c r="B21" s="832"/>
      <c r="C21" s="902"/>
      <c r="D21" s="831"/>
      <c r="E21" s="899"/>
      <c r="F21" s="832"/>
      <c r="G21" s="447">
        <v>39</v>
      </c>
      <c r="H21" s="447">
        <v>39</v>
      </c>
      <c r="I21" s="895">
        <f>I18+I20</f>
        <v>1400000</v>
      </c>
      <c r="J21" s="895">
        <f aca="true" t="shared" si="0" ref="J21:V21">J18+J20</f>
        <v>1190000</v>
      </c>
      <c r="K21" s="828">
        <f t="shared" si="0"/>
        <v>1190000</v>
      </c>
      <c r="L21" s="828">
        <f t="shared" si="0"/>
        <v>0</v>
      </c>
      <c r="M21" s="895">
        <f t="shared" si="0"/>
        <v>210000</v>
      </c>
      <c r="N21" s="895">
        <f t="shared" si="0"/>
        <v>210000</v>
      </c>
      <c r="O21" s="828">
        <f t="shared" si="0"/>
        <v>210000</v>
      </c>
      <c r="P21" s="828">
        <f t="shared" si="0"/>
        <v>0</v>
      </c>
      <c r="Q21" s="895">
        <f t="shared" si="0"/>
        <v>0</v>
      </c>
      <c r="R21" s="828">
        <f t="shared" si="0"/>
        <v>0</v>
      </c>
      <c r="S21" s="828">
        <f t="shared" si="0"/>
        <v>0</v>
      </c>
      <c r="T21" s="895">
        <f t="shared" si="0"/>
        <v>0</v>
      </c>
      <c r="U21" s="828">
        <f t="shared" si="0"/>
        <v>0</v>
      </c>
      <c r="V21" s="828">
        <f t="shared" si="0"/>
        <v>0</v>
      </c>
    </row>
    <row r="22" spans="1:22" s="448" customFormat="1" ht="13.5" customHeight="1" hidden="1">
      <c r="A22" s="832"/>
      <c r="B22" s="832"/>
      <c r="C22" s="903"/>
      <c r="D22" s="831"/>
      <c r="E22" s="899"/>
      <c r="F22" s="832"/>
      <c r="G22" s="447">
        <v>0</v>
      </c>
      <c r="H22" s="447">
        <v>0</v>
      </c>
      <c r="I22" s="895"/>
      <c r="J22" s="895"/>
      <c r="K22" s="828"/>
      <c r="L22" s="828"/>
      <c r="M22" s="895"/>
      <c r="N22" s="895"/>
      <c r="O22" s="828"/>
      <c r="P22" s="828"/>
      <c r="Q22" s="895"/>
      <c r="R22" s="828"/>
      <c r="S22" s="828"/>
      <c r="T22" s="895"/>
      <c r="U22" s="828"/>
      <c r="V22" s="828"/>
    </row>
    <row r="23" spans="1:22" s="448" customFormat="1" ht="13.5" customHeight="1" hidden="1">
      <c r="A23" s="832">
        <v>2</v>
      </c>
      <c r="B23" s="832" t="s">
        <v>820</v>
      </c>
      <c r="C23" s="901" t="s">
        <v>824</v>
      </c>
      <c r="D23" s="831" t="s">
        <v>825</v>
      </c>
      <c r="E23" s="899" t="s">
        <v>822</v>
      </c>
      <c r="F23" s="832" t="s">
        <v>826</v>
      </c>
      <c r="G23" s="447">
        <f>G25+G24+G26+G27</f>
        <v>814900</v>
      </c>
      <c r="H23" s="447">
        <f>H25+H24+H26+H27</f>
        <v>19700</v>
      </c>
      <c r="I23" s="895">
        <f>J23+M23</f>
        <v>358800</v>
      </c>
      <c r="J23" s="895">
        <f>K23+L23</f>
        <v>274482</v>
      </c>
      <c r="K23" s="828">
        <v>274482</v>
      </c>
      <c r="L23" s="828">
        <v>0</v>
      </c>
      <c r="M23" s="895">
        <f>N23+Q23+T23</f>
        <v>84318</v>
      </c>
      <c r="N23" s="895">
        <f>O23+P23</f>
        <v>48438</v>
      </c>
      <c r="O23" s="828">
        <v>48438</v>
      </c>
      <c r="P23" s="828">
        <v>0</v>
      </c>
      <c r="Q23" s="895">
        <f>R23+S23</f>
        <v>35880</v>
      </c>
      <c r="R23" s="828">
        <v>35880</v>
      </c>
      <c r="S23" s="828">
        <v>0</v>
      </c>
      <c r="T23" s="895">
        <f>U23+V23</f>
        <v>0</v>
      </c>
      <c r="U23" s="828">
        <v>0</v>
      </c>
      <c r="V23" s="828">
        <v>0</v>
      </c>
    </row>
    <row r="24" spans="1:22" s="448" customFormat="1" ht="13.5" customHeight="1" hidden="1">
      <c r="A24" s="832"/>
      <c r="B24" s="832"/>
      <c r="C24" s="902"/>
      <c r="D24" s="831"/>
      <c r="E24" s="899"/>
      <c r="F24" s="832"/>
      <c r="G24" s="447">
        <v>623398</v>
      </c>
      <c r="H24" s="447">
        <v>15070</v>
      </c>
      <c r="I24" s="895"/>
      <c r="J24" s="895"/>
      <c r="K24" s="828"/>
      <c r="L24" s="828"/>
      <c r="M24" s="895"/>
      <c r="N24" s="895"/>
      <c r="O24" s="828"/>
      <c r="P24" s="828"/>
      <c r="Q24" s="895"/>
      <c r="R24" s="828"/>
      <c r="S24" s="828"/>
      <c r="T24" s="895"/>
      <c r="U24" s="828"/>
      <c r="V24" s="828"/>
    </row>
    <row r="25" spans="1:22" s="448" customFormat="1" ht="13.5" customHeight="1" hidden="1">
      <c r="A25" s="832"/>
      <c r="B25" s="832"/>
      <c r="C25" s="902"/>
      <c r="D25" s="831"/>
      <c r="E25" s="899"/>
      <c r="F25" s="832"/>
      <c r="G25" s="447">
        <v>110012</v>
      </c>
      <c r="H25" s="447">
        <v>2660</v>
      </c>
      <c r="I25" s="449">
        <f>J25+M25</f>
        <v>0</v>
      </c>
      <c r="J25" s="449">
        <f>K25+L25</f>
        <v>0</v>
      </c>
      <c r="K25" s="428">
        <v>0</v>
      </c>
      <c r="L25" s="428">
        <v>0</v>
      </c>
      <c r="M25" s="449">
        <f>N25+Q25+T25</f>
        <v>0</v>
      </c>
      <c r="N25" s="449">
        <f>O25+P25</f>
        <v>0</v>
      </c>
      <c r="O25" s="428">
        <v>0</v>
      </c>
      <c r="P25" s="428">
        <v>0</v>
      </c>
      <c r="Q25" s="449">
        <f>R25+S25</f>
        <v>0</v>
      </c>
      <c r="R25" s="428">
        <v>0</v>
      </c>
      <c r="S25" s="428">
        <v>0</v>
      </c>
      <c r="T25" s="449">
        <f>U25+V25</f>
        <v>0</v>
      </c>
      <c r="U25" s="428">
        <v>0</v>
      </c>
      <c r="V25" s="428">
        <v>0</v>
      </c>
    </row>
    <row r="26" spans="1:22" s="448" customFormat="1" ht="13.5" customHeight="1" hidden="1">
      <c r="A26" s="832"/>
      <c r="B26" s="832"/>
      <c r="C26" s="902"/>
      <c r="D26" s="831"/>
      <c r="E26" s="899"/>
      <c r="F26" s="832"/>
      <c r="G26" s="447">
        <v>81490</v>
      </c>
      <c r="H26" s="447">
        <v>1970</v>
      </c>
      <c r="I26" s="895">
        <f aca="true" t="shared" si="1" ref="I26:V26">I23+I25</f>
        <v>358800</v>
      </c>
      <c r="J26" s="895">
        <f t="shared" si="1"/>
        <v>274482</v>
      </c>
      <c r="K26" s="828">
        <f t="shared" si="1"/>
        <v>274482</v>
      </c>
      <c r="L26" s="828">
        <f t="shared" si="1"/>
        <v>0</v>
      </c>
      <c r="M26" s="895">
        <f t="shared" si="1"/>
        <v>84318</v>
      </c>
      <c r="N26" s="895">
        <f t="shared" si="1"/>
        <v>48438</v>
      </c>
      <c r="O26" s="828">
        <f t="shared" si="1"/>
        <v>48438</v>
      </c>
      <c r="P26" s="828">
        <f t="shared" si="1"/>
        <v>0</v>
      </c>
      <c r="Q26" s="895">
        <f t="shared" si="1"/>
        <v>35880</v>
      </c>
      <c r="R26" s="828">
        <f t="shared" si="1"/>
        <v>35880</v>
      </c>
      <c r="S26" s="828">
        <f t="shared" si="1"/>
        <v>0</v>
      </c>
      <c r="T26" s="895">
        <f t="shared" si="1"/>
        <v>0</v>
      </c>
      <c r="U26" s="828">
        <f t="shared" si="1"/>
        <v>0</v>
      </c>
      <c r="V26" s="828">
        <f t="shared" si="1"/>
        <v>0</v>
      </c>
    </row>
    <row r="27" spans="1:22" s="448" customFormat="1" ht="13.5" customHeight="1" hidden="1">
      <c r="A27" s="832"/>
      <c r="B27" s="832"/>
      <c r="C27" s="903"/>
      <c r="D27" s="831"/>
      <c r="E27" s="899"/>
      <c r="F27" s="832"/>
      <c r="G27" s="447">
        <v>0</v>
      </c>
      <c r="H27" s="447">
        <v>0</v>
      </c>
      <c r="I27" s="895"/>
      <c r="J27" s="895"/>
      <c r="K27" s="828"/>
      <c r="L27" s="828"/>
      <c r="M27" s="895"/>
      <c r="N27" s="895"/>
      <c r="O27" s="828"/>
      <c r="P27" s="828"/>
      <c r="Q27" s="895"/>
      <c r="R27" s="828"/>
      <c r="S27" s="828"/>
      <c r="T27" s="895"/>
      <c r="U27" s="828"/>
      <c r="V27" s="828"/>
    </row>
    <row r="28" spans="1:22" s="448" customFormat="1" ht="13.5" customHeight="1" hidden="1">
      <c r="A28" s="832">
        <v>3</v>
      </c>
      <c r="B28" s="836" t="s">
        <v>827</v>
      </c>
      <c r="C28" s="904" t="s">
        <v>828</v>
      </c>
      <c r="D28" s="831" t="s">
        <v>829</v>
      </c>
      <c r="E28" s="899" t="s">
        <v>725</v>
      </c>
      <c r="F28" s="832" t="s">
        <v>603</v>
      </c>
      <c r="G28" s="447">
        <f>G29+G30+G31+G32</f>
        <v>713161</v>
      </c>
      <c r="H28" s="447">
        <f>H29+H30+H31+H32</f>
        <v>541658</v>
      </c>
      <c r="I28" s="895">
        <f>J28+M28</f>
        <v>171503</v>
      </c>
      <c r="J28" s="895">
        <f>K28+L28</f>
        <v>140285</v>
      </c>
      <c r="K28" s="828">
        <v>140285</v>
      </c>
      <c r="L28" s="828">
        <v>0</v>
      </c>
      <c r="M28" s="895">
        <f>N28+Q28+T28</f>
        <v>31218</v>
      </c>
      <c r="N28" s="895">
        <f>O28+P28</f>
        <v>17198</v>
      </c>
      <c r="O28" s="828">
        <v>17198</v>
      </c>
      <c r="P28" s="828">
        <v>0</v>
      </c>
      <c r="Q28" s="895">
        <f>R28+S28</f>
        <v>14020</v>
      </c>
      <c r="R28" s="828">
        <v>14020</v>
      </c>
      <c r="S28" s="828">
        <v>0</v>
      </c>
      <c r="T28" s="895">
        <f>U28+V28</f>
        <v>0</v>
      </c>
      <c r="U28" s="828">
        <v>0</v>
      </c>
      <c r="V28" s="828">
        <v>0</v>
      </c>
    </row>
    <row r="29" spans="1:22" s="448" customFormat="1" ht="13.5" customHeight="1" hidden="1">
      <c r="A29" s="832"/>
      <c r="B29" s="837"/>
      <c r="C29" s="904"/>
      <c r="D29" s="831"/>
      <c r="E29" s="899"/>
      <c r="F29" s="832"/>
      <c r="G29" s="447">
        <v>587227</v>
      </c>
      <c r="H29" s="447">
        <v>446942</v>
      </c>
      <c r="I29" s="895"/>
      <c r="J29" s="895"/>
      <c r="K29" s="828"/>
      <c r="L29" s="828"/>
      <c r="M29" s="895"/>
      <c r="N29" s="895"/>
      <c r="O29" s="828"/>
      <c r="P29" s="828"/>
      <c r="Q29" s="895"/>
      <c r="R29" s="828"/>
      <c r="S29" s="828"/>
      <c r="T29" s="895"/>
      <c r="U29" s="828"/>
      <c r="V29" s="828"/>
    </row>
    <row r="30" spans="1:22" s="448" customFormat="1" ht="13.5" customHeight="1" hidden="1">
      <c r="A30" s="832"/>
      <c r="B30" s="837"/>
      <c r="C30" s="904"/>
      <c r="D30" s="831"/>
      <c r="E30" s="899"/>
      <c r="F30" s="832"/>
      <c r="G30" s="447">
        <v>71987</v>
      </c>
      <c r="H30" s="447">
        <v>54789</v>
      </c>
      <c r="I30" s="449">
        <f>J30+M30</f>
        <v>0</v>
      </c>
      <c r="J30" s="449">
        <f>K30+L30</f>
        <v>0</v>
      </c>
      <c r="K30" s="428">
        <v>0</v>
      </c>
      <c r="L30" s="428">
        <v>0</v>
      </c>
      <c r="M30" s="449">
        <f>N30+Q30+T30</f>
        <v>0</v>
      </c>
      <c r="N30" s="449">
        <f>O30+P30</f>
        <v>0</v>
      </c>
      <c r="O30" s="428">
        <v>0</v>
      </c>
      <c r="P30" s="428">
        <v>0</v>
      </c>
      <c r="Q30" s="449">
        <f>R30+S30</f>
        <v>0</v>
      </c>
      <c r="R30" s="428">
        <v>0</v>
      </c>
      <c r="S30" s="428">
        <v>0</v>
      </c>
      <c r="T30" s="449">
        <f>U30+V30</f>
        <v>0</v>
      </c>
      <c r="U30" s="428">
        <v>0</v>
      </c>
      <c r="V30" s="428">
        <v>0</v>
      </c>
    </row>
    <row r="31" spans="1:22" s="448" customFormat="1" ht="13.5" customHeight="1" hidden="1">
      <c r="A31" s="832"/>
      <c r="B31" s="837"/>
      <c r="C31" s="904"/>
      <c r="D31" s="831"/>
      <c r="E31" s="899"/>
      <c r="F31" s="832"/>
      <c r="G31" s="447">
        <v>53947</v>
      </c>
      <c r="H31" s="447">
        <v>39927</v>
      </c>
      <c r="I31" s="895">
        <f aca="true" t="shared" si="2" ref="I31:V31">I28+I30</f>
        <v>171503</v>
      </c>
      <c r="J31" s="895">
        <f t="shared" si="2"/>
        <v>140285</v>
      </c>
      <c r="K31" s="828">
        <f t="shared" si="2"/>
        <v>140285</v>
      </c>
      <c r="L31" s="828">
        <f t="shared" si="2"/>
        <v>0</v>
      </c>
      <c r="M31" s="895">
        <f t="shared" si="2"/>
        <v>31218</v>
      </c>
      <c r="N31" s="895">
        <f t="shared" si="2"/>
        <v>17198</v>
      </c>
      <c r="O31" s="828">
        <f t="shared" si="2"/>
        <v>17198</v>
      </c>
      <c r="P31" s="828">
        <f t="shared" si="2"/>
        <v>0</v>
      </c>
      <c r="Q31" s="895">
        <f t="shared" si="2"/>
        <v>14020</v>
      </c>
      <c r="R31" s="828">
        <f t="shared" si="2"/>
        <v>14020</v>
      </c>
      <c r="S31" s="828">
        <f t="shared" si="2"/>
        <v>0</v>
      </c>
      <c r="T31" s="895">
        <f t="shared" si="2"/>
        <v>0</v>
      </c>
      <c r="U31" s="828">
        <f t="shared" si="2"/>
        <v>0</v>
      </c>
      <c r="V31" s="828">
        <f t="shared" si="2"/>
        <v>0</v>
      </c>
    </row>
    <row r="32" spans="1:22" s="448" customFormat="1" ht="13.5" customHeight="1" hidden="1">
      <c r="A32" s="832"/>
      <c r="B32" s="838"/>
      <c r="C32" s="904"/>
      <c r="D32" s="831"/>
      <c r="E32" s="899"/>
      <c r="F32" s="832"/>
      <c r="G32" s="447">
        <v>0</v>
      </c>
      <c r="H32" s="447">
        <v>0</v>
      </c>
      <c r="I32" s="895"/>
      <c r="J32" s="895"/>
      <c r="K32" s="828"/>
      <c r="L32" s="828"/>
      <c r="M32" s="895"/>
      <c r="N32" s="895"/>
      <c r="O32" s="828"/>
      <c r="P32" s="828"/>
      <c r="Q32" s="895"/>
      <c r="R32" s="828"/>
      <c r="S32" s="828"/>
      <c r="T32" s="895"/>
      <c r="U32" s="828"/>
      <c r="V32" s="828"/>
    </row>
    <row r="33" spans="1:22" s="448" customFormat="1" ht="13.5" customHeight="1" hidden="1">
      <c r="A33" s="832">
        <v>4</v>
      </c>
      <c r="B33" s="836" t="s">
        <v>830</v>
      </c>
      <c r="C33" s="901" t="s">
        <v>831</v>
      </c>
      <c r="D33" s="831" t="s">
        <v>832</v>
      </c>
      <c r="E33" s="899" t="s">
        <v>697</v>
      </c>
      <c r="F33" s="832" t="s">
        <v>662</v>
      </c>
      <c r="G33" s="447">
        <f>G34+G35+G36+G37</f>
        <v>7350762</v>
      </c>
      <c r="H33" s="447">
        <f>H34+H35+H36+H37</f>
        <v>2478430</v>
      </c>
      <c r="I33" s="895">
        <f>J33+M33</f>
        <v>3228000</v>
      </c>
      <c r="J33" s="895">
        <f>K33+L33</f>
        <v>0</v>
      </c>
      <c r="K33" s="828">
        <v>0</v>
      </c>
      <c r="L33" s="828">
        <v>0</v>
      </c>
      <c r="M33" s="895">
        <f>N33+Q33+T33</f>
        <v>3228000</v>
      </c>
      <c r="N33" s="895">
        <f>O33+P33</f>
        <v>3228000</v>
      </c>
      <c r="O33" s="828">
        <v>3228000</v>
      </c>
      <c r="P33" s="828">
        <v>0</v>
      </c>
      <c r="Q33" s="895">
        <f>R33+S33</f>
        <v>0</v>
      </c>
      <c r="R33" s="828">
        <v>0</v>
      </c>
      <c r="S33" s="828">
        <v>0</v>
      </c>
      <c r="T33" s="895">
        <f>U33+V33</f>
        <v>0</v>
      </c>
      <c r="U33" s="828">
        <v>0</v>
      </c>
      <c r="V33" s="828">
        <v>0</v>
      </c>
    </row>
    <row r="34" spans="1:22" s="448" customFormat="1" ht="13.5" customHeight="1" hidden="1">
      <c r="A34" s="832"/>
      <c r="B34" s="837"/>
      <c r="C34" s="902"/>
      <c r="D34" s="831"/>
      <c r="E34" s="899"/>
      <c r="F34" s="832"/>
      <c r="G34" s="447">
        <v>0</v>
      </c>
      <c r="H34" s="447">
        <v>0</v>
      </c>
      <c r="I34" s="895"/>
      <c r="J34" s="895"/>
      <c r="K34" s="828"/>
      <c r="L34" s="828"/>
      <c r="M34" s="895"/>
      <c r="N34" s="895"/>
      <c r="O34" s="828"/>
      <c r="P34" s="828"/>
      <c r="Q34" s="895"/>
      <c r="R34" s="828"/>
      <c r="S34" s="828"/>
      <c r="T34" s="895"/>
      <c r="U34" s="828"/>
      <c r="V34" s="828"/>
    </row>
    <row r="35" spans="1:22" s="448" customFormat="1" ht="13.5" customHeight="1" hidden="1">
      <c r="A35" s="832"/>
      <c r="B35" s="837"/>
      <c r="C35" s="902"/>
      <c r="D35" s="831"/>
      <c r="E35" s="899"/>
      <c r="F35" s="832"/>
      <c r="G35" s="447">
        <v>7350762</v>
      </c>
      <c r="H35" s="447">
        <v>2478430</v>
      </c>
      <c r="I35" s="449">
        <f>J35+M35</f>
        <v>0</v>
      </c>
      <c r="J35" s="449">
        <f>K35+L35</f>
        <v>0</v>
      </c>
      <c r="K35" s="428">
        <v>0</v>
      </c>
      <c r="L35" s="428">
        <v>0</v>
      </c>
      <c r="M35" s="449">
        <f>N35+Q35+T35</f>
        <v>0</v>
      </c>
      <c r="N35" s="449">
        <f>O35+P35</f>
        <v>0</v>
      </c>
      <c r="O35" s="428">
        <v>0</v>
      </c>
      <c r="P35" s="428">
        <v>0</v>
      </c>
      <c r="Q35" s="449">
        <f>R35+S35</f>
        <v>0</v>
      </c>
      <c r="R35" s="428">
        <v>0</v>
      </c>
      <c r="S35" s="428">
        <v>0</v>
      </c>
      <c r="T35" s="449">
        <f>U35+V35</f>
        <v>0</v>
      </c>
      <c r="U35" s="428">
        <v>0</v>
      </c>
      <c r="V35" s="428">
        <v>0</v>
      </c>
    </row>
    <row r="36" spans="1:22" s="448" customFormat="1" ht="13.5" customHeight="1" hidden="1">
      <c r="A36" s="832"/>
      <c r="B36" s="837"/>
      <c r="C36" s="902"/>
      <c r="D36" s="831"/>
      <c r="E36" s="899"/>
      <c r="F36" s="832"/>
      <c r="G36" s="447">
        <v>0</v>
      </c>
      <c r="H36" s="447">
        <v>0</v>
      </c>
      <c r="I36" s="895">
        <f aca="true" t="shared" si="3" ref="I36:V36">I33+I35</f>
        <v>3228000</v>
      </c>
      <c r="J36" s="895">
        <f t="shared" si="3"/>
        <v>0</v>
      </c>
      <c r="K36" s="828">
        <f t="shared" si="3"/>
        <v>0</v>
      </c>
      <c r="L36" s="828">
        <f t="shared" si="3"/>
        <v>0</v>
      </c>
      <c r="M36" s="895">
        <f t="shared" si="3"/>
        <v>3228000</v>
      </c>
      <c r="N36" s="895">
        <f t="shared" si="3"/>
        <v>3228000</v>
      </c>
      <c r="O36" s="828">
        <f t="shared" si="3"/>
        <v>3228000</v>
      </c>
      <c r="P36" s="828">
        <f t="shared" si="3"/>
        <v>0</v>
      </c>
      <c r="Q36" s="895">
        <f t="shared" si="3"/>
        <v>0</v>
      </c>
      <c r="R36" s="828">
        <f t="shared" si="3"/>
        <v>0</v>
      </c>
      <c r="S36" s="828">
        <f t="shared" si="3"/>
        <v>0</v>
      </c>
      <c r="T36" s="895">
        <f t="shared" si="3"/>
        <v>0</v>
      </c>
      <c r="U36" s="828">
        <f t="shared" si="3"/>
        <v>0</v>
      </c>
      <c r="V36" s="828">
        <f t="shared" si="3"/>
        <v>0</v>
      </c>
    </row>
    <row r="37" spans="1:22" s="448" customFormat="1" ht="13.5" customHeight="1" hidden="1">
      <c r="A37" s="832"/>
      <c r="B37" s="838"/>
      <c r="C37" s="903"/>
      <c r="D37" s="831"/>
      <c r="E37" s="899"/>
      <c r="F37" s="832"/>
      <c r="G37" s="447">
        <v>0</v>
      </c>
      <c r="H37" s="447">
        <v>0</v>
      </c>
      <c r="I37" s="895"/>
      <c r="J37" s="895"/>
      <c r="K37" s="828"/>
      <c r="L37" s="828"/>
      <c r="M37" s="895"/>
      <c r="N37" s="895"/>
      <c r="O37" s="828"/>
      <c r="P37" s="828"/>
      <c r="Q37" s="895"/>
      <c r="R37" s="828"/>
      <c r="S37" s="828"/>
      <c r="T37" s="895"/>
      <c r="U37" s="828"/>
      <c r="V37" s="828"/>
    </row>
    <row r="38" spans="1:22" s="448" customFormat="1" ht="13.5" customHeight="1">
      <c r="A38" s="832">
        <v>1</v>
      </c>
      <c r="B38" s="836" t="s">
        <v>833</v>
      </c>
      <c r="C38" s="901" t="s">
        <v>834</v>
      </c>
      <c r="D38" s="831" t="s">
        <v>835</v>
      </c>
      <c r="E38" s="899" t="s">
        <v>702</v>
      </c>
      <c r="F38" s="832" t="s">
        <v>637</v>
      </c>
      <c r="G38" s="447">
        <f>G40+G39+G41+G42</f>
        <v>11977480</v>
      </c>
      <c r="H38" s="447">
        <f>H40+H39+H41+H42</f>
        <v>5302952</v>
      </c>
      <c r="I38" s="895">
        <f>J38+M38</f>
        <v>3810530</v>
      </c>
      <c r="J38" s="895">
        <f>K38+L38</f>
        <v>3211513</v>
      </c>
      <c r="K38" s="828">
        <v>3211513</v>
      </c>
      <c r="L38" s="828">
        <v>0</v>
      </c>
      <c r="M38" s="895">
        <f>N38+Q38+T38</f>
        <v>599017</v>
      </c>
      <c r="N38" s="895">
        <f>O38+P38</f>
        <v>599017</v>
      </c>
      <c r="O38" s="828">
        <v>599017</v>
      </c>
      <c r="P38" s="828">
        <v>0</v>
      </c>
      <c r="Q38" s="895">
        <f>R38+S38</f>
        <v>0</v>
      </c>
      <c r="R38" s="828">
        <v>0</v>
      </c>
      <c r="S38" s="828">
        <v>0</v>
      </c>
      <c r="T38" s="895">
        <f>U38+V38</f>
        <v>0</v>
      </c>
      <c r="U38" s="828">
        <v>0</v>
      </c>
      <c r="V38" s="828">
        <v>0</v>
      </c>
    </row>
    <row r="39" spans="1:22" s="448" customFormat="1" ht="13.5" customHeight="1">
      <c r="A39" s="832"/>
      <c r="B39" s="837"/>
      <c r="C39" s="902"/>
      <c r="D39" s="831"/>
      <c r="E39" s="899"/>
      <c r="F39" s="832"/>
      <c r="G39" s="447">
        <v>10094620</v>
      </c>
      <c r="H39" s="447">
        <v>4469327</v>
      </c>
      <c r="I39" s="895"/>
      <c r="J39" s="895"/>
      <c r="K39" s="828"/>
      <c r="L39" s="828"/>
      <c r="M39" s="895"/>
      <c r="N39" s="895"/>
      <c r="O39" s="828"/>
      <c r="P39" s="828"/>
      <c r="Q39" s="895"/>
      <c r="R39" s="828"/>
      <c r="S39" s="828"/>
      <c r="T39" s="895"/>
      <c r="U39" s="828"/>
      <c r="V39" s="828"/>
    </row>
    <row r="40" spans="1:22" s="448" customFormat="1" ht="13.5" customHeight="1">
      <c r="A40" s="832"/>
      <c r="B40" s="837"/>
      <c r="C40" s="902"/>
      <c r="D40" s="831"/>
      <c r="E40" s="899"/>
      <c r="F40" s="832"/>
      <c r="G40" s="447">
        <v>1882860</v>
      </c>
      <c r="H40" s="447">
        <v>833625</v>
      </c>
      <c r="I40" s="449">
        <f>J40+M40</f>
        <v>2182757</v>
      </c>
      <c r="J40" s="449">
        <f>K40+L40</f>
        <v>1839628</v>
      </c>
      <c r="K40" s="428">
        <v>1839628</v>
      </c>
      <c r="L40" s="428">
        <v>0</v>
      </c>
      <c r="M40" s="449">
        <f>N40+Q40+T40</f>
        <v>343129</v>
      </c>
      <c r="N40" s="449">
        <f>O40+P40</f>
        <v>343129</v>
      </c>
      <c r="O40" s="428">
        <v>343129</v>
      </c>
      <c r="P40" s="428">
        <v>0</v>
      </c>
      <c r="Q40" s="449">
        <f>R40+S40</f>
        <v>0</v>
      </c>
      <c r="R40" s="428">
        <v>0</v>
      </c>
      <c r="S40" s="428">
        <v>0</v>
      </c>
      <c r="T40" s="449">
        <f>U40+V40</f>
        <v>0</v>
      </c>
      <c r="U40" s="428">
        <v>0</v>
      </c>
      <c r="V40" s="428">
        <v>0</v>
      </c>
    </row>
    <row r="41" spans="1:22" s="448" customFormat="1" ht="13.5" customHeight="1">
      <c r="A41" s="832"/>
      <c r="B41" s="837"/>
      <c r="C41" s="902"/>
      <c r="D41" s="831"/>
      <c r="E41" s="899"/>
      <c r="F41" s="832"/>
      <c r="G41" s="447">
        <v>0</v>
      </c>
      <c r="H41" s="447">
        <v>0</v>
      </c>
      <c r="I41" s="895">
        <f aca="true" t="shared" si="4" ref="I41:V41">I38+I40</f>
        <v>5993287</v>
      </c>
      <c r="J41" s="895">
        <f t="shared" si="4"/>
        <v>5051141</v>
      </c>
      <c r="K41" s="828">
        <f t="shared" si="4"/>
        <v>5051141</v>
      </c>
      <c r="L41" s="828">
        <f t="shared" si="4"/>
        <v>0</v>
      </c>
      <c r="M41" s="895">
        <f t="shared" si="4"/>
        <v>942146</v>
      </c>
      <c r="N41" s="895">
        <f t="shared" si="4"/>
        <v>942146</v>
      </c>
      <c r="O41" s="828">
        <f t="shared" si="4"/>
        <v>942146</v>
      </c>
      <c r="P41" s="828">
        <f t="shared" si="4"/>
        <v>0</v>
      </c>
      <c r="Q41" s="895">
        <f t="shared" si="4"/>
        <v>0</v>
      </c>
      <c r="R41" s="828">
        <f t="shared" si="4"/>
        <v>0</v>
      </c>
      <c r="S41" s="828">
        <f t="shared" si="4"/>
        <v>0</v>
      </c>
      <c r="T41" s="895">
        <f t="shared" si="4"/>
        <v>0</v>
      </c>
      <c r="U41" s="828">
        <f t="shared" si="4"/>
        <v>0</v>
      </c>
      <c r="V41" s="828">
        <f t="shared" si="4"/>
        <v>0</v>
      </c>
    </row>
    <row r="42" spans="1:22" s="448" customFormat="1" ht="13.5" customHeight="1">
      <c r="A42" s="832"/>
      <c r="B42" s="838"/>
      <c r="C42" s="903"/>
      <c r="D42" s="831"/>
      <c r="E42" s="899"/>
      <c r="F42" s="832"/>
      <c r="G42" s="447">
        <v>0</v>
      </c>
      <c r="H42" s="447">
        <v>0</v>
      </c>
      <c r="I42" s="895"/>
      <c r="J42" s="895"/>
      <c r="K42" s="828"/>
      <c r="L42" s="828"/>
      <c r="M42" s="895"/>
      <c r="N42" s="895"/>
      <c r="O42" s="828"/>
      <c r="P42" s="828"/>
      <c r="Q42" s="895"/>
      <c r="R42" s="828"/>
      <c r="S42" s="828"/>
      <c r="T42" s="895"/>
      <c r="U42" s="828"/>
      <c r="V42" s="828"/>
    </row>
    <row r="43" spans="1:22" s="448" customFormat="1" ht="13.5" customHeight="1" hidden="1">
      <c r="A43" s="900">
        <v>1</v>
      </c>
      <c r="B43" s="836" t="s">
        <v>836</v>
      </c>
      <c r="C43" s="901" t="s">
        <v>837</v>
      </c>
      <c r="D43" s="831" t="s">
        <v>838</v>
      </c>
      <c r="E43" s="899" t="s">
        <v>725</v>
      </c>
      <c r="F43" s="832" t="s">
        <v>619</v>
      </c>
      <c r="G43" s="447">
        <f>G44+G45+G46+G47</f>
        <v>51143</v>
      </c>
      <c r="H43" s="447">
        <f>H44+H45+H46+H47</f>
        <v>22687</v>
      </c>
      <c r="I43" s="895">
        <f>J43+M43</f>
        <v>28456</v>
      </c>
      <c r="J43" s="895">
        <f>K43+L43</f>
        <v>23983</v>
      </c>
      <c r="K43" s="828">
        <v>23983</v>
      </c>
      <c r="L43" s="828">
        <v>0</v>
      </c>
      <c r="M43" s="895">
        <f>N43+Q43+T43</f>
        <v>4473</v>
      </c>
      <c r="N43" s="895">
        <f>O43+P43</f>
        <v>4473</v>
      </c>
      <c r="O43" s="828">
        <v>4473</v>
      </c>
      <c r="P43" s="828">
        <v>0</v>
      </c>
      <c r="Q43" s="895">
        <f>R43+S43</f>
        <v>0</v>
      </c>
      <c r="R43" s="828">
        <v>0</v>
      </c>
      <c r="S43" s="828">
        <v>0</v>
      </c>
      <c r="T43" s="895">
        <f>U43+V43</f>
        <v>0</v>
      </c>
      <c r="U43" s="828">
        <v>0</v>
      </c>
      <c r="V43" s="828">
        <v>0</v>
      </c>
    </row>
    <row r="44" spans="1:22" s="448" customFormat="1" ht="13.5" customHeight="1" hidden="1">
      <c r="A44" s="900"/>
      <c r="B44" s="837"/>
      <c r="C44" s="902"/>
      <c r="D44" s="831"/>
      <c r="E44" s="899"/>
      <c r="F44" s="832"/>
      <c r="G44" s="447">
        <v>43103</v>
      </c>
      <c r="H44" s="447">
        <v>19120</v>
      </c>
      <c r="I44" s="895"/>
      <c r="J44" s="895"/>
      <c r="K44" s="828"/>
      <c r="L44" s="828"/>
      <c r="M44" s="895"/>
      <c r="N44" s="895"/>
      <c r="O44" s="828"/>
      <c r="P44" s="828"/>
      <c r="Q44" s="895"/>
      <c r="R44" s="828"/>
      <c r="S44" s="828"/>
      <c r="T44" s="895"/>
      <c r="U44" s="828"/>
      <c r="V44" s="828"/>
    </row>
    <row r="45" spans="1:22" s="448" customFormat="1" ht="13.5" customHeight="1" hidden="1">
      <c r="A45" s="900"/>
      <c r="B45" s="837"/>
      <c r="C45" s="902"/>
      <c r="D45" s="831"/>
      <c r="E45" s="899"/>
      <c r="F45" s="832"/>
      <c r="G45" s="447">
        <v>8040</v>
      </c>
      <c r="H45" s="447">
        <v>3567</v>
      </c>
      <c r="I45" s="449">
        <f>J45+M45</f>
        <v>0</v>
      </c>
      <c r="J45" s="449">
        <f>K45+L45</f>
        <v>0</v>
      </c>
      <c r="K45" s="428">
        <v>0</v>
      </c>
      <c r="L45" s="428">
        <v>0</v>
      </c>
      <c r="M45" s="449">
        <f>N45+Q45+T45</f>
        <v>0</v>
      </c>
      <c r="N45" s="449">
        <f>O45+P45</f>
        <v>0</v>
      </c>
      <c r="O45" s="428">
        <v>0</v>
      </c>
      <c r="P45" s="428">
        <v>0</v>
      </c>
      <c r="Q45" s="449">
        <f>R45+S45</f>
        <v>0</v>
      </c>
      <c r="R45" s="428">
        <v>0</v>
      </c>
      <c r="S45" s="428">
        <v>0</v>
      </c>
      <c r="T45" s="449">
        <f>U45+V45</f>
        <v>0</v>
      </c>
      <c r="U45" s="428">
        <v>0</v>
      </c>
      <c r="V45" s="428">
        <v>0</v>
      </c>
    </row>
    <row r="46" spans="1:22" s="448" customFormat="1" ht="13.5" customHeight="1" hidden="1">
      <c r="A46" s="900"/>
      <c r="B46" s="837"/>
      <c r="C46" s="902"/>
      <c r="D46" s="831"/>
      <c r="E46" s="899"/>
      <c r="F46" s="832"/>
      <c r="G46" s="447">
        <v>0</v>
      </c>
      <c r="H46" s="447">
        <v>0</v>
      </c>
      <c r="I46" s="895">
        <f aca="true" t="shared" si="5" ref="I46:V46">I43+I45</f>
        <v>28456</v>
      </c>
      <c r="J46" s="895">
        <f t="shared" si="5"/>
        <v>23983</v>
      </c>
      <c r="K46" s="828">
        <f t="shared" si="5"/>
        <v>23983</v>
      </c>
      <c r="L46" s="828">
        <f t="shared" si="5"/>
        <v>0</v>
      </c>
      <c r="M46" s="895">
        <f t="shared" si="5"/>
        <v>4473</v>
      </c>
      <c r="N46" s="895">
        <f t="shared" si="5"/>
        <v>4473</v>
      </c>
      <c r="O46" s="828">
        <f t="shared" si="5"/>
        <v>4473</v>
      </c>
      <c r="P46" s="828">
        <f t="shared" si="5"/>
        <v>0</v>
      </c>
      <c r="Q46" s="895">
        <f t="shared" si="5"/>
        <v>0</v>
      </c>
      <c r="R46" s="828">
        <f t="shared" si="5"/>
        <v>0</v>
      </c>
      <c r="S46" s="828">
        <f t="shared" si="5"/>
        <v>0</v>
      </c>
      <c r="T46" s="895">
        <f t="shared" si="5"/>
        <v>0</v>
      </c>
      <c r="U46" s="828">
        <f t="shared" si="5"/>
        <v>0</v>
      </c>
      <c r="V46" s="828">
        <f t="shared" si="5"/>
        <v>0</v>
      </c>
    </row>
    <row r="47" spans="1:22" s="448" customFormat="1" ht="13.5" customHeight="1" hidden="1">
      <c r="A47" s="900"/>
      <c r="B47" s="838"/>
      <c r="C47" s="903"/>
      <c r="D47" s="831"/>
      <c r="E47" s="899"/>
      <c r="F47" s="832"/>
      <c r="G47" s="447">
        <v>0</v>
      </c>
      <c r="H47" s="447">
        <v>0</v>
      </c>
      <c r="I47" s="895"/>
      <c r="J47" s="895"/>
      <c r="K47" s="828"/>
      <c r="L47" s="828"/>
      <c r="M47" s="895"/>
      <c r="N47" s="895"/>
      <c r="O47" s="828"/>
      <c r="P47" s="828"/>
      <c r="Q47" s="895"/>
      <c r="R47" s="828"/>
      <c r="S47" s="828"/>
      <c r="T47" s="895"/>
      <c r="U47" s="828"/>
      <c r="V47" s="828"/>
    </row>
    <row r="48" spans="1:22" s="448" customFormat="1" ht="13.5" customHeight="1" hidden="1">
      <c r="A48" s="832">
        <v>7</v>
      </c>
      <c r="B48" s="836" t="s">
        <v>839</v>
      </c>
      <c r="C48" s="901" t="s">
        <v>840</v>
      </c>
      <c r="D48" s="831" t="s">
        <v>239</v>
      </c>
      <c r="E48" s="899" t="s">
        <v>822</v>
      </c>
      <c r="F48" s="832" t="s">
        <v>722</v>
      </c>
      <c r="G48" s="447">
        <f>G49+G50+G51+G52</f>
        <v>326482</v>
      </c>
      <c r="H48" s="447">
        <f>H49+H50+H51+H52</f>
        <v>0</v>
      </c>
      <c r="I48" s="895">
        <f>J48+M48</f>
        <v>174214</v>
      </c>
      <c r="J48" s="895">
        <f>K48+L48</f>
        <v>163142</v>
      </c>
      <c r="K48" s="828">
        <v>163142</v>
      </c>
      <c r="L48" s="828">
        <v>0</v>
      </c>
      <c r="M48" s="895">
        <f>N48+Q48+T48</f>
        <v>11072</v>
      </c>
      <c r="N48" s="895">
        <f>O48+P48</f>
        <v>11072</v>
      </c>
      <c r="O48" s="828">
        <v>11072</v>
      </c>
      <c r="P48" s="828">
        <v>0</v>
      </c>
      <c r="Q48" s="895">
        <f>R48+S48</f>
        <v>0</v>
      </c>
      <c r="R48" s="828">
        <v>0</v>
      </c>
      <c r="S48" s="828">
        <v>0</v>
      </c>
      <c r="T48" s="895">
        <f>U48+V48</f>
        <v>0</v>
      </c>
      <c r="U48" s="828">
        <v>0</v>
      </c>
      <c r="V48" s="828">
        <v>0</v>
      </c>
    </row>
    <row r="49" spans="1:22" s="448" customFormat="1" ht="13.5" customHeight="1" hidden="1">
      <c r="A49" s="832"/>
      <c r="B49" s="837"/>
      <c r="C49" s="902"/>
      <c r="D49" s="831"/>
      <c r="E49" s="899"/>
      <c r="F49" s="832"/>
      <c r="G49" s="447">
        <v>305736</v>
      </c>
      <c r="H49" s="447">
        <v>0</v>
      </c>
      <c r="I49" s="895"/>
      <c r="J49" s="895"/>
      <c r="K49" s="828"/>
      <c r="L49" s="828"/>
      <c r="M49" s="895"/>
      <c r="N49" s="895"/>
      <c r="O49" s="828"/>
      <c r="P49" s="828"/>
      <c r="Q49" s="895"/>
      <c r="R49" s="828"/>
      <c r="S49" s="828"/>
      <c r="T49" s="895"/>
      <c r="U49" s="828"/>
      <c r="V49" s="828"/>
    </row>
    <row r="50" spans="1:22" s="448" customFormat="1" ht="13.5" customHeight="1" hidden="1">
      <c r="A50" s="832"/>
      <c r="B50" s="837"/>
      <c r="C50" s="902"/>
      <c r="D50" s="831"/>
      <c r="E50" s="899"/>
      <c r="F50" s="832"/>
      <c r="G50" s="447">
        <v>20746</v>
      </c>
      <c r="H50" s="447">
        <v>0</v>
      </c>
      <c r="I50" s="449">
        <f>J50+M50</f>
        <v>0</v>
      </c>
      <c r="J50" s="449">
        <f>K50+L50</f>
        <v>0</v>
      </c>
      <c r="K50" s="428">
        <v>0</v>
      </c>
      <c r="L50" s="428">
        <v>0</v>
      </c>
      <c r="M50" s="449">
        <f>N50+Q50+T50</f>
        <v>0</v>
      </c>
      <c r="N50" s="449">
        <f>O50+P50</f>
        <v>0</v>
      </c>
      <c r="O50" s="428">
        <v>0</v>
      </c>
      <c r="P50" s="428">
        <v>0</v>
      </c>
      <c r="Q50" s="449">
        <f>R50+S50</f>
        <v>0</v>
      </c>
      <c r="R50" s="428">
        <v>0</v>
      </c>
      <c r="S50" s="428">
        <v>0</v>
      </c>
      <c r="T50" s="449">
        <f>U50+V50</f>
        <v>0</v>
      </c>
      <c r="U50" s="428">
        <v>0</v>
      </c>
      <c r="V50" s="428">
        <v>0</v>
      </c>
    </row>
    <row r="51" spans="1:22" s="448" customFormat="1" ht="13.5" customHeight="1" hidden="1">
      <c r="A51" s="832"/>
      <c r="B51" s="837"/>
      <c r="C51" s="902"/>
      <c r="D51" s="831"/>
      <c r="E51" s="899"/>
      <c r="F51" s="832"/>
      <c r="G51" s="447">
        <v>0</v>
      </c>
      <c r="H51" s="447">
        <v>0</v>
      </c>
      <c r="I51" s="895">
        <f aca="true" t="shared" si="6" ref="I51:V51">I48+I50</f>
        <v>174214</v>
      </c>
      <c r="J51" s="895">
        <f t="shared" si="6"/>
        <v>163142</v>
      </c>
      <c r="K51" s="828">
        <f t="shared" si="6"/>
        <v>163142</v>
      </c>
      <c r="L51" s="828">
        <f t="shared" si="6"/>
        <v>0</v>
      </c>
      <c r="M51" s="895">
        <f t="shared" si="6"/>
        <v>11072</v>
      </c>
      <c r="N51" s="895">
        <f t="shared" si="6"/>
        <v>11072</v>
      </c>
      <c r="O51" s="828">
        <f t="shared" si="6"/>
        <v>11072</v>
      </c>
      <c r="P51" s="828">
        <f t="shared" si="6"/>
        <v>0</v>
      </c>
      <c r="Q51" s="895">
        <f t="shared" si="6"/>
        <v>0</v>
      </c>
      <c r="R51" s="828">
        <f t="shared" si="6"/>
        <v>0</v>
      </c>
      <c r="S51" s="828">
        <f t="shared" si="6"/>
        <v>0</v>
      </c>
      <c r="T51" s="895">
        <f t="shared" si="6"/>
        <v>0</v>
      </c>
      <c r="U51" s="828">
        <f t="shared" si="6"/>
        <v>0</v>
      </c>
      <c r="V51" s="828">
        <f t="shared" si="6"/>
        <v>0</v>
      </c>
    </row>
    <row r="52" spans="1:22" s="448" customFormat="1" ht="13.5" customHeight="1" hidden="1">
      <c r="A52" s="832"/>
      <c r="B52" s="838"/>
      <c r="C52" s="903"/>
      <c r="D52" s="831"/>
      <c r="E52" s="899"/>
      <c r="F52" s="832"/>
      <c r="G52" s="447">
        <v>0</v>
      </c>
      <c r="H52" s="447">
        <v>0</v>
      </c>
      <c r="I52" s="895"/>
      <c r="J52" s="895"/>
      <c r="K52" s="828"/>
      <c r="L52" s="828"/>
      <c r="M52" s="895"/>
      <c r="N52" s="895"/>
      <c r="O52" s="828"/>
      <c r="P52" s="828"/>
      <c r="Q52" s="895"/>
      <c r="R52" s="828"/>
      <c r="S52" s="828"/>
      <c r="T52" s="895"/>
      <c r="U52" s="828"/>
      <c r="V52" s="828"/>
    </row>
    <row r="53" spans="1:22" s="448" customFormat="1" ht="13.5" customHeight="1" hidden="1">
      <c r="A53" s="832">
        <v>8</v>
      </c>
      <c r="B53" s="831" t="s">
        <v>841</v>
      </c>
      <c r="C53" s="901" t="s">
        <v>842</v>
      </c>
      <c r="D53" s="831" t="s">
        <v>832</v>
      </c>
      <c r="E53" s="899" t="s">
        <v>697</v>
      </c>
      <c r="F53" s="832" t="s">
        <v>843</v>
      </c>
      <c r="G53" s="447">
        <f>G54+G55+G56+G57</f>
        <v>14084846</v>
      </c>
      <c r="H53" s="447">
        <f>H54+H55+H56+H57</f>
        <v>11079686</v>
      </c>
      <c r="I53" s="895">
        <f>J53+M53</f>
        <v>3005160</v>
      </c>
      <c r="J53" s="895">
        <f>K53+L53</f>
        <v>2532749</v>
      </c>
      <c r="K53" s="828">
        <v>2509151</v>
      </c>
      <c r="L53" s="828">
        <v>23598</v>
      </c>
      <c r="M53" s="895">
        <f>N53+Q53+T53</f>
        <v>472411</v>
      </c>
      <c r="N53" s="895">
        <f>O53+P53</f>
        <v>0</v>
      </c>
      <c r="O53" s="828">
        <v>0</v>
      </c>
      <c r="P53" s="828">
        <v>0</v>
      </c>
      <c r="Q53" s="895">
        <f>R53+S53</f>
        <v>472411</v>
      </c>
      <c r="R53" s="828">
        <v>468009</v>
      </c>
      <c r="S53" s="828">
        <v>4402</v>
      </c>
      <c r="T53" s="895">
        <f>U53+V53</f>
        <v>0</v>
      </c>
      <c r="U53" s="828">
        <v>0</v>
      </c>
      <c r="V53" s="828">
        <v>0</v>
      </c>
    </row>
    <row r="54" spans="1:22" s="448" customFormat="1" ht="13.5" customHeight="1" hidden="1">
      <c r="A54" s="832"/>
      <c r="B54" s="831"/>
      <c r="C54" s="902"/>
      <c r="D54" s="831"/>
      <c r="E54" s="899"/>
      <c r="F54" s="832"/>
      <c r="G54" s="447">
        <v>11870706</v>
      </c>
      <c r="H54" s="447">
        <v>9337957</v>
      </c>
      <c r="I54" s="895"/>
      <c r="J54" s="895"/>
      <c r="K54" s="828"/>
      <c r="L54" s="828"/>
      <c r="M54" s="895"/>
      <c r="N54" s="895"/>
      <c r="O54" s="828"/>
      <c r="P54" s="828"/>
      <c r="Q54" s="895"/>
      <c r="R54" s="828"/>
      <c r="S54" s="828"/>
      <c r="T54" s="895"/>
      <c r="U54" s="828"/>
      <c r="V54" s="828"/>
    </row>
    <row r="55" spans="1:22" s="448" customFormat="1" ht="13.5" customHeight="1" hidden="1">
      <c r="A55" s="832"/>
      <c r="B55" s="831"/>
      <c r="C55" s="902"/>
      <c r="D55" s="831"/>
      <c r="E55" s="899"/>
      <c r="F55" s="832"/>
      <c r="G55" s="447">
        <v>0</v>
      </c>
      <c r="H55" s="447">
        <v>0</v>
      </c>
      <c r="I55" s="449">
        <f>J55+M55</f>
        <v>0</v>
      </c>
      <c r="J55" s="449">
        <f>K55+L55</f>
        <v>0</v>
      </c>
      <c r="K55" s="428">
        <v>0</v>
      </c>
      <c r="L55" s="428">
        <v>0</v>
      </c>
      <c r="M55" s="449">
        <f>N55+Q55+T55</f>
        <v>0</v>
      </c>
      <c r="N55" s="449">
        <f>O55+P55</f>
        <v>0</v>
      </c>
      <c r="O55" s="428">
        <v>0</v>
      </c>
      <c r="P55" s="428">
        <v>0</v>
      </c>
      <c r="Q55" s="449">
        <f>R55+S55</f>
        <v>0</v>
      </c>
      <c r="R55" s="428">
        <v>0</v>
      </c>
      <c r="S55" s="428">
        <v>0</v>
      </c>
      <c r="T55" s="449">
        <f>U55+V55</f>
        <v>0</v>
      </c>
      <c r="U55" s="428">
        <v>0</v>
      </c>
      <c r="V55" s="428">
        <v>0</v>
      </c>
    </row>
    <row r="56" spans="1:22" s="448" customFormat="1" ht="13.5" customHeight="1" hidden="1">
      <c r="A56" s="832"/>
      <c r="B56" s="831"/>
      <c r="C56" s="902"/>
      <c r="D56" s="831"/>
      <c r="E56" s="899"/>
      <c r="F56" s="832"/>
      <c r="G56" s="447">
        <v>2214140</v>
      </c>
      <c r="H56" s="447">
        <v>1741729</v>
      </c>
      <c r="I56" s="895">
        <f aca="true" t="shared" si="7" ref="I56:V56">I53+I55</f>
        <v>3005160</v>
      </c>
      <c r="J56" s="895">
        <f t="shared" si="7"/>
        <v>2532749</v>
      </c>
      <c r="K56" s="828">
        <f t="shared" si="7"/>
        <v>2509151</v>
      </c>
      <c r="L56" s="828">
        <f t="shared" si="7"/>
        <v>23598</v>
      </c>
      <c r="M56" s="895">
        <f t="shared" si="7"/>
        <v>472411</v>
      </c>
      <c r="N56" s="895">
        <f t="shared" si="7"/>
        <v>0</v>
      </c>
      <c r="O56" s="828">
        <f t="shared" si="7"/>
        <v>0</v>
      </c>
      <c r="P56" s="828">
        <f t="shared" si="7"/>
        <v>0</v>
      </c>
      <c r="Q56" s="895">
        <f t="shared" si="7"/>
        <v>472411</v>
      </c>
      <c r="R56" s="828">
        <f t="shared" si="7"/>
        <v>468009</v>
      </c>
      <c r="S56" s="828">
        <f t="shared" si="7"/>
        <v>4402</v>
      </c>
      <c r="T56" s="895">
        <f t="shared" si="7"/>
        <v>0</v>
      </c>
      <c r="U56" s="828">
        <f t="shared" si="7"/>
        <v>0</v>
      </c>
      <c r="V56" s="828">
        <f t="shared" si="7"/>
        <v>0</v>
      </c>
    </row>
    <row r="57" spans="1:22" s="448" customFormat="1" ht="13.5" customHeight="1" hidden="1">
      <c r="A57" s="832"/>
      <c r="B57" s="831"/>
      <c r="C57" s="903"/>
      <c r="D57" s="831"/>
      <c r="E57" s="899"/>
      <c r="F57" s="832"/>
      <c r="G57" s="447">
        <v>0</v>
      </c>
      <c r="H57" s="447">
        <v>0</v>
      </c>
      <c r="I57" s="895"/>
      <c r="J57" s="895"/>
      <c r="K57" s="828"/>
      <c r="L57" s="828"/>
      <c r="M57" s="895"/>
      <c r="N57" s="895"/>
      <c r="O57" s="828"/>
      <c r="P57" s="828"/>
      <c r="Q57" s="895"/>
      <c r="R57" s="828"/>
      <c r="S57" s="828"/>
      <c r="T57" s="895"/>
      <c r="U57" s="828"/>
      <c r="V57" s="828"/>
    </row>
    <row r="58" spans="1:22" s="448" customFormat="1" ht="13.5" customHeight="1" hidden="1">
      <c r="A58" s="832">
        <v>9</v>
      </c>
      <c r="B58" s="836" t="s">
        <v>844</v>
      </c>
      <c r="C58" s="904" t="s">
        <v>845</v>
      </c>
      <c r="D58" s="831" t="s">
        <v>239</v>
      </c>
      <c r="E58" s="899" t="s">
        <v>846</v>
      </c>
      <c r="F58" s="832" t="s">
        <v>847</v>
      </c>
      <c r="G58" s="447">
        <f>G59+G60+G61+G62</f>
        <v>32013540</v>
      </c>
      <c r="H58" s="447">
        <f>H59+H60+H61+H62</f>
        <v>16393540</v>
      </c>
      <c r="I58" s="895">
        <f>J58+M58</f>
        <v>4300000</v>
      </c>
      <c r="J58" s="895">
        <f>K58+L58</f>
        <v>2736000</v>
      </c>
      <c r="K58" s="828">
        <v>2736000</v>
      </c>
      <c r="L58" s="828">
        <v>0</v>
      </c>
      <c r="M58" s="895">
        <f>N58+Q58+T58</f>
        <v>1564000</v>
      </c>
      <c r="N58" s="895">
        <f>O58+P58</f>
        <v>1564000</v>
      </c>
      <c r="O58" s="828">
        <v>1564000</v>
      </c>
      <c r="P58" s="828">
        <v>0</v>
      </c>
      <c r="Q58" s="895">
        <f>R58+S58</f>
        <v>0</v>
      </c>
      <c r="R58" s="828">
        <v>0</v>
      </c>
      <c r="S58" s="828">
        <v>0</v>
      </c>
      <c r="T58" s="895">
        <f>U58+V58</f>
        <v>0</v>
      </c>
      <c r="U58" s="828">
        <v>0</v>
      </c>
      <c r="V58" s="828">
        <v>0</v>
      </c>
    </row>
    <row r="59" spans="1:22" s="448" customFormat="1" ht="13.5" customHeight="1" hidden="1">
      <c r="A59" s="832"/>
      <c r="B59" s="837"/>
      <c r="C59" s="904"/>
      <c r="D59" s="831"/>
      <c r="E59" s="899"/>
      <c r="F59" s="832"/>
      <c r="G59" s="447">
        <v>20369748</v>
      </c>
      <c r="H59" s="447">
        <v>10430748</v>
      </c>
      <c r="I59" s="895"/>
      <c r="J59" s="895"/>
      <c r="K59" s="828"/>
      <c r="L59" s="828"/>
      <c r="M59" s="895"/>
      <c r="N59" s="895"/>
      <c r="O59" s="828"/>
      <c r="P59" s="828"/>
      <c r="Q59" s="895"/>
      <c r="R59" s="828"/>
      <c r="S59" s="828"/>
      <c r="T59" s="895"/>
      <c r="U59" s="828"/>
      <c r="V59" s="828"/>
    </row>
    <row r="60" spans="1:22" s="448" customFormat="1" ht="13.5" customHeight="1" hidden="1">
      <c r="A60" s="832"/>
      <c r="B60" s="837"/>
      <c r="C60" s="904"/>
      <c r="D60" s="831"/>
      <c r="E60" s="899"/>
      <c r="F60" s="832"/>
      <c r="G60" s="447">
        <v>11643792</v>
      </c>
      <c r="H60" s="447">
        <v>5962792</v>
      </c>
      <c r="I60" s="449">
        <f>J60+M60</f>
        <v>0</v>
      </c>
      <c r="J60" s="449">
        <f>K60+L60</f>
        <v>0</v>
      </c>
      <c r="K60" s="428">
        <v>0</v>
      </c>
      <c r="L60" s="428">
        <v>0</v>
      </c>
      <c r="M60" s="449">
        <f>N60+Q60+T60</f>
        <v>0</v>
      </c>
      <c r="N60" s="449">
        <f>O60+P60</f>
        <v>0</v>
      </c>
      <c r="O60" s="428">
        <v>0</v>
      </c>
      <c r="P60" s="428">
        <v>0</v>
      </c>
      <c r="Q60" s="449">
        <f>R60+S60</f>
        <v>0</v>
      </c>
      <c r="R60" s="428">
        <v>0</v>
      </c>
      <c r="S60" s="428">
        <v>0</v>
      </c>
      <c r="T60" s="449">
        <f>U60+V60</f>
        <v>0</v>
      </c>
      <c r="U60" s="428">
        <v>0</v>
      </c>
      <c r="V60" s="428">
        <v>0</v>
      </c>
    </row>
    <row r="61" spans="1:22" s="448" customFormat="1" ht="13.5" customHeight="1" hidden="1">
      <c r="A61" s="832"/>
      <c r="B61" s="837"/>
      <c r="C61" s="904"/>
      <c r="D61" s="831"/>
      <c r="E61" s="899"/>
      <c r="F61" s="832"/>
      <c r="G61" s="447">
        <v>0</v>
      </c>
      <c r="H61" s="447">
        <v>0</v>
      </c>
      <c r="I61" s="895">
        <f aca="true" t="shared" si="8" ref="I61:V61">I58+I60</f>
        <v>4300000</v>
      </c>
      <c r="J61" s="895">
        <f t="shared" si="8"/>
        <v>2736000</v>
      </c>
      <c r="K61" s="828">
        <f t="shared" si="8"/>
        <v>2736000</v>
      </c>
      <c r="L61" s="828">
        <f t="shared" si="8"/>
        <v>0</v>
      </c>
      <c r="M61" s="895">
        <f t="shared" si="8"/>
        <v>1564000</v>
      </c>
      <c r="N61" s="895">
        <f t="shared" si="8"/>
        <v>1564000</v>
      </c>
      <c r="O61" s="828">
        <f t="shared" si="8"/>
        <v>1564000</v>
      </c>
      <c r="P61" s="828">
        <f t="shared" si="8"/>
        <v>0</v>
      </c>
      <c r="Q61" s="895">
        <f t="shared" si="8"/>
        <v>0</v>
      </c>
      <c r="R61" s="828">
        <f t="shared" si="8"/>
        <v>0</v>
      </c>
      <c r="S61" s="828">
        <f t="shared" si="8"/>
        <v>0</v>
      </c>
      <c r="T61" s="895">
        <f t="shared" si="8"/>
        <v>0</v>
      </c>
      <c r="U61" s="828">
        <f t="shared" si="8"/>
        <v>0</v>
      </c>
      <c r="V61" s="828">
        <f t="shared" si="8"/>
        <v>0</v>
      </c>
    </row>
    <row r="62" spans="1:22" s="448" customFormat="1" ht="13.5" customHeight="1" hidden="1">
      <c r="A62" s="832"/>
      <c r="B62" s="838"/>
      <c r="C62" s="904"/>
      <c r="D62" s="831"/>
      <c r="E62" s="899"/>
      <c r="F62" s="832"/>
      <c r="G62" s="447">
        <v>0</v>
      </c>
      <c r="H62" s="447">
        <v>0</v>
      </c>
      <c r="I62" s="895"/>
      <c r="J62" s="895"/>
      <c r="K62" s="828"/>
      <c r="L62" s="828"/>
      <c r="M62" s="895"/>
      <c r="N62" s="895"/>
      <c r="O62" s="828"/>
      <c r="P62" s="828"/>
      <c r="Q62" s="895"/>
      <c r="R62" s="828"/>
      <c r="S62" s="828"/>
      <c r="T62" s="895"/>
      <c r="U62" s="828"/>
      <c r="V62" s="828"/>
    </row>
    <row r="63" spans="1:22" s="448" customFormat="1" ht="15.75" customHeight="1" hidden="1">
      <c r="A63" s="832">
        <v>10</v>
      </c>
      <c r="B63" s="836" t="s">
        <v>844</v>
      </c>
      <c r="C63" s="904" t="s">
        <v>848</v>
      </c>
      <c r="D63" s="831" t="s">
        <v>239</v>
      </c>
      <c r="E63" s="899" t="s">
        <v>846</v>
      </c>
      <c r="F63" s="832" t="s">
        <v>847</v>
      </c>
      <c r="G63" s="447">
        <f>G64+G65+G66+G67</f>
        <v>919398</v>
      </c>
      <c r="H63" s="447">
        <f>H64+H65+H66+H67</f>
        <v>519398</v>
      </c>
      <c r="I63" s="895">
        <f>J63+M63</f>
        <v>100000</v>
      </c>
      <c r="J63" s="895">
        <f>K63+L63</f>
        <v>64000</v>
      </c>
      <c r="K63" s="828">
        <v>64000</v>
      </c>
      <c r="L63" s="828">
        <v>0</v>
      </c>
      <c r="M63" s="895">
        <f>N63+Q63+T63</f>
        <v>36000</v>
      </c>
      <c r="N63" s="895">
        <f>O63+P63</f>
        <v>36000</v>
      </c>
      <c r="O63" s="828">
        <v>36000</v>
      </c>
      <c r="P63" s="828">
        <v>0</v>
      </c>
      <c r="Q63" s="895">
        <f>R63+S63</f>
        <v>0</v>
      </c>
      <c r="R63" s="828">
        <v>0</v>
      </c>
      <c r="S63" s="828">
        <v>0</v>
      </c>
      <c r="T63" s="895">
        <f>U63+V63</f>
        <v>0</v>
      </c>
      <c r="U63" s="828">
        <v>0</v>
      </c>
      <c r="V63" s="828">
        <v>0</v>
      </c>
    </row>
    <row r="64" spans="1:22" s="448" customFormat="1" ht="15.75" customHeight="1" hidden="1">
      <c r="A64" s="832"/>
      <c r="B64" s="837"/>
      <c r="C64" s="904"/>
      <c r="D64" s="831"/>
      <c r="E64" s="899"/>
      <c r="F64" s="832"/>
      <c r="G64" s="447">
        <v>586863</v>
      </c>
      <c r="H64" s="447">
        <v>330863</v>
      </c>
      <c r="I64" s="895"/>
      <c r="J64" s="895"/>
      <c r="K64" s="828"/>
      <c r="L64" s="828"/>
      <c r="M64" s="895"/>
      <c r="N64" s="895"/>
      <c r="O64" s="828"/>
      <c r="P64" s="828"/>
      <c r="Q64" s="895"/>
      <c r="R64" s="828"/>
      <c r="S64" s="828"/>
      <c r="T64" s="895"/>
      <c r="U64" s="828"/>
      <c r="V64" s="828"/>
    </row>
    <row r="65" spans="1:22" s="448" customFormat="1" ht="15.75" customHeight="1" hidden="1">
      <c r="A65" s="832"/>
      <c r="B65" s="837"/>
      <c r="C65" s="904"/>
      <c r="D65" s="831"/>
      <c r="E65" s="899"/>
      <c r="F65" s="832"/>
      <c r="G65" s="447">
        <v>332535</v>
      </c>
      <c r="H65" s="447">
        <v>188535</v>
      </c>
      <c r="I65" s="449">
        <f>J65+M65</f>
        <v>0</v>
      </c>
      <c r="J65" s="449">
        <f>K65+L65</f>
        <v>0</v>
      </c>
      <c r="K65" s="428">
        <v>0</v>
      </c>
      <c r="L65" s="428">
        <v>0</v>
      </c>
      <c r="M65" s="449">
        <f>N65+Q65+T65</f>
        <v>0</v>
      </c>
      <c r="N65" s="449">
        <f>O65+P65</f>
        <v>0</v>
      </c>
      <c r="O65" s="428">
        <v>0</v>
      </c>
      <c r="P65" s="428">
        <v>0</v>
      </c>
      <c r="Q65" s="449">
        <f>R65+S65</f>
        <v>0</v>
      </c>
      <c r="R65" s="428">
        <v>0</v>
      </c>
      <c r="S65" s="428">
        <v>0</v>
      </c>
      <c r="T65" s="449">
        <f>U65+V65</f>
        <v>0</v>
      </c>
      <c r="U65" s="428">
        <v>0</v>
      </c>
      <c r="V65" s="428">
        <v>0</v>
      </c>
    </row>
    <row r="66" spans="1:22" s="448" customFormat="1" ht="15.75" customHeight="1" hidden="1">
      <c r="A66" s="832"/>
      <c r="B66" s="837"/>
      <c r="C66" s="904"/>
      <c r="D66" s="831"/>
      <c r="E66" s="899"/>
      <c r="F66" s="832"/>
      <c r="G66" s="447">
        <v>0</v>
      </c>
      <c r="H66" s="447">
        <v>0</v>
      </c>
      <c r="I66" s="895">
        <f aca="true" t="shared" si="9" ref="I66:V66">I63+I65</f>
        <v>100000</v>
      </c>
      <c r="J66" s="895">
        <f t="shared" si="9"/>
        <v>64000</v>
      </c>
      <c r="K66" s="828">
        <f t="shared" si="9"/>
        <v>64000</v>
      </c>
      <c r="L66" s="828">
        <f t="shared" si="9"/>
        <v>0</v>
      </c>
      <c r="M66" s="895">
        <f t="shared" si="9"/>
        <v>36000</v>
      </c>
      <c r="N66" s="895">
        <f t="shared" si="9"/>
        <v>36000</v>
      </c>
      <c r="O66" s="828">
        <f t="shared" si="9"/>
        <v>36000</v>
      </c>
      <c r="P66" s="828">
        <f t="shared" si="9"/>
        <v>0</v>
      </c>
      <c r="Q66" s="895">
        <f t="shared" si="9"/>
        <v>0</v>
      </c>
      <c r="R66" s="828">
        <f t="shared" si="9"/>
        <v>0</v>
      </c>
      <c r="S66" s="828">
        <f t="shared" si="9"/>
        <v>0</v>
      </c>
      <c r="T66" s="895">
        <f t="shared" si="9"/>
        <v>0</v>
      </c>
      <c r="U66" s="828">
        <f t="shared" si="9"/>
        <v>0</v>
      </c>
      <c r="V66" s="828">
        <f t="shared" si="9"/>
        <v>0</v>
      </c>
    </row>
    <row r="67" spans="1:22" s="448" customFormat="1" ht="15.75" customHeight="1" hidden="1">
      <c r="A67" s="832"/>
      <c r="B67" s="838"/>
      <c r="C67" s="904"/>
      <c r="D67" s="831"/>
      <c r="E67" s="899"/>
      <c r="F67" s="832"/>
      <c r="G67" s="447">
        <v>0</v>
      </c>
      <c r="H67" s="447">
        <v>0</v>
      </c>
      <c r="I67" s="895"/>
      <c r="J67" s="895"/>
      <c r="K67" s="828"/>
      <c r="L67" s="828"/>
      <c r="M67" s="895"/>
      <c r="N67" s="895"/>
      <c r="O67" s="828"/>
      <c r="P67" s="828"/>
      <c r="Q67" s="895"/>
      <c r="R67" s="828"/>
      <c r="S67" s="828"/>
      <c r="T67" s="895"/>
      <c r="U67" s="828"/>
      <c r="V67" s="828"/>
    </row>
    <row r="68" spans="1:22" s="448" customFormat="1" ht="15.75" customHeight="1" hidden="1">
      <c r="A68" s="832">
        <v>11</v>
      </c>
      <c r="B68" s="836" t="s">
        <v>844</v>
      </c>
      <c r="C68" s="904" t="s">
        <v>849</v>
      </c>
      <c r="D68" s="831" t="s">
        <v>239</v>
      </c>
      <c r="E68" s="899" t="s">
        <v>846</v>
      </c>
      <c r="F68" s="832" t="s">
        <v>847</v>
      </c>
      <c r="G68" s="447">
        <f>G69+G70+G71+G72</f>
        <v>7969332</v>
      </c>
      <c r="H68" s="447">
        <f>H69+H70+H71+H72</f>
        <v>4979332</v>
      </c>
      <c r="I68" s="895">
        <f>J68+M68</f>
        <v>1200000</v>
      </c>
      <c r="J68" s="895">
        <f>K68+L68</f>
        <v>764000</v>
      </c>
      <c r="K68" s="828">
        <v>764000</v>
      </c>
      <c r="L68" s="828">
        <v>0</v>
      </c>
      <c r="M68" s="895">
        <f>N68+Q68+T68</f>
        <v>436000</v>
      </c>
      <c r="N68" s="895">
        <f>O68+P68</f>
        <v>436000</v>
      </c>
      <c r="O68" s="828">
        <v>436000</v>
      </c>
      <c r="P68" s="828">
        <v>0</v>
      </c>
      <c r="Q68" s="895">
        <f>R68+S68</f>
        <v>0</v>
      </c>
      <c r="R68" s="828">
        <v>0</v>
      </c>
      <c r="S68" s="828">
        <v>0</v>
      </c>
      <c r="T68" s="895">
        <f>U68+V68</f>
        <v>0</v>
      </c>
      <c r="U68" s="828">
        <v>0</v>
      </c>
      <c r="V68" s="828">
        <v>0</v>
      </c>
    </row>
    <row r="69" spans="1:22" s="448" customFormat="1" ht="15.75" customHeight="1" hidden="1">
      <c r="A69" s="832"/>
      <c r="B69" s="837"/>
      <c r="C69" s="904"/>
      <c r="D69" s="831"/>
      <c r="E69" s="899"/>
      <c r="F69" s="832"/>
      <c r="G69" s="447">
        <v>5072788</v>
      </c>
      <c r="H69" s="447">
        <v>3168788</v>
      </c>
      <c r="I69" s="895"/>
      <c r="J69" s="895"/>
      <c r="K69" s="828"/>
      <c r="L69" s="828"/>
      <c r="M69" s="895"/>
      <c r="N69" s="895"/>
      <c r="O69" s="828"/>
      <c r="P69" s="828"/>
      <c r="Q69" s="895"/>
      <c r="R69" s="828"/>
      <c r="S69" s="828"/>
      <c r="T69" s="895"/>
      <c r="U69" s="828"/>
      <c r="V69" s="828"/>
    </row>
    <row r="70" spans="1:22" s="448" customFormat="1" ht="15.75" customHeight="1" hidden="1">
      <c r="A70" s="832"/>
      <c r="B70" s="837"/>
      <c r="C70" s="904"/>
      <c r="D70" s="831"/>
      <c r="E70" s="899"/>
      <c r="F70" s="832"/>
      <c r="G70" s="447">
        <v>2896544</v>
      </c>
      <c r="H70" s="447">
        <v>1810544</v>
      </c>
      <c r="I70" s="449">
        <f>J70+M70</f>
        <v>0</v>
      </c>
      <c r="J70" s="449">
        <f>K70+L70</f>
        <v>0</v>
      </c>
      <c r="K70" s="428">
        <v>0</v>
      </c>
      <c r="L70" s="428">
        <v>0</v>
      </c>
      <c r="M70" s="449">
        <f>N70+Q70+T70</f>
        <v>0</v>
      </c>
      <c r="N70" s="449">
        <f>O70+P70</f>
        <v>0</v>
      </c>
      <c r="O70" s="428">
        <v>0</v>
      </c>
      <c r="P70" s="428">
        <v>0</v>
      </c>
      <c r="Q70" s="449">
        <f>R70+S70</f>
        <v>0</v>
      </c>
      <c r="R70" s="428">
        <v>0</v>
      </c>
      <c r="S70" s="428">
        <v>0</v>
      </c>
      <c r="T70" s="449">
        <f>U70+V70</f>
        <v>0</v>
      </c>
      <c r="U70" s="428">
        <v>0</v>
      </c>
      <c r="V70" s="428">
        <v>0</v>
      </c>
    </row>
    <row r="71" spans="1:22" s="448" customFormat="1" ht="15.75" customHeight="1" hidden="1">
      <c r="A71" s="832"/>
      <c r="B71" s="837"/>
      <c r="C71" s="904"/>
      <c r="D71" s="831"/>
      <c r="E71" s="899"/>
      <c r="F71" s="832"/>
      <c r="G71" s="447">
        <v>0</v>
      </c>
      <c r="H71" s="447">
        <v>0</v>
      </c>
      <c r="I71" s="895">
        <f aca="true" t="shared" si="10" ref="I71:V71">I68+I70</f>
        <v>1200000</v>
      </c>
      <c r="J71" s="895">
        <f t="shared" si="10"/>
        <v>764000</v>
      </c>
      <c r="K71" s="828">
        <f t="shared" si="10"/>
        <v>764000</v>
      </c>
      <c r="L71" s="828">
        <f t="shared" si="10"/>
        <v>0</v>
      </c>
      <c r="M71" s="895">
        <f t="shared" si="10"/>
        <v>436000</v>
      </c>
      <c r="N71" s="895">
        <f t="shared" si="10"/>
        <v>436000</v>
      </c>
      <c r="O71" s="828">
        <f t="shared" si="10"/>
        <v>436000</v>
      </c>
      <c r="P71" s="828">
        <f t="shared" si="10"/>
        <v>0</v>
      </c>
      <c r="Q71" s="895">
        <f t="shared" si="10"/>
        <v>0</v>
      </c>
      <c r="R71" s="828">
        <f t="shared" si="10"/>
        <v>0</v>
      </c>
      <c r="S71" s="828">
        <f t="shared" si="10"/>
        <v>0</v>
      </c>
      <c r="T71" s="895">
        <f t="shared" si="10"/>
        <v>0</v>
      </c>
      <c r="U71" s="828">
        <f t="shared" si="10"/>
        <v>0</v>
      </c>
      <c r="V71" s="828">
        <f t="shared" si="10"/>
        <v>0</v>
      </c>
    </row>
    <row r="72" spans="1:22" s="448" customFormat="1" ht="15.75" customHeight="1" hidden="1">
      <c r="A72" s="832"/>
      <c r="B72" s="838"/>
      <c r="C72" s="904"/>
      <c r="D72" s="831"/>
      <c r="E72" s="899"/>
      <c r="F72" s="832"/>
      <c r="G72" s="447">
        <v>0</v>
      </c>
      <c r="H72" s="447">
        <v>0</v>
      </c>
      <c r="I72" s="895"/>
      <c r="J72" s="895"/>
      <c r="K72" s="828"/>
      <c r="L72" s="828"/>
      <c r="M72" s="895"/>
      <c r="N72" s="895"/>
      <c r="O72" s="828"/>
      <c r="P72" s="828"/>
      <c r="Q72" s="895"/>
      <c r="R72" s="828"/>
      <c r="S72" s="828"/>
      <c r="T72" s="895"/>
      <c r="U72" s="828"/>
      <c r="V72" s="828"/>
    </row>
    <row r="73" spans="1:22" s="448" customFormat="1" ht="15" customHeight="1" hidden="1">
      <c r="A73" s="832">
        <v>12</v>
      </c>
      <c r="B73" s="831" t="s">
        <v>850</v>
      </c>
      <c r="C73" s="901" t="s">
        <v>851</v>
      </c>
      <c r="D73" s="831" t="s">
        <v>239</v>
      </c>
      <c r="E73" s="899" t="s">
        <v>852</v>
      </c>
      <c r="F73" s="832" t="s">
        <v>600</v>
      </c>
      <c r="G73" s="447">
        <f>G75+G74+G76+G77</f>
        <v>3682243</v>
      </c>
      <c r="H73" s="447">
        <f>H75+H74+H76+H77</f>
        <v>2422243</v>
      </c>
      <c r="I73" s="895">
        <f>J73+M73</f>
        <v>380000</v>
      </c>
      <c r="J73" s="895">
        <f>K73+L73</f>
        <v>285000</v>
      </c>
      <c r="K73" s="828">
        <v>285000</v>
      </c>
      <c r="L73" s="828">
        <v>0</v>
      </c>
      <c r="M73" s="895">
        <f>N73+Q73+T73</f>
        <v>95000</v>
      </c>
      <c r="N73" s="895">
        <f>O73+P73</f>
        <v>95000</v>
      </c>
      <c r="O73" s="828">
        <v>95000</v>
      </c>
      <c r="P73" s="828">
        <v>0</v>
      </c>
      <c r="Q73" s="895">
        <f>R73+S73</f>
        <v>0</v>
      </c>
      <c r="R73" s="828">
        <v>0</v>
      </c>
      <c r="S73" s="828">
        <v>0</v>
      </c>
      <c r="T73" s="895">
        <f>U73+V73</f>
        <v>0</v>
      </c>
      <c r="U73" s="828">
        <v>0</v>
      </c>
      <c r="V73" s="828">
        <v>0</v>
      </c>
    </row>
    <row r="74" spans="1:22" s="448" customFormat="1" ht="14.25" customHeight="1" hidden="1">
      <c r="A74" s="832"/>
      <c r="B74" s="831"/>
      <c r="C74" s="902"/>
      <c r="D74" s="831"/>
      <c r="E74" s="899"/>
      <c r="F74" s="832"/>
      <c r="G74" s="447">
        <v>2761682</v>
      </c>
      <c r="H74" s="447">
        <v>1816682</v>
      </c>
      <c r="I74" s="895"/>
      <c r="J74" s="895"/>
      <c r="K74" s="828"/>
      <c r="L74" s="828"/>
      <c r="M74" s="895"/>
      <c r="N74" s="895"/>
      <c r="O74" s="828"/>
      <c r="P74" s="828"/>
      <c r="Q74" s="895"/>
      <c r="R74" s="828"/>
      <c r="S74" s="828"/>
      <c r="T74" s="895"/>
      <c r="U74" s="828"/>
      <c r="V74" s="828"/>
    </row>
    <row r="75" spans="1:22" s="448" customFormat="1" ht="14.25" customHeight="1" hidden="1">
      <c r="A75" s="832"/>
      <c r="B75" s="831"/>
      <c r="C75" s="902"/>
      <c r="D75" s="831"/>
      <c r="E75" s="899"/>
      <c r="F75" s="832"/>
      <c r="G75" s="447">
        <v>920561</v>
      </c>
      <c r="H75" s="447">
        <v>605561</v>
      </c>
      <c r="I75" s="449">
        <f>J75+M75</f>
        <v>0</v>
      </c>
      <c r="J75" s="449">
        <f>K75+L75</f>
        <v>0</v>
      </c>
      <c r="K75" s="428">
        <v>0</v>
      </c>
      <c r="L75" s="428">
        <v>0</v>
      </c>
      <c r="M75" s="449">
        <f>N75+Q75+T75</f>
        <v>0</v>
      </c>
      <c r="N75" s="449">
        <f>O75+P75</f>
        <v>0</v>
      </c>
      <c r="O75" s="428">
        <v>0</v>
      </c>
      <c r="P75" s="428">
        <v>0</v>
      </c>
      <c r="Q75" s="449">
        <f>R75+S75</f>
        <v>0</v>
      </c>
      <c r="R75" s="428">
        <v>0</v>
      </c>
      <c r="S75" s="428">
        <v>0</v>
      </c>
      <c r="T75" s="449">
        <f>U75+V75</f>
        <v>0</v>
      </c>
      <c r="U75" s="428">
        <v>0</v>
      </c>
      <c r="V75" s="428">
        <v>0</v>
      </c>
    </row>
    <row r="76" spans="1:22" s="448" customFormat="1" ht="14.25" customHeight="1" hidden="1">
      <c r="A76" s="832"/>
      <c r="B76" s="831"/>
      <c r="C76" s="902"/>
      <c r="D76" s="831"/>
      <c r="E76" s="899"/>
      <c r="F76" s="832"/>
      <c r="G76" s="447">
        <v>0</v>
      </c>
      <c r="H76" s="447">
        <v>0</v>
      </c>
      <c r="I76" s="895">
        <f aca="true" t="shared" si="11" ref="I76:V76">I73+I75</f>
        <v>380000</v>
      </c>
      <c r="J76" s="895">
        <f t="shared" si="11"/>
        <v>285000</v>
      </c>
      <c r="K76" s="828">
        <f t="shared" si="11"/>
        <v>285000</v>
      </c>
      <c r="L76" s="828">
        <f t="shared" si="11"/>
        <v>0</v>
      </c>
      <c r="M76" s="895">
        <f t="shared" si="11"/>
        <v>95000</v>
      </c>
      <c r="N76" s="895">
        <f t="shared" si="11"/>
        <v>95000</v>
      </c>
      <c r="O76" s="828">
        <f t="shared" si="11"/>
        <v>95000</v>
      </c>
      <c r="P76" s="828">
        <f t="shared" si="11"/>
        <v>0</v>
      </c>
      <c r="Q76" s="895">
        <f t="shared" si="11"/>
        <v>0</v>
      </c>
      <c r="R76" s="828">
        <f t="shared" si="11"/>
        <v>0</v>
      </c>
      <c r="S76" s="828">
        <f t="shared" si="11"/>
        <v>0</v>
      </c>
      <c r="T76" s="895">
        <f t="shared" si="11"/>
        <v>0</v>
      </c>
      <c r="U76" s="828">
        <f t="shared" si="11"/>
        <v>0</v>
      </c>
      <c r="V76" s="828">
        <f t="shared" si="11"/>
        <v>0</v>
      </c>
    </row>
    <row r="77" spans="1:22" s="448" customFormat="1" ht="14.25" customHeight="1" hidden="1">
      <c r="A77" s="832"/>
      <c r="B77" s="831"/>
      <c r="C77" s="903"/>
      <c r="D77" s="831"/>
      <c r="E77" s="899"/>
      <c r="F77" s="832"/>
      <c r="G77" s="447">
        <v>0</v>
      </c>
      <c r="H77" s="447">
        <v>0</v>
      </c>
      <c r="I77" s="895"/>
      <c r="J77" s="895"/>
      <c r="K77" s="828"/>
      <c r="L77" s="828"/>
      <c r="M77" s="895"/>
      <c r="N77" s="895"/>
      <c r="O77" s="828"/>
      <c r="P77" s="828"/>
      <c r="Q77" s="895"/>
      <c r="R77" s="828"/>
      <c r="S77" s="828"/>
      <c r="T77" s="895"/>
      <c r="U77" s="828"/>
      <c r="V77" s="828"/>
    </row>
    <row r="78" spans="1:22" s="448" customFormat="1" ht="15" customHeight="1" hidden="1">
      <c r="A78" s="832">
        <v>13</v>
      </c>
      <c r="B78" s="831" t="s">
        <v>853</v>
      </c>
      <c r="C78" s="901" t="s">
        <v>854</v>
      </c>
      <c r="D78" s="831" t="s">
        <v>239</v>
      </c>
      <c r="E78" s="899" t="s">
        <v>765</v>
      </c>
      <c r="F78" s="832" t="s">
        <v>625</v>
      </c>
      <c r="G78" s="447">
        <f>G80+G79+G81+G82</f>
        <v>4933661</v>
      </c>
      <c r="H78" s="447">
        <f>H80+H79+H81+H82</f>
        <v>3541744</v>
      </c>
      <c r="I78" s="895">
        <f>J78+M78</f>
        <v>1391917</v>
      </c>
      <c r="J78" s="895">
        <f>K78+L78</f>
        <v>626378</v>
      </c>
      <c r="K78" s="828">
        <v>626378</v>
      </c>
      <c r="L78" s="828">
        <v>0</v>
      </c>
      <c r="M78" s="895">
        <f>N78+Q78+T78</f>
        <v>765539</v>
      </c>
      <c r="N78" s="895">
        <f>O78+P78</f>
        <v>0</v>
      </c>
      <c r="O78" s="828">
        <v>0</v>
      </c>
      <c r="P78" s="828">
        <v>0</v>
      </c>
      <c r="Q78" s="895">
        <f>R78+S78</f>
        <v>69585</v>
      </c>
      <c r="R78" s="828">
        <v>69585</v>
      </c>
      <c r="S78" s="828">
        <v>0</v>
      </c>
      <c r="T78" s="895">
        <f>U78+V78</f>
        <v>695954</v>
      </c>
      <c r="U78" s="828">
        <v>695954</v>
      </c>
      <c r="V78" s="828">
        <v>0</v>
      </c>
    </row>
    <row r="79" spans="1:22" s="448" customFormat="1" ht="14.25" customHeight="1" hidden="1">
      <c r="A79" s="832"/>
      <c r="B79" s="831"/>
      <c r="C79" s="902"/>
      <c r="D79" s="831"/>
      <c r="E79" s="899"/>
      <c r="F79" s="832"/>
      <c r="G79" s="447">
        <v>2220149</v>
      </c>
      <c r="H79" s="447">
        <v>1593771</v>
      </c>
      <c r="I79" s="895"/>
      <c r="J79" s="895"/>
      <c r="K79" s="828"/>
      <c r="L79" s="828"/>
      <c r="M79" s="895"/>
      <c r="N79" s="895"/>
      <c r="O79" s="828"/>
      <c r="P79" s="828"/>
      <c r="Q79" s="895"/>
      <c r="R79" s="828"/>
      <c r="S79" s="828"/>
      <c r="T79" s="895"/>
      <c r="U79" s="828"/>
      <c r="V79" s="828"/>
    </row>
    <row r="80" spans="1:22" s="448" customFormat="1" ht="14.25" customHeight="1" hidden="1">
      <c r="A80" s="832"/>
      <c r="B80" s="831"/>
      <c r="C80" s="902"/>
      <c r="D80" s="831"/>
      <c r="E80" s="899"/>
      <c r="F80" s="832"/>
      <c r="G80" s="447">
        <v>0</v>
      </c>
      <c r="H80" s="447">
        <v>0</v>
      </c>
      <c r="I80" s="449">
        <f>J80+M80</f>
        <v>0</v>
      </c>
      <c r="J80" s="449">
        <f>K80+L80</f>
        <v>0</v>
      </c>
      <c r="K80" s="428">
        <v>0</v>
      </c>
      <c r="L80" s="428">
        <v>0</v>
      </c>
      <c r="M80" s="449">
        <f>N80+Q80+T80</f>
        <v>0</v>
      </c>
      <c r="N80" s="449">
        <f>O80+P80</f>
        <v>0</v>
      </c>
      <c r="O80" s="428">
        <v>0</v>
      </c>
      <c r="P80" s="428">
        <v>0</v>
      </c>
      <c r="Q80" s="449">
        <f>R80+S80</f>
        <v>0</v>
      </c>
      <c r="R80" s="428">
        <v>0</v>
      </c>
      <c r="S80" s="428">
        <v>0</v>
      </c>
      <c r="T80" s="449">
        <f>U80+V80</f>
        <v>0</v>
      </c>
      <c r="U80" s="428">
        <v>0</v>
      </c>
      <c r="V80" s="428">
        <v>0</v>
      </c>
    </row>
    <row r="81" spans="1:22" s="448" customFormat="1" ht="14.25" customHeight="1" hidden="1">
      <c r="A81" s="832"/>
      <c r="B81" s="831"/>
      <c r="C81" s="902"/>
      <c r="D81" s="831"/>
      <c r="E81" s="899"/>
      <c r="F81" s="832"/>
      <c r="G81" s="447">
        <v>246683</v>
      </c>
      <c r="H81" s="447">
        <v>177098</v>
      </c>
      <c r="I81" s="895">
        <f aca="true" t="shared" si="12" ref="I81:V81">I78+I80</f>
        <v>1391917</v>
      </c>
      <c r="J81" s="895">
        <f t="shared" si="12"/>
        <v>626378</v>
      </c>
      <c r="K81" s="828">
        <f t="shared" si="12"/>
        <v>626378</v>
      </c>
      <c r="L81" s="828">
        <f t="shared" si="12"/>
        <v>0</v>
      </c>
      <c r="M81" s="895">
        <f t="shared" si="12"/>
        <v>765539</v>
      </c>
      <c r="N81" s="895">
        <f t="shared" si="12"/>
        <v>0</v>
      </c>
      <c r="O81" s="828">
        <f t="shared" si="12"/>
        <v>0</v>
      </c>
      <c r="P81" s="828">
        <f t="shared" si="12"/>
        <v>0</v>
      </c>
      <c r="Q81" s="895">
        <f t="shared" si="12"/>
        <v>69585</v>
      </c>
      <c r="R81" s="828">
        <f t="shared" si="12"/>
        <v>69585</v>
      </c>
      <c r="S81" s="828">
        <f t="shared" si="12"/>
        <v>0</v>
      </c>
      <c r="T81" s="895">
        <f t="shared" si="12"/>
        <v>695954</v>
      </c>
      <c r="U81" s="828">
        <f t="shared" si="12"/>
        <v>695954</v>
      </c>
      <c r="V81" s="828">
        <f t="shared" si="12"/>
        <v>0</v>
      </c>
    </row>
    <row r="82" spans="1:22" s="448" customFormat="1" ht="14.25" customHeight="1" hidden="1">
      <c r="A82" s="832"/>
      <c r="B82" s="831"/>
      <c r="C82" s="903"/>
      <c r="D82" s="831"/>
      <c r="E82" s="899"/>
      <c r="F82" s="832"/>
      <c r="G82" s="447">
        <v>2466829</v>
      </c>
      <c r="H82" s="447">
        <v>1770875</v>
      </c>
      <c r="I82" s="895"/>
      <c r="J82" s="895"/>
      <c r="K82" s="828"/>
      <c r="L82" s="828"/>
      <c r="M82" s="895"/>
      <c r="N82" s="895"/>
      <c r="O82" s="828"/>
      <c r="P82" s="828"/>
      <c r="Q82" s="895"/>
      <c r="R82" s="828"/>
      <c r="S82" s="828"/>
      <c r="T82" s="895"/>
      <c r="U82" s="828"/>
      <c r="V82" s="828"/>
    </row>
    <row r="83" spans="1:22" s="448" customFormat="1" ht="15" customHeight="1" hidden="1">
      <c r="A83" s="832">
        <v>14</v>
      </c>
      <c r="B83" s="831" t="s">
        <v>855</v>
      </c>
      <c r="C83" s="901" t="s">
        <v>856</v>
      </c>
      <c r="D83" s="831" t="s">
        <v>239</v>
      </c>
      <c r="E83" s="899" t="s">
        <v>641</v>
      </c>
      <c r="F83" s="832" t="s">
        <v>857</v>
      </c>
      <c r="G83" s="447">
        <f>G85+G84+G86+G87</f>
        <v>31626097</v>
      </c>
      <c r="H83" s="447">
        <f>H85+H84+H86+H87</f>
        <v>8977038</v>
      </c>
      <c r="I83" s="895">
        <f>J83+M83</f>
        <v>22649059</v>
      </c>
      <c r="J83" s="895">
        <f>K83+L83</f>
        <v>11113686</v>
      </c>
      <c r="K83" s="828">
        <v>269942</v>
      </c>
      <c r="L83" s="828">
        <v>10843744</v>
      </c>
      <c r="M83" s="895">
        <f>N83+Q83+T83</f>
        <v>11535373</v>
      </c>
      <c r="N83" s="895">
        <f>O83+P83</f>
        <v>0</v>
      </c>
      <c r="O83" s="828">
        <v>0</v>
      </c>
      <c r="P83" s="828">
        <v>0</v>
      </c>
      <c r="Q83" s="895">
        <f>R83+S83</f>
        <v>11535373</v>
      </c>
      <c r="R83" s="828">
        <v>120680</v>
      </c>
      <c r="S83" s="828">
        <v>11414693</v>
      </c>
      <c r="T83" s="895">
        <f>U83+V83</f>
        <v>0</v>
      </c>
      <c r="U83" s="828">
        <v>0</v>
      </c>
      <c r="V83" s="828">
        <v>0</v>
      </c>
    </row>
    <row r="84" spans="1:22" s="448" customFormat="1" ht="14.25" customHeight="1" hidden="1">
      <c r="A84" s="832"/>
      <c r="B84" s="831"/>
      <c r="C84" s="902"/>
      <c r="D84" s="831"/>
      <c r="E84" s="899"/>
      <c r="F84" s="832"/>
      <c r="G84" s="447">
        <v>14873864</v>
      </c>
      <c r="H84" s="447">
        <v>3760178</v>
      </c>
      <c r="I84" s="895"/>
      <c r="J84" s="895"/>
      <c r="K84" s="828"/>
      <c r="L84" s="828"/>
      <c r="M84" s="895"/>
      <c r="N84" s="895"/>
      <c r="O84" s="828"/>
      <c r="P84" s="828"/>
      <c r="Q84" s="895"/>
      <c r="R84" s="828"/>
      <c r="S84" s="828"/>
      <c r="T84" s="895"/>
      <c r="U84" s="828"/>
      <c r="V84" s="828"/>
    </row>
    <row r="85" spans="1:22" s="448" customFormat="1" ht="14.25" customHeight="1" hidden="1">
      <c r="A85" s="832"/>
      <c r="B85" s="831"/>
      <c r="C85" s="902"/>
      <c r="D85" s="831"/>
      <c r="E85" s="899"/>
      <c r="F85" s="832"/>
      <c r="G85" s="447">
        <v>0</v>
      </c>
      <c r="H85" s="447">
        <v>0</v>
      </c>
      <c r="I85" s="449">
        <f>J85+M85</f>
        <v>0</v>
      </c>
      <c r="J85" s="449">
        <f>K85+L85</f>
        <v>0</v>
      </c>
      <c r="K85" s="428">
        <v>0</v>
      </c>
      <c r="L85" s="428">
        <v>0</v>
      </c>
      <c r="M85" s="449">
        <f>N85+Q85+T85</f>
        <v>0</v>
      </c>
      <c r="N85" s="449">
        <f>O85+P85</f>
        <v>0</v>
      </c>
      <c r="O85" s="428">
        <v>0</v>
      </c>
      <c r="P85" s="428">
        <v>0</v>
      </c>
      <c r="Q85" s="449">
        <f>R85+S85</f>
        <v>0</v>
      </c>
      <c r="R85" s="428">
        <v>0</v>
      </c>
      <c r="S85" s="428">
        <v>0</v>
      </c>
      <c r="T85" s="449">
        <f>U85+V85</f>
        <v>0</v>
      </c>
      <c r="U85" s="428">
        <v>0</v>
      </c>
      <c r="V85" s="428">
        <v>0</v>
      </c>
    </row>
    <row r="86" spans="1:22" s="448" customFormat="1" ht="14.25" customHeight="1" hidden="1">
      <c r="A86" s="832"/>
      <c r="B86" s="831"/>
      <c r="C86" s="902"/>
      <c r="D86" s="831"/>
      <c r="E86" s="899"/>
      <c r="F86" s="832"/>
      <c r="G86" s="447">
        <v>16752233</v>
      </c>
      <c r="H86" s="447">
        <v>5216860</v>
      </c>
      <c r="I86" s="895">
        <f aca="true" t="shared" si="13" ref="I86:V86">I83+I85</f>
        <v>22649059</v>
      </c>
      <c r="J86" s="895">
        <f t="shared" si="13"/>
        <v>11113686</v>
      </c>
      <c r="K86" s="828">
        <f t="shared" si="13"/>
        <v>269942</v>
      </c>
      <c r="L86" s="828">
        <f t="shared" si="13"/>
        <v>10843744</v>
      </c>
      <c r="M86" s="895">
        <f t="shared" si="13"/>
        <v>11535373</v>
      </c>
      <c r="N86" s="895">
        <f t="shared" si="13"/>
        <v>0</v>
      </c>
      <c r="O86" s="828">
        <f t="shared" si="13"/>
        <v>0</v>
      </c>
      <c r="P86" s="828">
        <f t="shared" si="13"/>
        <v>0</v>
      </c>
      <c r="Q86" s="895">
        <f t="shared" si="13"/>
        <v>11535373</v>
      </c>
      <c r="R86" s="828">
        <f t="shared" si="13"/>
        <v>120680</v>
      </c>
      <c r="S86" s="828">
        <f t="shared" si="13"/>
        <v>11414693</v>
      </c>
      <c r="T86" s="895">
        <f t="shared" si="13"/>
        <v>0</v>
      </c>
      <c r="U86" s="828">
        <f t="shared" si="13"/>
        <v>0</v>
      </c>
      <c r="V86" s="828">
        <f t="shared" si="13"/>
        <v>0</v>
      </c>
    </row>
    <row r="87" spans="1:22" s="448" customFormat="1" ht="14.25" customHeight="1" hidden="1">
      <c r="A87" s="832"/>
      <c r="B87" s="831"/>
      <c r="C87" s="903"/>
      <c r="D87" s="831"/>
      <c r="E87" s="899"/>
      <c r="F87" s="832"/>
      <c r="G87" s="447">
        <v>0</v>
      </c>
      <c r="H87" s="447">
        <v>0</v>
      </c>
      <c r="I87" s="895"/>
      <c r="J87" s="895"/>
      <c r="K87" s="828"/>
      <c r="L87" s="828"/>
      <c r="M87" s="895"/>
      <c r="N87" s="895"/>
      <c r="O87" s="828"/>
      <c r="P87" s="828"/>
      <c r="Q87" s="895"/>
      <c r="R87" s="828"/>
      <c r="S87" s="828"/>
      <c r="T87" s="895"/>
      <c r="U87" s="828"/>
      <c r="V87" s="828"/>
    </row>
    <row r="88" spans="1:22" s="448" customFormat="1" ht="14.25" customHeight="1" hidden="1">
      <c r="A88" s="832">
        <v>15</v>
      </c>
      <c r="B88" s="836" t="s">
        <v>858</v>
      </c>
      <c r="C88" s="896" t="s">
        <v>859</v>
      </c>
      <c r="D88" s="831" t="s">
        <v>860</v>
      </c>
      <c r="E88" s="899" t="s">
        <v>725</v>
      </c>
      <c r="F88" s="832" t="s">
        <v>619</v>
      </c>
      <c r="G88" s="447">
        <f>G89+G90+G91+G92</f>
        <v>349982</v>
      </c>
      <c r="H88" s="447">
        <f>H89+H90+H91+H92</f>
        <v>327069</v>
      </c>
      <c r="I88" s="895">
        <f>J88+M88</f>
        <v>22913</v>
      </c>
      <c r="J88" s="895">
        <f>K88+L88</f>
        <v>22913</v>
      </c>
      <c r="K88" s="828">
        <v>22913</v>
      </c>
      <c r="L88" s="828">
        <v>0</v>
      </c>
      <c r="M88" s="895">
        <f>N88+Q88+T88</f>
        <v>0</v>
      </c>
      <c r="N88" s="895">
        <f>O88+P88</f>
        <v>0</v>
      </c>
      <c r="O88" s="828">
        <v>0</v>
      </c>
      <c r="P88" s="828">
        <v>0</v>
      </c>
      <c r="Q88" s="895">
        <f>R88+S88</f>
        <v>0</v>
      </c>
      <c r="R88" s="828">
        <v>0</v>
      </c>
      <c r="S88" s="828">
        <v>0</v>
      </c>
      <c r="T88" s="895">
        <f>U88+V88</f>
        <v>0</v>
      </c>
      <c r="U88" s="828">
        <v>0</v>
      </c>
      <c r="V88" s="828">
        <v>0</v>
      </c>
    </row>
    <row r="89" spans="1:22" s="448" customFormat="1" ht="14.25" customHeight="1" hidden="1">
      <c r="A89" s="832"/>
      <c r="B89" s="837"/>
      <c r="C89" s="897"/>
      <c r="D89" s="831"/>
      <c r="E89" s="899"/>
      <c r="F89" s="832"/>
      <c r="G89" s="447">
        <v>349982</v>
      </c>
      <c r="H89" s="447">
        <v>327069</v>
      </c>
      <c r="I89" s="895"/>
      <c r="J89" s="895"/>
      <c r="K89" s="828"/>
      <c r="L89" s="828"/>
      <c r="M89" s="895"/>
      <c r="N89" s="895"/>
      <c r="O89" s="828"/>
      <c r="P89" s="828"/>
      <c r="Q89" s="895"/>
      <c r="R89" s="828"/>
      <c r="S89" s="828"/>
      <c r="T89" s="895"/>
      <c r="U89" s="828"/>
      <c r="V89" s="828"/>
    </row>
    <row r="90" spans="1:22" s="448" customFormat="1" ht="14.25" customHeight="1" hidden="1">
      <c r="A90" s="832"/>
      <c r="B90" s="837"/>
      <c r="C90" s="897"/>
      <c r="D90" s="831"/>
      <c r="E90" s="899"/>
      <c r="F90" s="832"/>
      <c r="G90" s="447">
        <v>0</v>
      </c>
      <c r="H90" s="447">
        <v>0</v>
      </c>
      <c r="I90" s="449">
        <f>J90+M90</f>
        <v>0</v>
      </c>
      <c r="J90" s="449">
        <f>K90+L90</f>
        <v>0</v>
      </c>
      <c r="K90" s="428">
        <v>0</v>
      </c>
      <c r="L90" s="428">
        <v>0</v>
      </c>
      <c r="M90" s="449">
        <f>N90+Q90+T90</f>
        <v>0</v>
      </c>
      <c r="N90" s="449">
        <f>O90+P90</f>
        <v>0</v>
      </c>
      <c r="O90" s="428">
        <v>0</v>
      </c>
      <c r="P90" s="428">
        <v>0</v>
      </c>
      <c r="Q90" s="449">
        <f>R90+S90</f>
        <v>0</v>
      </c>
      <c r="R90" s="428">
        <v>0</v>
      </c>
      <c r="S90" s="428">
        <v>0</v>
      </c>
      <c r="T90" s="449">
        <f>U90+V90</f>
        <v>0</v>
      </c>
      <c r="U90" s="428">
        <v>0</v>
      </c>
      <c r="V90" s="428">
        <v>0</v>
      </c>
    </row>
    <row r="91" spans="1:22" s="448" customFormat="1" ht="14.25" customHeight="1" hidden="1">
      <c r="A91" s="832"/>
      <c r="B91" s="837"/>
      <c r="C91" s="897"/>
      <c r="D91" s="831"/>
      <c r="E91" s="899"/>
      <c r="F91" s="832"/>
      <c r="G91" s="447">
        <v>0</v>
      </c>
      <c r="H91" s="447">
        <v>0</v>
      </c>
      <c r="I91" s="895">
        <f aca="true" t="shared" si="14" ref="I91:V91">I88+I90</f>
        <v>22913</v>
      </c>
      <c r="J91" s="895">
        <f t="shared" si="14"/>
        <v>22913</v>
      </c>
      <c r="K91" s="828">
        <f t="shared" si="14"/>
        <v>22913</v>
      </c>
      <c r="L91" s="828">
        <f t="shared" si="14"/>
        <v>0</v>
      </c>
      <c r="M91" s="895">
        <f t="shared" si="14"/>
        <v>0</v>
      </c>
      <c r="N91" s="895">
        <f t="shared" si="14"/>
        <v>0</v>
      </c>
      <c r="O91" s="828">
        <f t="shared" si="14"/>
        <v>0</v>
      </c>
      <c r="P91" s="828">
        <f t="shared" si="14"/>
        <v>0</v>
      </c>
      <c r="Q91" s="895">
        <f t="shared" si="14"/>
        <v>0</v>
      </c>
      <c r="R91" s="828">
        <f t="shared" si="14"/>
        <v>0</v>
      </c>
      <c r="S91" s="828">
        <f t="shared" si="14"/>
        <v>0</v>
      </c>
      <c r="T91" s="895">
        <f t="shared" si="14"/>
        <v>0</v>
      </c>
      <c r="U91" s="828">
        <f t="shared" si="14"/>
        <v>0</v>
      </c>
      <c r="V91" s="828">
        <f t="shared" si="14"/>
        <v>0</v>
      </c>
    </row>
    <row r="92" spans="1:22" s="448" customFormat="1" ht="14.25" customHeight="1" hidden="1">
      <c r="A92" s="832"/>
      <c r="B92" s="838"/>
      <c r="C92" s="898"/>
      <c r="D92" s="831"/>
      <c r="E92" s="899"/>
      <c r="F92" s="832"/>
      <c r="G92" s="447">
        <v>0</v>
      </c>
      <c r="H92" s="447">
        <v>0</v>
      </c>
      <c r="I92" s="895"/>
      <c r="J92" s="895"/>
      <c r="K92" s="828"/>
      <c r="L92" s="828"/>
      <c r="M92" s="895"/>
      <c r="N92" s="895"/>
      <c r="O92" s="828"/>
      <c r="P92" s="828"/>
      <c r="Q92" s="895"/>
      <c r="R92" s="828"/>
      <c r="S92" s="828"/>
      <c r="T92" s="895"/>
      <c r="U92" s="828"/>
      <c r="V92" s="828"/>
    </row>
    <row r="93" spans="1:22" s="448" customFormat="1" ht="14.25" customHeight="1">
      <c r="A93" s="832">
        <v>2</v>
      </c>
      <c r="B93" s="836" t="s">
        <v>861</v>
      </c>
      <c r="C93" s="896" t="s">
        <v>862</v>
      </c>
      <c r="D93" s="831" t="s">
        <v>239</v>
      </c>
      <c r="E93" s="899" t="s">
        <v>863</v>
      </c>
      <c r="F93" s="832" t="s">
        <v>690</v>
      </c>
      <c r="G93" s="447">
        <f>G94+G95+G96+G97</f>
        <v>489975</v>
      </c>
      <c r="H93" s="447">
        <f>H94+H95+H96+H97</f>
        <v>32897</v>
      </c>
      <c r="I93" s="895">
        <f>J93+M93</f>
        <v>422344</v>
      </c>
      <c r="J93" s="895">
        <f>K93+L93</f>
        <v>358993</v>
      </c>
      <c r="K93" s="828">
        <v>358993</v>
      </c>
      <c r="L93" s="828">
        <v>0</v>
      </c>
      <c r="M93" s="895">
        <f>N93+Q93+T93</f>
        <v>63351</v>
      </c>
      <c r="N93" s="895">
        <f>O93+P93</f>
        <v>0</v>
      </c>
      <c r="O93" s="828">
        <v>0</v>
      </c>
      <c r="P93" s="828">
        <v>0</v>
      </c>
      <c r="Q93" s="895">
        <f>R93+S93</f>
        <v>63351</v>
      </c>
      <c r="R93" s="828">
        <v>63351</v>
      </c>
      <c r="S93" s="828">
        <v>0</v>
      </c>
      <c r="T93" s="895">
        <f>U93+V93</f>
        <v>0</v>
      </c>
      <c r="U93" s="828">
        <v>0</v>
      </c>
      <c r="V93" s="828">
        <v>0</v>
      </c>
    </row>
    <row r="94" spans="1:22" s="448" customFormat="1" ht="14.25" customHeight="1">
      <c r="A94" s="832"/>
      <c r="B94" s="837"/>
      <c r="C94" s="897"/>
      <c r="D94" s="831"/>
      <c r="E94" s="899"/>
      <c r="F94" s="832"/>
      <c r="G94" s="447">
        <v>416478</v>
      </c>
      <c r="H94" s="447">
        <v>27962</v>
      </c>
      <c r="I94" s="895"/>
      <c r="J94" s="895"/>
      <c r="K94" s="828"/>
      <c r="L94" s="828"/>
      <c r="M94" s="895"/>
      <c r="N94" s="895"/>
      <c r="O94" s="828"/>
      <c r="P94" s="828"/>
      <c r="Q94" s="895"/>
      <c r="R94" s="828"/>
      <c r="S94" s="828"/>
      <c r="T94" s="895"/>
      <c r="U94" s="828"/>
      <c r="V94" s="828"/>
    </row>
    <row r="95" spans="1:22" s="448" customFormat="1" ht="14.25" customHeight="1">
      <c r="A95" s="832"/>
      <c r="B95" s="837"/>
      <c r="C95" s="897"/>
      <c r="D95" s="831"/>
      <c r="E95" s="899"/>
      <c r="F95" s="832"/>
      <c r="G95" s="447">
        <v>0</v>
      </c>
      <c r="H95" s="447">
        <v>0</v>
      </c>
      <c r="I95" s="449">
        <f>J95+M95</f>
        <v>0</v>
      </c>
      <c r="J95" s="449">
        <f>K95+L95</f>
        <v>0</v>
      </c>
      <c r="K95" s="428">
        <v>0</v>
      </c>
      <c r="L95" s="428">
        <v>0</v>
      </c>
      <c r="M95" s="449">
        <f>N95+Q95+T95</f>
        <v>0</v>
      </c>
      <c r="N95" s="449">
        <f>O95+P95</f>
        <v>0</v>
      </c>
      <c r="O95" s="428">
        <v>0</v>
      </c>
      <c r="P95" s="428">
        <v>0</v>
      </c>
      <c r="Q95" s="449">
        <f>R95+S95</f>
        <v>0</v>
      </c>
      <c r="R95" s="428">
        <v>0</v>
      </c>
      <c r="S95" s="428">
        <v>0</v>
      </c>
      <c r="T95" s="449">
        <f>U95+V95</f>
        <v>0</v>
      </c>
      <c r="U95" s="428">
        <v>0</v>
      </c>
      <c r="V95" s="428">
        <v>0</v>
      </c>
    </row>
    <row r="96" spans="1:22" s="448" customFormat="1" ht="14.25" customHeight="1">
      <c r="A96" s="832"/>
      <c r="B96" s="837"/>
      <c r="C96" s="897"/>
      <c r="D96" s="831"/>
      <c r="E96" s="899"/>
      <c r="F96" s="832"/>
      <c r="G96" s="447">
        <v>73497</v>
      </c>
      <c r="H96" s="447">
        <v>4935</v>
      </c>
      <c r="I96" s="895">
        <f aca="true" t="shared" si="15" ref="I96:V96">I93+I95</f>
        <v>422344</v>
      </c>
      <c r="J96" s="895">
        <f t="shared" si="15"/>
        <v>358993</v>
      </c>
      <c r="K96" s="828">
        <f t="shared" si="15"/>
        <v>358993</v>
      </c>
      <c r="L96" s="828">
        <f t="shared" si="15"/>
        <v>0</v>
      </c>
      <c r="M96" s="895">
        <f t="shared" si="15"/>
        <v>63351</v>
      </c>
      <c r="N96" s="895">
        <f t="shared" si="15"/>
        <v>0</v>
      </c>
      <c r="O96" s="828">
        <f t="shared" si="15"/>
        <v>0</v>
      </c>
      <c r="P96" s="828">
        <f t="shared" si="15"/>
        <v>0</v>
      </c>
      <c r="Q96" s="895">
        <f t="shared" si="15"/>
        <v>63351</v>
      </c>
      <c r="R96" s="828">
        <f t="shared" si="15"/>
        <v>63351</v>
      </c>
      <c r="S96" s="828">
        <f t="shared" si="15"/>
        <v>0</v>
      </c>
      <c r="T96" s="895">
        <f t="shared" si="15"/>
        <v>0</v>
      </c>
      <c r="U96" s="828">
        <f t="shared" si="15"/>
        <v>0</v>
      </c>
      <c r="V96" s="828">
        <f t="shared" si="15"/>
        <v>0</v>
      </c>
    </row>
    <row r="97" spans="1:22" s="448" customFormat="1" ht="14.25" customHeight="1">
      <c r="A97" s="832"/>
      <c r="B97" s="838"/>
      <c r="C97" s="898"/>
      <c r="D97" s="831"/>
      <c r="E97" s="899"/>
      <c r="F97" s="832"/>
      <c r="G97" s="447">
        <v>0</v>
      </c>
      <c r="H97" s="447">
        <v>0</v>
      </c>
      <c r="I97" s="895"/>
      <c r="J97" s="895"/>
      <c r="K97" s="828"/>
      <c r="L97" s="828"/>
      <c r="M97" s="895"/>
      <c r="N97" s="895"/>
      <c r="O97" s="828"/>
      <c r="P97" s="828"/>
      <c r="Q97" s="895"/>
      <c r="R97" s="828"/>
      <c r="S97" s="828"/>
      <c r="T97" s="895"/>
      <c r="U97" s="828"/>
      <c r="V97" s="828"/>
    </row>
    <row r="98" spans="1:22" s="448" customFormat="1" ht="14.25" customHeight="1">
      <c r="A98" s="832">
        <v>3</v>
      </c>
      <c r="B98" s="836" t="s">
        <v>864</v>
      </c>
      <c r="C98" s="896" t="s">
        <v>865</v>
      </c>
      <c r="D98" s="831" t="s">
        <v>239</v>
      </c>
      <c r="E98" s="899" t="s">
        <v>765</v>
      </c>
      <c r="F98" s="832" t="s">
        <v>625</v>
      </c>
      <c r="G98" s="447">
        <f>G99+G100+G101+G102</f>
        <v>621953</v>
      </c>
      <c r="H98" s="447">
        <f>H99+H100+H101+H102</f>
        <v>349000</v>
      </c>
      <c r="I98" s="895">
        <f>J98+M98</f>
        <v>372115</v>
      </c>
      <c r="J98" s="895">
        <f>K98+L98</f>
        <v>316299</v>
      </c>
      <c r="K98" s="828">
        <v>316299</v>
      </c>
      <c r="L98" s="828">
        <v>0</v>
      </c>
      <c r="M98" s="895">
        <f>N98+Q98+T98</f>
        <v>55816</v>
      </c>
      <c r="N98" s="895">
        <f>O98+P98</f>
        <v>0</v>
      </c>
      <c r="O98" s="828">
        <v>0</v>
      </c>
      <c r="P98" s="828">
        <v>0</v>
      </c>
      <c r="Q98" s="895">
        <f>R98+S98</f>
        <v>55816</v>
      </c>
      <c r="R98" s="828">
        <v>55816</v>
      </c>
      <c r="S98" s="828">
        <v>0</v>
      </c>
      <c r="T98" s="895">
        <f>U98+V98</f>
        <v>0</v>
      </c>
      <c r="U98" s="828">
        <v>0</v>
      </c>
      <c r="V98" s="828">
        <v>0</v>
      </c>
    </row>
    <row r="99" spans="1:22" s="448" customFormat="1" ht="14.25" customHeight="1">
      <c r="A99" s="832"/>
      <c r="B99" s="837"/>
      <c r="C99" s="897"/>
      <c r="D99" s="831"/>
      <c r="E99" s="899"/>
      <c r="F99" s="832"/>
      <c r="G99" s="447">
        <v>528661</v>
      </c>
      <c r="H99" s="447">
        <v>296650</v>
      </c>
      <c r="I99" s="895"/>
      <c r="J99" s="895"/>
      <c r="K99" s="828"/>
      <c r="L99" s="828"/>
      <c r="M99" s="895"/>
      <c r="N99" s="895"/>
      <c r="O99" s="828"/>
      <c r="P99" s="828"/>
      <c r="Q99" s="895"/>
      <c r="R99" s="828"/>
      <c r="S99" s="828"/>
      <c r="T99" s="895"/>
      <c r="U99" s="828"/>
      <c r="V99" s="828"/>
    </row>
    <row r="100" spans="1:22" s="448" customFormat="1" ht="14.25" customHeight="1">
      <c r="A100" s="832"/>
      <c r="B100" s="837"/>
      <c r="C100" s="897"/>
      <c r="D100" s="831"/>
      <c r="E100" s="899"/>
      <c r="F100" s="832"/>
      <c r="G100" s="447">
        <v>0</v>
      </c>
      <c r="H100" s="447">
        <v>0</v>
      </c>
      <c r="I100" s="449">
        <f>J100+M100</f>
        <v>-99162</v>
      </c>
      <c r="J100" s="449">
        <f>K100+L100</f>
        <v>-84288</v>
      </c>
      <c r="K100" s="428">
        <v>-84288</v>
      </c>
      <c r="L100" s="428">
        <v>0</v>
      </c>
      <c r="M100" s="449">
        <f>N100+Q100+T100</f>
        <v>-14874</v>
      </c>
      <c r="N100" s="449">
        <f>O100+P100</f>
        <v>0</v>
      </c>
      <c r="O100" s="428">
        <v>0</v>
      </c>
      <c r="P100" s="428">
        <v>0</v>
      </c>
      <c r="Q100" s="449">
        <f>R100+S100</f>
        <v>-14874</v>
      </c>
      <c r="R100" s="428">
        <v>-14874</v>
      </c>
      <c r="S100" s="428">
        <v>0</v>
      </c>
      <c r="T100" s="449">
        <f>U100+V100</f>
        <v>0</v>
      </c>
      <c r="U100" s="428">
        <v>0</v>
      </c>
      <c r="V100" s="428">
        <v>0</v>
      </c>
    </row>
    <row r="101" spans="1:22" s="448" customFormat="1" ht="14.25" customHeight="1">
      <c r="A101" s="832"/>
      <c r="B101" s="837"/>
      <c r="C101" s="897"/>
      <c r="D101" s="831"/>
      <c r="E101" s="899"/>
      <c r="F101" s="832"/>
      <c r="G101" s="447">
        <v>93292</v>
      </c>
      <c r="H101" s="447">
        <v>52350</v>
      </c>
      <c r="I101" s="895">
        <f aca="true" t="shared" si="16" ref="I101:V101">I98+I100</f>
        <v>272953</v>
      </c>
      <c r="J101" s="895">
        <f t="shared" si="16"/>
        <v>232011</v>
      </c>
      <c r="K101" s="828">
        <f t="shared" si="16"/>
        <v>232011</v>
      </c>
      <c r="L101" s="828">
        <f t="shared" si="16"/>
        <v>0</v>
      </c>
      <c r="M101" s="895">
        <f t="shared" si="16"/>
        <v>40942</v>
      </c>
      <c r="N101" s="895">
        <f t="shared" si="16"/>
        <v>0</v>
      </c>
      <c r="O101" s="828">
        <f t="shared" si="16"/>
        <v>0</v>
      </c>
      <c r="P101" s="828">
        <f t="shared" si="16"/>
        <v>0</v>
      </c>
      <c r="Q101" s="895">
        <f t="shared" si="16"/>
        <v>40942</v>
      </c>
      <c r="R101" s="828">
        <f t="shared" si="16"/>
        <v>40942</v>
      </c>
      <c r="S101" s="828">
        <f t="shared" si="16"/>
        <v>0</v>
      </c>
      <c r="T101" s="895">
        <f t="shared" si="16"/>
        <v>0</v>
      </c>
      <c r="U101" s="828">
        <f t="shared" si="16"/>
        <v>0</v>
      </c>
      <c r="V101" s="828">
        <f t="shared" si="16"/>
        <v>0</v>
      </c>
    </row>
    <row r="102" spans="1:22" s="448" customFormat="1" ht="14.25" customHeight="1">
      <c r="A102" s="832"/>
      <c r="B102" s="838"/>
      <c r="C102" s="898"/>
      <c r="D102" s="831"/>
      <c r="E102" s="899"/>
      <c r="F102" s="832"/>
      <c r="G102" s="447">
        <v>0</v>
      </c>
      <c r="H102" s="447">
        <v>0</v>
      </c>
      <c r="I102" s="895"/>
      <c r="J102" s="895"/>
      <c r="K102" s="828"/>
      <c r="L102" s="828"/>
      <c r="M102" s="895"/>
      <c r="N102" s="895"/>
      <c r="O102" s="828"/>
      <c r="P102" s="828"/>
      <c r="Q102" s="895"/>
      <c r="R102" s="828"/>
      <c r="S102" s="828"/>
      <c r="T102" s="895"/>
      <c r="U102" s="828"/>
      <c r="V102" s="828"/>
    </row>
    <row r="103" spans="1:22" s="448" customFormat="1" ht="14.25" customHeight="1" hidden="1">
      <c r="A103" s="900">
        <v>2</v>
      </c>
      <c r="B103" s="836" t="s">
        <v>864</v>
      </c>
      <c r="C103" s="896" t="s">
        <v>866</v>
      </c>
      <c r="D103" s="831" t="s">
        <v>239</v>
      </c>
      <c r="E103" s="899" t="s">
        <v>641</v>
      </c>
      <c r="F103" s="832" t="s">
        <v>625</v>
      </c>
      <c r="G103" s="447">
        <f>G104+G105+G106+G107</f>
        <v>698886</v>
      </c>
      <c r="H103" s="447">
        <f>H104+H105+H106+H107</f>
        <v>504248</v>
      </c>
      <c r="I103" s="895">
        <f>J103+M103</f>
        <v>194638</v>
      </c>
      <c r="J103" s="895">
        <f>K103+L103</f>
        <v>165442</v>
      </c>
      <c r="K103" s="828">
        <v>165442</v>
      </c>
      <c r="L103" s="828">
        <v>0</v>
      </c>
      <c r="M103" s="895">
        <f>N103+Q103+T103</f>
        <v>29196</v>
      </c>
      <c r="N103" s="895">
        <f>O103+P103</f>
        <v>0</v>
      </c>
      <c r="O103" s="828">
        <v>0</v>
      </c>
      <c r="P103" s="828">
        <v>0</v>
      </c>
      <c r="Q103" s="895">
        <f>R103+S103</f>
        <v>29196</v>
      </c>
      <c r="R103" s="828">
        <v>29196</v>
      </c>
      <c r="S103" s="828">
        <v>0</v>
      </c>
      <c r="T103" s="895">
        <f>U103+V103</f>
        <v>0</v>
      </c>
      <c r="U103" s="828">
        <v>0</v>
      </c>
      <c r="V103" s="828">
        <v>0</v>
      </c>
    </row>
    <row r="104" spans="1:22" s="448" customFormat="1" ht="14.25" customHeight="1" hidden="1">
      <c r="A104" s="900"/>
      <c r="B104" s="837"/>
      <c r="C104" s="897"/>
      <c r="D104" s="831"/>
      <c r="E104" s="899"/>
      <c r="F104" s="832"/>
      <c r="G104" s="447">
        <v>594053</v>
      </c>
      <c r="H104" s="447">
        <v>428611</v>
      </c>
      <c r="I104" s="895"/>
      <c r="J104" s="895"/>
      <c r="K104" s="828"/>
      <c r="L104" s="828"/>
      <c r="M104" s="895"/>
      <c r="N104" s="895"/>
      <c r="O104" s="828"/>
      <c r="P104" s="828"/>
      <c r="Q104" s="895"/>
      <c r="R104" s="828"/>
      <c r="S104" s="828"/>
      <c r="T104" s="895"/>
      <c r="U104" s="828"/>
      <c r="V104" s="828"/>
    </row>
    <row r="105" spans="1:22" s="448" customFormat="1" ht="14.25" customHeight="1" hidden="1">
      <c r="A105" s="900"/>
      <c r="B105" s="837"/>
      <c r="C105" s="897"/>
      <c r="D105" s="831"/>
      <c r="E105" s="899"/>
      <c r="F105" s="832"/>
      <c r="G105" s="447">
        <v>0</v>
      </c>
      <c r="H105" s="447">
        <v>0</v>
      </c>
      <c r="I105" s="449">
        <f>J105+M105</f>
        <v>0</v>
      </c>
      <c r="J105" s="449">
        <f>K105+L105</f>
        <v>0</v>
      </c>
      <c r="K105" s="428">
        <v>0</v>
      </c>
      <c r="L105" s="428">
        <v>0</v>
      </c>
      <c r="M105" s="449">
        <f>N105+Q105+T105</f>
        <v>0</v>
      </c>
      <c r="N105" s="449">
        <f>O105+P105</f>
        <v>0</v>
      </c>
      <c r="O105" s="428">
        <v>0</v>
      </c>
      <c r="P105" s="428">
        <v>0</v>
      </c>
      <c r="Q105" s="449">
        <f>R105+S105</f>
        <v>0</v>
      </c>
      <c r="R105" s="428">
        <v>0</v>
      </c>
      <c r="S105" s="428">
        <v>0</v>
      </c>
      <c r="T105" s="449">
        <f>U105+V105</f>
        <v>0</v>
      </c>
      <c r="U105" s="428">
        <v>0</v>
      </c>
      <c r="V105" s="428">
        <v>0</v>
      </c>
    </row>
    <row r="106" spans="1:22" s="448" customFormat="1" ht="14.25" customHeight="1" hidden="1">
      <c r="A106" s="900"/>
      <c r="B106" s="837"/>
      <c r="C106" s="897"/>
      <c r="D106" s="831"/>
      <c r="E106" s="899"/>
      <c r="F106" s="832"/>
      <c r="G106" s="447">
        <v>104833</v>
      </c>
      <c r="H106" s="447">
        <v>75637</v>
      </c>
      <c r="I106" s="895">
        <f aca="true" t="shared" si="17" ref="I106:V106">I103+I105</f>
        <v>194638</v>
      </c>
      <c r="J106" s="895">
        <f t="shared" si="17"/>
        <v>165442</v>
      </c>
      <c r="K106" s="828">
        <f t="shared" si="17"/>
        <v>165442</v>
      </c>
      <c r="L106" s="828">
        <f t="shared" si="17"/>
        <v>0</v>
      </c>
      <c r="M106" s="895">
        <f t="shared" si="17"/>
        <v>29196</v>
      </c>
      <c r="N106" s="895">
        <f t="shared" si="17"/>
        <v>0</v>
      </c>
      <c r="O106" s="828">
        <f t="shared" si="17"/>
        <v>0</v>
      </c>
      <c r="P106" s="828">
        <f t="shared" si="17"/>
        <v>0</v>
      </c>
      <c r="Q106" s="895">
        <f t="shared" si="17"/>
        <v>29196</v>
      </c>
      <c r="R106" s="828">
        <f t="shared" si="17"/>
        <v>29196</v>
      </c>
      <c r="S106" s="828">
        <f t="shared" si="17"/>
        <v>0</v>
      </c>
      <c r="T106" s="895">
        <f t="shared" si="17"/>
        <v>0</v>
      </c>
      <c r="U106" s="828">
        <f t="shared" si="17"/>
        <v>0</v>
      </c>
      <c r="V106" s="828">
        <f t="shared" si="17"/>
        <v>0</v>
      </c>
    </row>
    <row r="107" spans="1:22" s="448" customFormat="1" ht="14.25" customHeight="1" hidden="1">
      <c r="A107" s="900"/>
      <c r="B107" s="838"/>
      <c r="C107" s="898"/>
      <c r="D107" s="831"/>
      <c r="E107" s="899"/>
      <c r="F107" s="832"/>
      <c r="G107" s="447">
        <v>0</v>
      </c>
      <c r="H107" s="447">
        <v>0</v>
      </c>
      <c r="I107" s="895"/>
      <c r="J107" s="895"/>
      <c r="K107" s="828"/>
      <c r="L107" s="828"/>
      <c r="M107" s="895"/>
      <c r="N107" s="895"/>
      <c r="O107" s="828"/>
      <c r="P107" s="828"/>
      <c r="Q107" s="895"/>
      <c r="R107" s="828"/>
      <c r="S107" s="828"/>
      <c r="T107" s="895"/>
      <c r="U107" s="828"/>
      <c r="V107" s="828"/>
    </row>
    <row r="108" spans="1:22" s="448" customFormat="1" ht="14.25" customHeight="1">
      <c r="A108" s="832">
        <v>4</v>
      </c>
      <c r="B108" s="836" t="s">
        <v>861</v>
      </c>
      <c r="C108" s="896" t="s">
        <v>867</v>
      </c>
      <c r="D108" s="831" t="s">
        <v>239</v>
      </c>
      <c r="E108" s="899" t="s">
        <v>863</v>
      </c>
      <c r="F108" s="832" t="s">
        <v>690</v>
      </c>
      <c r="G108" s="447">
        <f>G109+G110+G111+G112</f>
        <v>619300</v>
      </c>
      <c r="H108" s="447">
        <f>H109+H110+H111+H112</f>
        <v>120691</v>
      </c>
      <c r="I108" s="895">
        <f>J108+M108</f>
        <v>347135</v>
      </c>
      <c r="J108" s="895">
        <f>K108+L108</f>
        <v>295066</v>
      </c>
      <c r="K108" s="828">
        <v>295066</v>
      </c>
      <c r="L108" s="828">
        <v>0</v>
      </c>
      <c r="M108" s="895">
        <f>N108+Q108+T108</f>
        <v>52069</v>
      </c>
      <c r="N108" s="895">
        <f>O108+P108</f>
        <v>0</v>
      </c>
      <c r="O108" s="828">
        <v>0</v>
      </c>
      <c r="P108" s="828">
        <v>0</v>
      </c>
      <c r="Q108" s="895">
        <f>R108+S108</f>
        <v>52069</v>
      </c>
      <c r="R108" s="828">
        <v>52069</v>
      </c>
      <c r="S108" s="828">
        <v>0</v>
      </c>
      <c r="T108" s="895">
        <f>U108+V108</f>
        <v>0</v>
      </c>
      <c r="U108" s="828">
        <v>0</v>
      </c>
      <c r="V108" s="828">
        <v>0</v>
      </c>
    </row>
    <row r="109" spans="1:22" s="448" customFormat="1" ht="14.25" customHeight="1">
      <c r="A109" s="832"/>
      <c r="B109" s="837"/>
      <c r="C109" s="897"/>
      <c r="D109" s="831"/>
      <c r="E109" s="899"/>
      <c r="F109" s="832"/>
      <c r="G109" s="447">
        <v>526405</v>
      </c>
      <c r="H109" s="447">
        <v>102587</v>
      </c>
      <c r="I109" s="895"/>
      <c r="J109" s="895"/>
      <c r="K109" s="828"/>
      <c r="L109" s="828"/>
      <c r="M109" s="895"/>
      <c r="N109" s="895"/>
      <c r="O109" s="828"/>
      <c r="P109" s="828"/>
      <c r="Q109" s="895"/>
      <c r="R109" s="828"/>
      <c r="S109" s="828"/>
      <c r="T109" s="895"/>
      <c r="U109" s="828"/>
      <c r="V109" s="828"/>
    </row>
    <row r="110" spans="1:22" s="448" customFormat="1" ht="14.25" customHeight="1">
      <c r="A110" s="832"/>
      <c r="B110" s="837"/>
      <c r="C110" s="897"/>
      <c r="D110" s="831"/>
      <c r="E110" s="899"/>
      <c r="F110" s="832"/>
      <c r="G110" s="447">
        <v>0</v>
      </c>
      <c r="H110" s="447">
        <v>0</v>
      </c>
      <c r="I110" s="449">
        <f>J110+M110</f>
        <v>0</v>
      </c>
      <c r="J110" s="449">
        <f>K110+L110</f>
        <v>0</v>
      </c>
      <c r="K110" s="428">
        <v>0</v>
      </c>
      <c r="L110" s="428">
        <v>0</v>
      </c>
      <c r="M110" s="449">
        <f>N110+Q110+T110</f>
        <v>0</v>
      </c>
      <c r="N110" s="449">
        <f>O110+P110</f>
        <v>0</v>
      </c>
      <c r="O110" s="428">
        <v>0</v>
      </c>
      <c r="P110" s="428">
        <v>0</v>
      </c>
      <c r="Q110" s="449">
        <f>R110+S110</f>
        <v>0</v>
      </c>
      <c r="R110" s="428">
        <v>0</v>
      </c>
      <c r="S110" s="428">
        <v>0</v>
      </c>
      <c r="T110" s="449">
        <f>U110+V110</f>
        <v>0</v>
      </c>
      <c r="U110" s="428">
        <v>0</v>
      </c>
      <c r="V110" s="428">
        <v>0</v>
      </c>
    </row>
    <row r="111" spans="1:22" s="448" customFormat="1" ht="14.25" customHeight="1">
      <c r="A111" s="832"/>
      <c r="B111" s="837"/>
      <c r="C111" s="897"/>
      <c r="D111" s="831"/>
      <c r="E111" s="899"/>
      <c r="F111" s="832"/>
      <c r="G111" s="447">
        <v>92895</v>
      </c>
      <c r="H111" s="447">
        <v>18104</v>
      </c>
      <c r="I111" s="895">
        <f aca="true" t="shared" si="18" ref="I111:V111">I108+I110</f>
        <v>347135</v>
      </c>
      <c r="J111" s="895">
        <f t="shared" si="18"/>
        <v>295066</v>
      </c>
      <c r="K111" s="828">
        <f t="shared" si="18"/>
        <v>295066</v>
      </c>
      <c r="L111" s="828">
        <f t="shared" si="18"/>
        <v>0</v>
      </c>
      <c r="M111" s="895">
        <f t="shared" si="18"/>
        <v>52069</v>
      </c>
      <c r="N111" s="895">
        <f t="shared" si="18"/>
        <v>0</v>
      </c>
      <c r="O111" s="828">
        <f t="shared" si="18"/>
        <v>0</v>
      </c>
      <c r="P111" s="828">
        <f t="shared" si="18"/>
        <v>0</v>
      </c>
      <c r="Q111" s="895">
        <f t="shared" si="18"/>
        <v>52069</v>
      </c>
      <c r="R111" s="828">
        <f t="shared" si="18"/>
        <v>52069</v>
      </c>
      <c r="S111" s="828">
        <f t="shared" si="18"/>
        <v>0</v>
      </c>
      <c r="T111" s="895">
        <f t="shared" si="18"/>
        <v>0</v>
      </c>
      <c r="U111" s="828">
        <f t="shared" si="18"/>
        <v>0</v>
      </c>
      <c r="V111" s="828">
        <f t="shared" si="18"/>
        <v>0</v>
      </c>
    </row>
    <row r="112" spans="1:22" s="448" customFormat="1" ht="14.25" customHeight="1">
      <c r="A112" s="832"/>
      <c r="B112" s="838"/>
      <c r="C112" s="898"/>
      <c r="D112" s="831"/>
      <c r="E112" s="899"/>
      <c r="F112" s="832"/>
      <c r="G112" s="447">
        <v>0</v>
      </c>
      <c r="H112" s="447">
        <v>0</v>
      </c>
      <c r="I112" s="895"/>
      <c r="J112" s="895"/>
      <c r="K112" s="828"/>
      <c r="L112" s="828"/>
      <c r="M112" s="895"/>
      <c r="N112" s="895"/>
      <c r="O112" s="828"/>
      <c r="P112" s="828"/>
      <c r="Q112" s="895"/>
      <c r="R112" s="828"/>
      <c r="S112" s="828"/>
      <c r="T112" s="895"/>
      <c r="U112" s="828"/>
      <c r="V112" s="828"/>
    </row>
    <row r="113" spans="1:22" s="448" customFormat="1" ht="14.25" customHeight="1">
      <c r="A113" s="832">
        <v>5</v>
      </c>
      <c r="B113" s="836" t="s">
        <v>868</v>
      </c>
      <c r="C113" s="896" t="s">
        <v>869</v>
      </c>
      <c r="D113" s="831" t="s">
        <v>239</v>
      </c>
      <c r="E113" s="899" t="s">
        <v>870</v>
      </c>
      <c r="F113" s="832" t="s">
        <v>732</v>
      </c>
      <c r="G113" s="447">
        <f>G114+G115+G116+G117</f>
        <v>789965</v>
      </c>
      <c r="H113" s="447">
        <f>H114+H115+H116+H117</f>
        <v>225500</v>
      </c>
      <c r="I113" s="895">
        <f>J113+M113</f>
        <v>286256</v>
      </c>
      <c r="J113" s="895">
        <f>K113+L113</f>
        <v>243319</v>
      </c>
      <c r="K113" s="828">
        <v>243319</v>
      </c>
      <c r="L113" s="828">
        <v>0</v>
      </c>
      <c r="M113" s="895">
        <f>N113+Q113+T113</f>
        <v>42937</v>
      </c>
      <c r="N113" s="895">
        <f>O113+P113</f>
        <v>0</v>
      </c>
      <c r="O113" s="828">
        <v>0</v>
      </c>
      <c r="P113" s="828">
        <v>0</v>
      </c>
      <c r="Q113" s="895">
        <f>R113+S113</f>
        <v>42937</v>
      </c>
      <c r="R113" s="828">
        <v>42937</v>
      </c>
      <c r="S113" s="828">
        <v>0</v>
      </c>
      <c r="T113" s="895">
        <f>U113+V113</f>
        <v>0</v>
      </c>
      <c r="U113" s="828">
        <v>0</v>
      </c>
      <c r="V113" s="828">
        <v>0</v>
      </c>
    </row>
    <row r="114" spans="1:22" s="448" customFormat="1" ht="14.25" customHeight="1">
      <c r="A114" s="832"/>
      <c r="B114" s="837"/>
      <c r="C114" s="897"/>
      <c r="D114" s="831"/>
      <c r="E114" s="899"/>
      <c r="F114" s="832"/>
      <c r="G114" s="447">
        <v>671470</v>
      </c>
      <c r="H114" s="447">
        <v>191563</v>
      </c>
      <c r="I114" s="895"/>
      <c r="J114" s="895"/>
      <c r="K114" s="828"/>
      <c r="L114" s="828"/>
      <c r="M114" s="895"/>
      <c r="N114" s="895"/>
      <c r="O114" s="828"/>
      <c r="P114" s="828"/>
      <c r="Q114" s="895"/>
      <c r="R114" s="828"/>
      <c r="S114" s="828"/>
      <c r="T114" s="895"/>
      <c r="U114" s="828"/>
      <c r="V114" s="828"/>
    </row>
    <row r="115" spans="1:22" s="448" customFormat="1" ht="14.25" customHeight="1">
      <c r="A115" s="832"/>
      <c r="B115" s="837"/>
      <c r="C115" s="897"/>
      <c r="D115" s="831"/>
      <c r="E115" s="899"/>
      <c r="F115" s="832"/>
      <c r="G115" s="447">
        <v>0</v>
      </c>
      <c r="H115" s="447">
        <v>0</v>
      </c>
      <c r="I115" s="449">
        <f>J115+M115</f>
        <v>0</v>
      </c>
      <c r="J115" s="449">
        <f>K115+L115</f>
        <v>0</v>
      </c>
      <c r="K115" s="428">
        <v>0</v>
      </c>
      <c r="L115" s="428">
        <v>0</v>
      </c>
      <c r="M115" s="449">
        <f>N115+Q115+T115</f>
        <v>0</v>
      </c>
      <c r="N115" s="449">
        <f>O115+P115</f>
        <v>0</v>
      </c>
      <c r="O115" s="428">
        <v>0</v>
      </c>
      <c r="P115" s="428">
        <v>0</v>
      </c>
      <c r="Q115" s="449">
        <f>R115+S115</f>
        <v>0</v>
      </c>
      <c r="R115" s="428">
        <v>0</v>
      </c>
      <c r="S115" s="428">
        <v>0</v>
      </c>
      <c r="T115" s="449">
        <f>U115+V115</f>
        <v>0</v>
      </c>
      <c r="U115" s="428">
        <v>0</v>
      </c>
      <c r="V115" s="428">
        <v>0</v>
      </c>
    </row>
    <row r="116" spans="1:22" s="448" customFormat="1" ht="14.25" customHeight="1">
      <c r="A116" s="832"/>
      <c r="B116" s="837"/>
      <c r="C116" s="897"/>
      <c r="D116" s="831"/>
      <c r="E116" s="899"/>
      <c r="F116" s="832"/>
      <c r="G116" s="447">
        <v>118495</v>
      </c>
      <c r="H116" s="447">
        <v>33937</v>
      </c>
      <c r="I116" s="895">
        <f aca="true" t="shared" si="19" ref="I116:V116">I113+I115</f>
        <v>286256</v>
      </c>
      <c r="J116" s="895">
        <f t="shared" si="19"/>
        <v>243319</v>
      </c>
      <c r="K116" s="828">
        <f t="shared" si="19"/>
        <v>243319</v>
      </c>
      <c r="L116" s="828">
        <f t="shared" si="19"/>
        <v>0</v>
      </c>
      <c r="M116" s="895">
        <f t="shared" si="19"/>
        <v>42937</v>
      </c>
      <c r="N116" s="895">
        <f t="shared" si="19"/>
        <v>0</v>
      </c>
      <c r="O116" s="828">
        <f t="shared" si="19"/>
        <v>0</v>
      </c>
      <c r="P116" s="828">
        <f t="shared" si="19"/>
        <v>0</v>
      </c>
      <c r="Q116" s="895">
        <f t="shared" si="19"/>
        <v>42937</v>
      </c>
      <c r="R116" s="828">
        <f t="shared" si="19"/>
        <v>42937</v>
      </c>
      <c r="S116" s="828">
        <f t="shared" si="19"/>
        <v>0</v>
      </c>
      <c r="T116" s="895">
        <f t="shared" si="19"/>
        <v>0</v>
      </c>
      <c r="U116" s="828">
        <f t="shared" si="19"/>
        <v>0</v>
      </c>
      <c r="V116" s="828">
        <f t="shared" si="19"/>
        <v>0</v>
      </c>
    </row>
    <row r="117" spans="1:22" s="448" customFormat="1" ht="14.25" customHeight="1">
      <c r="A117" s="832"/>
      <c r="B117" s="838"/>
      <c r="C117" s="898"/>
      <c r="D117" s="831"/>
      <c r="E117" s="899"/>
      <c r="F117" s="832"/>
      <c r="G117" s="447">
        <v>0</v>
      </c>
      <c r="H117" s="447">
        <v>0</v>
      </c>
      <c r="I117" s="895"/>
      <c r="J117" s="895"/>
      <c r="K117" s="828"/>
      <c r="L117" s="828"/>
      <c r="M117" s="895"/>
      <c r="N117" s="895"/>
      <c r="O117" s="828"/>
      <c r="P117" s="828"/>
      <c r="Q117" s="895"/>
      <c r="R117" s="828"/>
      <c r="S117" s="828"/>
      <c r="T117" s="895"/>
      <c r="U117" s="828"/>
      <c r="V117" s="828"/>
    </row>
    <row r="118" spans="1:22" s="448" customFormat="1" ht="14.25" customHeight="1" hidden="1">
      <c r="A118" s="900">
        <v>3</v>
      </c>
      <c r="B118" s="836" t="s">
        <v>868</v>
      </c>
      <c r="C118" s="896" t="s">
        <v>871</v>
      </c>
      <c r="D118" s="831" t="s">
        <v>239</v>
      </c>
      <c r="E118" s="899" t="s">
        <v>872</v>
      </c>
      <c r="F118" s="832" t="s">
        <v>610</v>
      </c>
      <c r="G118" s="447">
        <f>G119+G120+G121+G122</f>
        <v>812585</v>
      </c>
      <c r="H118" s="447">
        <f>H119+H120+H121+H122</f>
        <v>338177</v>
      </c>
      <c r="I118" s="895">
        <f>J118+M118</f>
        <v>359396</v>
      </c>
      <c r="J118" s="895">
        <f>K118+L118</f>
        <v>305487</v>
      </c>
      <c r="K118" s="828">
        <v>305487</v>
      </c>
      <c r="L118" s="828">
        <v>0</v>
      </c>
      <c r="M118" s="895">
        <f>N118+Q118+T118</f>
        <v>53909</v>
      </c>
      <c r="N118" s="895">
        <f>O118+P118</f>
        <v>0</v>
      </c>
      <c r="O118" s="828">
        <v>0</v>
      </c>
      <c r="P118" s="828">
        <v>0</v>
      </c>
      <c r="Q118" s="895">
        <f>R118+S118</f>
        <v>53909</v>
      </c>
      <c r="R118" s="828">
        <v>53909</v>
      </c>
      <c r="S118" s="828">
        <v>0</v>
      </c>
      <c r="T118" s="895">
        <f>U118+V118</f>
        <v>0</v>
      </c>
      <c r="U118" s="828">
        <v>0</v>
      </c>
      <c r="V118" s="828">
        <v>0</v>
      </c>
    </row>
    <row r="119" spans="1:22" s="448" customFormat="1" ht="14.25" customHeight="1" hidden="1">
      <c r="A119" s="900"/>
      <c r="B119" s="837"/>
      <c r="C119" s="897"/>
      <c r="D119" s="831"/>
      <c r="E119" s="899"/>
      <c r="F119" s="832"/>
      <c r="G119" s="447">
        <v>690697</v>
      </c>
      <c r="H119" s="447">
        <v>287450</v>
      </c>
      <c r="I119" s="895"/>
      <c r="J119" s="895"/>
      <c r="K119" s="828"/>
      <c r="L119" s="828"/>
      <c r="M119" s="895"/>
      <c r="N119" s="895"/>
      <c r="O119" s="828"/>
      <c r="P119" s="828"/>
      <c r="Q119" s="895"/>
      <c r="R119" s="828"/>
      <c r="S119" s="828"/>
      <c r="T119" s="895"/>
      <c r="U119" s="828"/>
      <c r="V119" s="828"/>
    </row>
    <row r="120" spans="1:22" s="448" customFormat="1" ht="14.25" customHeight="1" hidden="1">
      <c r="A120" s="900"/>
      <c r="B120" s="837"/>
      <c r="C120" s="897"/>
      <c r="D120" s="831"/>
      <c r="E120" s="899"/>
      <c r="F120" s="832"/>
      <c r="G120" s="447">
        <v>0</v>
      </c>
      <c r="H120" s="447">
        <v>0</v>
      </c>
      <c r="I120" s="449">
        <f>J120+M120</f>
        <v>0</v>
      </c>
      <c r="J120" s="449">
        <f>K120+L120</f>
        <v>0</v>
      </c>
      <c r="K120" s="428">
        <v>0</v>
      </c>
      <c r="L120" s="428">
        <v>0</v>
      </c>
      <c r="M120" s="449">
        <f>N120+Q120+T120</f>
        <v>0</v>
      </c>
      <c r="N120" s="449">
        <f>O120+P120</f>
        <v>0</v>
      </c>
      <c r="O120" s="428">
        <v>0</v>
      </c>
      <c r="P120" s="428">
        <v>0</v>
      </c>
      <c r="Q120" s="449">
        <f>R120+S120</f>
        <v>0</v>
      </c>
      <c r="R120" s="428">
        <v>0</v>
      </c>
      <c r="S120" s="428">
        <v>0</v>
      </c>
      <c r="T120" s="449">
        <f>U120+V120</f>
        <v>0</v>
      </c>
      <c r="U120" s="428">
        <v>0</v>
      </c>
      <c r="V120" s="428">
        <v>0</v>
      </c>
    </row>
    <row r="121" spans="1:22" s="448" customFormat="1" ht="14.25" customHeight="1" hidden="1">
      <c r="A121" s="900"/>
      <c r="B121" s="837"/>
      <c r="C121" s="897"/>
      <c r="D121" s="831"/>
      <c r="E121" s="899"/>
      <c r="F121" s="832"/>
      <c r="G121" s="447">
        <v>121888</v>
      </c>
      <c r="H121" s="447">
        <v>50727</v>
      </c>
      <c r="I121" s="895">
        <f aca="true" t="shared" si="20" ref="I121:V121">I118+I120</f>
        <v>359396</v>
      </c>
      <c r="J121" s="895">
        <f t="shared" si="20"/>
        <v>305487</v>
      </c>
      <c r="K121" s="828">
        <f t="shared" si="20"/>
        <v>305487</v>
      </c>
      <c r="L121" s="828">
        <f t="shared" si="20"/>
        <v>0</v>
      </c>
      <c r="M121" s="895">
        <f t="shared" si="20"/>
        <v>53909</v>
      </c>
      <c r="N121" s="895">
        <f t="shared" si="20"/>
        <v>0</v>
      </c>
      <c r="O121" s="828">
        <f t="shared" si="20"/>
        <v>0</v>
      </c>
      <c r="P121" s="828">
        <f t="shared" si="20"/>
        <v>0</v>
      </c>
      <c r="Q121" s="895">
        <f t="shared" si="20"/>
        <v>53909</v>
      </c>
      <c r="R121" s="828">
        <f t="shared" si="20"/>
        <v>53909</v>
      </c>
      <c r="S121" s="828">
        <f t="shared" si="20"/>
        <v>0</v>
      </c>
      <c r="T121" s="895">
        <f t="shared" si="20"/>
        <v>0</v>
      </c>
      <c r="U121" s="828">
        <f t="shared" si="20"/>
        <v>0</v>
      </c>
      <c r="V121" s="828">
        <f t="shared" si="20"/>
        <v>0</v>
      </c>
    </row>
    <row r="122" spans="1:22" s="448" customFormat="1" ht="14.25" customHeight="1" hidden="1">
      <c r="A122" s="900"/>
      <c r="B122" s="838"/>
      <c r="C122" s="898"/>
      <c r="D122" s="831"/>
      <c r="E122" s="899"/>
      <c r="F122" s="832"/>
      <c r="G122" s="447">
        <v>0</v>
      </c>
      <c r="H122" s="447">
        <v>0</v>
      </c>
      <c r="I122" s="895"/>
      <c r="J122" s="895"/>
      <c r="K122" s="828"/>
      <c r="L122" s="828"/>
      <c r="M122" s="895"/>
      <c r="N122" s="895"/>
      <c r="O122" s="828"/>
      <c r="P122" s="828"/>
      <c r="Q122" s="895"/>
      <c r="R122" s="828"/>
      <c r="S122" s="828"/>
      <c r="T122" s="895"/>
      <c r="U122" s="828"/>
      <c r="V122" s="828"/>
    </row>
    <row r="123" spans="1:22" s="448" customFormat="1" ht="14.25" customHeight="1">
      <c r="A123" s="832">
        <v>6</v>
      </c>
      <c r="B123" s="836" t="s">
        <v>868</v>
      </c>
      <c r="C123" s="896" t="s">
        <v>873</v>
      </c>
      <c r="D123" s="831" t="s">
        <v>239</v>
      </c>
      <c r="E123" s="899" t="s">
        <v>872</v>
      </c>
      <c r="F123" s="832" t="s">
        <v>610</v>
      </c>
      <c r="G123" s="447">
        <f>G124+G125+G126+G127</f>
        <v>805853</v>
      </c>
      <c r="H123" s="447">
        <f>H124+H125+H126+H127</f>
        <v>185167</v>
      </c>
      <c r="I123" s="895">
        <f>J123+M123</f>
        <v>491537</v>
      </c>
      <c r="J123" s="895">
        <f>K123+L123</f>
        <v>417808</v>
      </c>
      <c r="K123" s="828">
        <v>417808</v>
      </c>
      <c r="L123" s="828">
        <v>0</v>
      </c>
      <c r="M123" s="895">
        <f>N123+Q123+T123</f>
        <v>73729</v>
      </c>
      <c r="N123" s="895">
        <f>O123+P123</f>
        <v>0</v>
      </c>
      <c r="O123" s="828">
        <v>0</v>
      </c>
      <c r="P123" s="828">
        <v>0</v>
      </c>
      <c r="Q123" s="895">
        <f>R123+S123</f>
        <v>73729</v>
      </c>
      <c r="R123" s="828">
        <v>73729</v>
      </c>
      <c r="S123" s="828">
        <v>0</v>
      </c>
      <c r="T123" s="895">
        <f>U123+V123</f>
        <v>0</v>
      </c>
      <c r="U123" s="828">
        <v>0</v>
      </c>
      <c r="V123" s="828">
        <v>0</v>
      </c>
    </row>
    <row r="124" spans="1:22" s="448" customFormat="1" ht="14.25" customHeight="1">
      <c r="A124" s="832"/>
      <c r="B124" s="837"/>
      <c r="C124" s="897"/>
      <c r="D124" s="831"/>
      <c r="E124" s="899"/>
      <c r="F124" s="832"/>
      <c r="G124" s="447">
        <v>684974</v>
      </c>
      <c r="H124" s="447">
        <v>157392</v>
      </c>
      <c r="I124" s="895"/>
      <c r="J124" s="895"/>
      <c r="K124" s="828"/>
      <c r="L124" s="828"/>
      <c r="M124" s="895"/>
      <c r="N124" s="895"/>
      <c r="O124" s="828"/>
      <c r="P124" s="828"/>
      <c r="Q124" s="895"/>
      <c r="R124" s="828"/>
      <c r="S124" s="828"/>
      <c r="T124" s="895"/>
      <c r="U124" s="828"/>
      <c r="V124" s="828"/>
    </row>
    <row r="125" spans="1:22" s="448" customFormat="1" ht="14.25" customHeight="1">
      <c r="A125" s="832"/>
      <c r="B125" s="837"/>
      <c r="C125" s="897"/>
      <c r="D125" s="831"/>
      <c r="E125" s="899"/>
      <c r="F125" s="832"/>
      <c r="G125" s="447">
        <v>0</v>
      </c>
      <c r="H125" s="447">
        <v>0</v>
      </c>
      <c r="I125" s="449">
        <f>J125+M125</f>
        <v>0</v>
      </c>
      <c r="J125" s="449">
        <f>K125+L125</f>
        <v>0</v>
      </c>
      <c r="K125" s="428">
        <v>0</v>
      </c>
      <c r="L125" s="428">
        <v>0</v>
      </c>
      <c r="M125" s="449">
        <f>N125+Q125+T125</f>
        <v>0</v>
      </c>
      <c r="N125" s="449">
        <f>O125+P125</f>
        <v>0</v>
      </c>
      <c r="O125" s="428">
        <v>0</v>
      </c>
      <c r="P125" s="428">
        <v>0</v>
      </c>
      <c r="Q125" s="449">
        <f>R125+S125</f>
        <v>0</v>
      </c>
      <c r="R125" s="428">
        <v>0</v>
      </c>
      <c r="S125" s="428">
        <v>0</v>
      </c>
      <c r="T125" s="449">
        <f>U125+V125</f>
        <v>0</v>
      </c>
      <c r="U125" s="428">
        <v>0</v>
      </c>
      <c r="V125" s="428">
        <v>0</v>
      </c>
    </row>
    <row r="126" spans="1:22" s="448" customFormat="1" ht="14.25" customHeight="1">
      <c r="A126" s="832"/>
      <c r="B126" s="837"/>
      <c r="C126" s="897"/>
      <c r="D126" s="831"/>
      <c r="E126" s="899"/>
      <c r="F126" s="832"/>
      <c r="G126" s="447">
        <v>120879</v>
      </c>
      <c r="H126" s="447">
        <v>27775</v>
      </c>
      <c r="I126" s="895">
        <f aca="true" t="shared" si="21" ref="I126:V126">I123+I125</f>
        <v>491537</v>
      </c>
      <c r="J126" s="895">
        <f t="shared" si="21"/>
        <v>417808</v>
      </c>
      <c r="K126" s="828">
        <f t="shared" si="21"/>
        <v>417808</v>
      </c>
      <c r="L126" s="828">
        <f t="shared" si="21"/>
        <v>0</v>
      </c>
      <c r="M126" s="895">
        <f t="shared" si="21"/>
        <v>73729</v>
      </c>
      <c r="N126" s="895">
        <f t="shared" si="21"/>
        <v>0</v>
      </c>
      <c r="O126" s="828">
        <f t="shared" si="21"/>
        <v>0</v>
      </c>
      <c r="P126" s="828">
        <f t="shared" si="21"/>
        <v>0</v>
      </c>
      <c r="Q126" s="895">
        <f t="shared" si="21"/>
        <v>73729</v>
      </c>
      <c r="R126" s="828">
        <f t="shared" si="21"/>
        <v>73729</v>
      </c>
      <c r="S126" s="828">
        <f t="shared" si="21"/>
        <v>0</v>
      </c>
      <c r="T126" s="895">
        <f t="shared" si="21"/>
        <v>0</v>
      </c>
      <c r="U126" s="828">
        <f t="shared" si="21"/>
        <v>0</v>
      </c>
      <c r="V126" s="828">
        <f t="shared" si="21"/>
        <v>0</v>
      </c>
    </row>
    <row r="127" spans="1:22" s="448" customFormat="1" ht="14.25" customHeight="1">
      <c r="A127" s="832"/>
      <c r="B127" s="838"/>
      <c r="C127" s="898"/>
      <c r="D127" s="831"/>
      <c r="E127" s="899"/>
      <c r="F127" s="832"/>
      <c r="G127" s="447">
        <v>0</v>
      </c>
      <c r="H127" s="447">
        <v>0</v>
      </c>
      <c r="I127" s="895"/>
      <c r="J127" s="895"/>
      <c r="K127" s="828"/>
      <c r="L127" s="828"/>
      <c r="M127" s="895"/>
      <c r="N127" s="895"/>
      <c r="O127" s="828"/>
      <c r="P127" s="828"/>
      <c r="Q127" s="895"/>
      <c r="R127" s="828"/>
      <c r="S127" s="828"/>
      <c r="T127" s="895"/>
      <c r="U127" s="828"/>
      <c r="V127" s="828"/>
    </row>
    <row r="128" spans="1:22" s="448" customFormat="1" ht="14.25" customHeight="1">
      <c r="A128" s="832">
        <v>7</v>
      </c>
      <c r="B128" s="836" t="s">
        <v>868</v>
      </c>
      <c r="C128" s="896" t="s">
        <v>874</v>
      </c>
      <c r="D128" s="831" t="s">
        <v>239</v>
      </c>
      <c r="E128" s="899" t="s">
        <v>872</v>
      </c>
      <c r="F128" s="832" t="s">
        <v>610</v>
      </c>
      <c r="G128" s="447">
        <f>G129+G130+G131+G132</f>
        <v>824624</v>
      </c>
      <c r="H128" s="447">
        <f>H129+H130+H131+H132</f>
        <v>320321</v>
      </c>
      <c r="I128" s="895">
        <f>J128+M128</f>
        <v>431175</v>
      </c>
      <c r="J128" s="895">
        <f>K128+L128</f>
        <v>366501</v>
      </c>
      <c r="K128" s="828">
        <v>366501</v>
      </c>
      <c r="L128" s="828">
        <v>0</v>
      </c>
      <c r="M128" s="895">
        <f>N128+Q128+T128</f>
        <v>64674</v>
      </c>
      <c r="N128" s="895">
        <f>O128+P128</f>
        <v>0</v>
      </c>
      <c r="O128" s="828">
        <v>0</v>
      </c>
      <c r="P128" s="828">
        <v>0</v>
      </c>
      <c r="Q128" s="895">
        <f>R128+S128</f>
        <v>64674</v>
      </c>
      <c r="R128" s="828">
        <v>64674</v>
      </c>
      <c r="S128" s="828">
        <v>0</v>
      </c>
      <c r="T128" s="895">
        <f>U128+V128</f>
        <v>0</v>
      </c>
      <c r="U128" s="828">
        <v>0</v>
      </c>
      <c r="V128" s="828">
        <v>0</v>
      </c>
    </row>
    <row r="129" spans="1:22" s="448" customFormat="1" ht="14.25" customHeight="1">
      <c r="A129" s="832"/>
      <c r="B129" s="837"/>
      <c r="C129" s="897"/>
      <c r="D129" s="831"/>
      <c r="E129" s="899"/>
      <c r="F129" s="832"/>
      <c r="G129" s="447">
        <v>700930</v>
      </c>
      <c r="H129" s="447">
        <v>272272</v>
      </c>
      <c r="I129" s="895"/>
      <c r="J129" s="895"/>
      <c r="K129" s="828"/>
      <c r="L129" s="828"/>
      <c r="M129" s="895"/>
      <c r="N129" s="895"/>
      <c r="O129" s="828"/>
      <c r="P129" s="828"/>
      <c r="Q129" s="895"/>
      <c r="R129" s="828"/>
      <c r="S129" s="828"/>
      <c r="T129" s="895"/>
      <c r="U129" s="828"/>
      <c r="V129" s="828"/>
    </row>
    <row r="130" spans="1:22" s="448" customFormat="1" ht="14.25" customHeight="1">
      <c r="A130" s="832"/>
      <c r="B130" s="837"/>
      <c r="C130" s="897"/>
      <c r="D130" s="831"/>
      <c r="E130" s="899"/>
      <c r="F130" s="832"/>
      <c r="G130" s="447">
        <v>0</v>
      </c>
      <c r="H130" s="447">
        <v>0</v>
      </c>
      <c r="I130" s="449">
        <f>J130+M130</f>
        <v>0</v>
      </c>
      <c r="J130" s="449">
        <f>K130+L130</f>
        <v>0</v>
      </c>
      <c r="K130" s="428">
        <v>0</v>
      </c>
      <c r="L130" s="428">
        <v>0</v>
      </c>
      <c r="M130" s="449">
        <f>N130+Q130+T130</f>
        <v>0</v>
      </c>
      <c r="N130" s="449">
        <f>O130+P130</f>
        <v>0</v>
      </c>
      <c r="O130" s="428">
        <v>0</v>
      </c>
      <c r="P130" s="428">
        <v>0</v>
      </c>
      <c r="Q130" s="449">
        <f>R130+S130</f>
        <v>0</v>
      </c>
      <c r="R130" s="428">
        <v>0</v>
      </c>
      <c r="S130" s="428">
        <v>0</v>
      </c>
      <c r="T130" s="449">
        <f>U130+V130</f>
        <v>0</v>
      </c>
      <c r="U130" s="428">
        <v>0</v>
      </c>
      <c r="V130" s="428">
        <v>0</v>
      </c>
    </row>
    <row r="131" spans="1:22" s="448" customFormat="1" ht="14.25" customHeight="1">
      <c r="A131" s="832"/>
      <c r="B131" s="837"/>
      <c r="C131" s="897"/>
      <c r="D131" s="831"/>
      <c r="E131" s="899"/>
      <c r="F131" s="832"/>
      <c r="G131" s="447">
        <v>123694</v>
      </c>
      <c r="H131" s="447">
        <v>48049</v>
      </c>
      <c r="I131" s="895">
        <f aca="true" t="shared" si="22" ref="I131:V131">I128+I130</f>
        <v>431175</v>
      </c>
      <c r="J131" s="895">
        <f t="shared" si="22"/>
        <v>366501</v>
      </c>
      <c r="K131" s="828">
        <f t="shared" si="22"/>
        <v>366501</v>
      </c>
      <c r="L131" s="828">
        <f t="shared" si="22"/>
        <v>0</v>
      </c>
      <c r="M131" s="895">
        <f t="shared" si="22"/>
        <v>64674</v>
      </c>
      <c r="N131" s="895">
        <f t="shared" si="22"/>
        <v>0</v>
      </c>
      <c r="O131" s="828">
        <f t="shared" si="22"/>
        <v>0</v>
      </c>
      <c r="P131" s="828">
        <f t="shared" si="22"/>
        <v>0</v>
      </c>
      <c r="Q131" s="895">
        <f t="shared" si="22"/>
        <v>64674</v>
      </c>
      <c r="R131" s="828">
        <f t="shared" si="22"/>
        <v>64674</v>
      </c>
      <c r="S131" s="828">
        <f t="shared" si="22"/>
        <v>0</v>
      </c>
      <c r="T131" s="895">
        <f t="shared" si="22"/>
        <v>0</v>
      </c>
      <c r="U131" s="828">
        <f t="shared" si="22"/>
        <v>0</v>
      </c>
      <c r="V131" s="828">
        <f t="shared" si="22"/>
        <v>0</v>
      </c>
    </row>
    <row r="132" spans="1:22" s="448" customFormat="1" ht="14.25" customHeight="1">
      <c r="A132" s="832"/>
      <c r="B132" s="838"/>
      <c r="C132" s="898"/>
      <c r="D132" s="831"/>
      <c r="E132" s="899"/>
      <c r="F132" s="832"/>
      <c r="G132" s="447">
        <v>0</v>
      </c>
      <c r="H132" s="447">
        <v>0</v>
      </c>
      <c r="I132" s="895"/>
      <c r="J132" s="895"/>
      <c r="K132" s="828"/>
      <c r="L132" s="828"/>
      <c r="M132" s="895"/>
      <c r="N132" s="895"/>
      <c r="O132" s="828"/>
      <c r="P132" s="828"/>
      <c r="Q132" s="895"/>
      <c r="R132" s="828"/>
      <c r="S132" s="828"/>
      <c r="T132" s="895"/>
      <c r="U132" s="828"/>
      <c r="V132" s="828"/>
    </row>
    <row r="133" spans="1:22" s="451" customFormat="1" ht="15">
      <c r="A133" s="886" t="s">
        <v>576</v>
      </c>
      <c r="B133" s="887"/>
      <c r="C133" s="887"/>
      <c r="D133" s="887"/>
      <c r="E133" s="887"/>
      <c r="F133" s="888"/>
      <c r="G133" s="450">
        <f>G108+G103+G98+G88+G93+G43+G83+G78+G73+G68+G63+G58+G53+G23+G33+G28+G18+G113+G118+G123+G128+G38+G48</f>
        <v>131564318</v>
      </c>
      <c r="H133" s="450">
        <f>H108+H103+H98+H88+H93+H43+H83+H78+H73+H68+H63+H58+H53+H23+H33+H28+H18+H113+H118+H123+H128+H38+H48</f>
        <v>66369628</v>
      </c>
      <c r="I133" s="885">
        <f>I18+I23+I28+I33+I38+I43+I48+I53+I58+I63+I68+I73+I78+I83+I88+I93+I98+I103+I108+I113+I118+I123+I128</f>
        <v>45125148</v>
      </c>
      <c r="J133" s="885">
        <f aca="true" t="shared" si="23" ref="J133:V133">J18+J23+J28+J33+J38+J43+J48+J53+J58+J63+J68+J73+J78+J83+J88+J93+J98+J103+J108+J113+J118+J123+J128</f>
        <v>25617046</v>
      </c>
      <c r="K133" s="885">
        <f t="shared" si="23"/>
        <v>14749704</v>
      </c>
      <c r="L133" s="885">
        <f t="shared" si="23"/>
        <v>10867342</v>
      </c>
      <c r="M133" s="885">
        <f t="shared" si="23"/>
        <v>19508102</v>
      </c>
      <c r="N133" s="885">
        <f t="shared" si="23"/>
        <v>6249198</v>
      </c>
      <c r="O133" s="885">
        <f t="shared" si="23"/>
        <v>6249198</v>
      </c>
      <c r="P133" s="885">
        <f t="shared" si="23"/>
        <v>0</v>
      </c>
      <c r="Q133" s="885">
        <f t="shared" si="23"/>
        <v>12562950</v>
      </c>
      <c r="R133" s="885">
        <f t="shared" si="23"/>
        <v>1143855</v>
      </c>
      <c r="S133" s="885">
        <f t="shared" si="23"/>
        <v>11419095</v>
      </c>
      <c r="T133" s="885">
        <f t="shared" si="23"/>
        <v>695954</v>
      </c>
      <c r="U133" s="885">
        <f t="shared" si="23"/>
        <v>695954</v>
      </c>
      <c r="V133" s="885">
        <f t="shared" si="23"/>
        <v>0</v>
      </c>
    </row>
    <row r="134" spans="1:22" s="451" customFormat="1" ht="15">
      <c r="A134" s="889"/>
      <c r="B134" s="890"/>
      <c r="C134" s="890"/>
      <c r="D134" s="890"/>
      <c r="E134" s="890"/>
      <c r="F134" s="891"/>
      <c r="G134" s="450">
        <f aca="true" t="shared" si="24" ref="G134:H137">G109+G104+G99+G89+G94+G44+G84+G79+G74+G69+G64+G59+G54+G24+G34+G29+G19+G114+G119+G124+G129+G39+G49</f>
        <v>82298429</v>
      </c>
      <c r="H134" s="450">
        <f t="shared" si="24"/>
        <v>44015897</v>
      </c>
      <c r="I134" s="885"/>
      <c r="J134" s="885"/>
      <c r="K134" s="885"/>
      <c r="L134" s="885"/>
      <c r="M134" s="885"/>
      <c r="N134" s="885"/>
      <c r="O134" s="885"/>
      <c r="P134" s="885"/>
      <c r="Q134" s="885"/>
      <c r="R134" s="885"/>
      <c r="S134" s="885"/>
      <c r="T134" s="885"/>
      <c r="U134" s="885"/>
      <c r="V134" s="885"/>
    </row>
    <row r="135" spans="1:22" s="451" customFormat="1" ht="15">
      <c r="A135" s="889"/>
      <c r="B135" s="890"/>
      <c r="C135" s="890"/>
      <c r="D135" s="890"/>
      <c r="E135" s="890"/>
      <c r="F135" s="891"/>
      <c r="G135" s="450">
        <f t="shared" si="24"/>
        <v>26601055</v>
      </c>
      <c r="H135" s="450">
        <f t="shared" si="24"/>
        <v>13093719</v>
      </c>
      <c r="I135" s="452">
        <f>I20+I25+I30+I35+I40+I45+I50+I55+I60+I65+I70+I75+I80+I85+I90+I95+I100+I105+I110+I115+I120+I125+I130</f>
        <v>2083595</v>
      </c>
      <c r="J135" s="452">
        <f aca="true" t="shared" si="25" ref="J135:V135">J20+J25+J30+J35+J40+J45+J50+J55+J60+J65+J70+J75+J80+J85+J90+J95+J100+J105+J110+J115+J120+J125+J130</f>
        <v>1755340</v>
      </c>
      <c r="K135" s="452">
        <f t="shared" si="25"/>
        <v>1755340</v>
      </c>
      <c r="L135" s="452">
        <f t="shared" si="25"/>
        <v>0</v>
      </c>
      <c r="M135" s="452">
        <f t="shared" si="25"/>
        <v>328255</v>
      </c>
      <c r="N135" s="452">
        <f t="shared" si="25"/>
        <v>343129</v>
      </c>
      <c r="O135" s="452">
        <f t="shared" si="25"/>
        <v>343129</v>
      </c>
      <c r="P135" s="452">
        <f t="shared" si="25"/>
        <v>0</v>
      </c>
      <c r="Q135" s="452">
        <f t="shared" si="25"/>
        <v>-14874</v>
      </c>
      <c r="R135" s="452">
        <f t="shared" si="25"/>
        <v>-14874</v>
      </c>
      <c r="S135" s="452">
        <f t="shared" si="25"/>
        <v>0</v>
      </c>
      <c r="T135" s="452">
        <f t="shared" si="25"/>
        <v>0</v>
      </c>
      <c r="U135" s="452">
        <f t="shared" si="25"/>
        <v>0</v>
      </c>
      <c r="V135" s="452">
        <f t="shared" si="25"/>
        <v>0</v>
      </c>
    </row>
    <row r="136" spans="1:22" s="451" customFormat="1" ht="15">
      <c r="A136" s="889"/>
      <c r="B136" s="890"/>
      <c r="C136" s="890"/>
      <c r="D136" s="890"/>
      <c r="E136" s="890"/>
      <c r="F136" s="891"/>
      <c r="G136" s="450">
        <f t="shared" si="24"/>
        <v>20198005</v>
      </c>
      <c r="H136" s="450">
        <f t="shared" si="24"/>
        <v>7489137</v>
      </c>
      <c r="I136" s="885">
        <f>I133+I135</f>
        <v>47208743</v>
      </c>
      <c r="J136" s="885">
        <f aca="true" t="shared" si="26" ref="J136:V136">J133+J135</f>
        <v>27372386</v>
      </c>
      <c r="K136" s="885">
        <f t="shared" si="26"/>
        <v>16505044</v>
      </c>
      <c r="L136" s="885">
        <f t="shared" si="26"/>
        <v>10867342</v>
      </c>
      <c r="M136" s="885">
        <f t="shared" si="26"/>
        <v>19836357</v>
      </c>
      <c r="N136" s="885">
        <f t="shared" si="26"/>
        <v>6592327</v>
      </c>
      <c r="O136" s="885">
        <f t="shared" si="26"/>
        <v>6592327</v>
      </c>
      <c r="P136" s="885">
        <f t="shared" si="26"/>
        <v>0</v>
      </c>
      <c r="Q136" s="885">
        <f t="shared" si="26"/>
        <v>12548076</v>
      </c>
      <c r="R136" s="885">
        <f t="shared" si="26"/>
        <v>1128981</v>
      </c>
      <c r="S136" s="885">
        <f t="shared" si="26"/>
        <v>11419095</v>
      </c>
      <c r="T136" s="885">
        <f t="shared" si="26"/>
        <v>695954</v>
      </c>
      <c r="U136" s="885">
        <f t="shared" si="26"/>
        <v>695954</v>
      </c>
      <c r="V136" s="885">
        <f t="shared" si="26"/>
        <v>0</v>
      </c>
    </row>
    <row r="137" spans="1:22" s="451" customFormat="1" ht="15">
      <c r="A137" s="892"/>
      <c r="B137" s="893"/>
      <c r="C137" s="893"/>
      <c r="D137" s="893"/>
      <c r="E137" s="893"/>
      <c r="F137" s="894"/>
      <c r="G137" s="450">
        <f t="shared" si="24"/>
        <v>2466829</v>
      </c>
      <c r="H137" s="450">
        <f t="shared" si="24"/>
        <v>1770875</v>
      </c>
      <c r="I137" s="885"/>
      <c r="J137" s="885"/>
      <c r="K137" s="885"/>
      <c r="L137" s="885"/>
      <c r="M137" s="885"/>
      <c r="N137" s="885"/>
      <c r="O137" s="885"/>
      <c r="P137" s="885"/>
      <c r="Q137" s="885"/>
      <c r="R137" s="885"/>
      <c r="S137" s="885"/>
      <c r="T137" s="885"/>
      <c r="U137" s="885"/>
      <c r="V137" s="885"/>
    </row>
  </sheetData>
  <sheetProtection password="C25B" sheet="1"/>
  <mergeCells count="846">
    <mergeCell ref="T1:V1"/>
    <mergeCell ref="T2:V2"/>
    <mergeCell ref="T3:V3"/>
    <mergeCell ref="A6:V6"/>
    <mergeCell ref="A8:A13"/>
    <mergeCell ref="B8:B13"/>
    <mergeCell ref="C8:C13"/>
    <mergeCell ref="D8:D13"/>
    <mergeCell ref="E8:E13"/>
    <mergeCell ref="F8:F13"/>
    <mergeCell ref="G8:G9"/>
    <mergeCell ref="H8:H9"/>
    <mergeCell ref="I8:V9"/>
    <mergeCell ref="I10:I13"/>
    <mergeCell ref="J10:L11"/>
    <mergeCell ref="M10:M13"/>
    <mergeCell ref="N10:V10"/>
    <mergeCell ref="N11:P11"/>
    <mergeCell ref="Q11:S11"/>
    <mergeCell ref="T11:V11"/>
    <mergeCell ref="J12:J13"/>
    <mergeCell ref="K12:K13"/>
    <mergeCell ref="L12:L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A15:V15"/>
    <mergeCell ref="A16:V16"/>
    <mergeCell ref="A17:V17"/>
    <mergeCell ref="A18:A22"/>
    <mergeCell ref="B18:B22"/>
    <mergeCell ref="C18:C22"/>
    <mergeCell ref="D18:D22"/>
    <mergeCell ref="E18:E22"/>
    <mergeCell ref="F18:F22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A23:A27"/>
    <mergeCell ref="B23:B27"/>
    <mergeCell ref="C23:C27"/>
    <mergeCell ref="D23:D27"/>
    <mergeCell ref="E23:E27"/>
    <mergeCell ref="F23:F27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A28:A32"/>
    <mergeCell ref="B28:B32"/>
    <mergeCell ref="C28:C32"/>
    <mergeCell ref="D28:D32"/>
    <mergeCell ref="E28:E32"/>
    <mergeCell ref="F28:F32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A33:A37"/>
    <mergeCell ref="B33:B37"/>
    <mergeCell ref="C33:C37"/>
    <mergeCell ref="D33:D37"/>
    <mergeCell ref="E33:E37"/>
    <mergeCell ref="F33:F37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A38:A42"/>
    <mergeCell ref="B38:B42"/>
    <mergeCell ref="C38:C42"/>
    <mergeCell ref="D38:D42"/>
    <mergeCell ref="E38:E42"/>
    <mergeCell ref="F38:F42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A43:A47"/>
    <mergeCell ref="B43:B47"/>
    <mergeCell ref="C43:C47"/>
    <mergeCell ref="D43:D47"/>
    <mergeCell ref="E43:E47"/>
    <mergeCell ref="F43:F47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A48:A52"/>
    <mergeCell ref="B48:B52"/>
    <mergeCell ref="C48:C52"/>
    <mergeCell ref="D48:D52"/>
    <mergeCell ref="E48:E52"/>
    <mergeCell ref="F48:F52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A53:A57"/>
    <mergeCell ref="B53:B57"/>
    <mergeCell ref="C53:C57"/>
    <mergeCell ref="D53:D57"/>
    <mergeCell ref="E53:E57"/>
    <mergeCell ref="F53:F57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A58:A62"/>
    <mergeCell ref="B58:B62"/>
    <mergeCell ref="C58:C62"/>
    <mergeCell ref="D58:D62"/>
    <mergeCell ref="E58:E62"/>
    <mergeCell ref="F58:F62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A63:A67"/>
    <mergeCell ref="B63:B67"/>
    <mergeCell ref="C63:C67"/>
    <mergeCell ref="D63:D67"/>
    <mergeCell ref="E63:E67"/>
    <mergeCell ref="F63:F67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V63:V64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A68:A72"/>
    <mergeCell ref="B68:B72"/>
    <mergeCell ref="C68:C72"/>
    <mergeCell ref="D68:D72"/>
    <mergeCell ref="E68:E72"/>
    <mergeCell ref="F68:F72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I71:I72"/>
    <mergeCell ref="J71:J72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A73:A77"/>
    <mergeCell ref="B73:B77"/>
    <mergeCell ref="C73:C77"/>
    <mergeCell ref="D73:D77"/>
    <mergeCell ref="E73:E77"/>
    <mergeCell ref="F73:F77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U73:U74"/>
    <mergeCell ref="V73:V74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A78:A82"/>
    <mergeCell ref="B78:B82"/>
    <mergeCell ref="C78:C82"/>
    <mergeCell ref="D78:D82"/>
    <mergeCell ref="E78:E82"/>
    <mergeCell ref="F78:F82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S81:S82"/>
    <mergeCell ref="T81:T82"/>
    <mergeCell ref="U81:U82"/>
    <mergeCell ref="V81:V82"/>
    <mergeCell ref="A83:A87"/>
    <mergeCell ref="B83:B87"/>
    <mergeCell ref="C83:C87"/>
    <mergeCell ref="D83:D87"/>
    <mergeCell ref="E83:E87"/>
    <mergeCell ref="F83:F87"/>
    <mergeCell ref="I83:I84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S83:S84"/>
    <mergeCell ref="T83:T84"/>
    <mergeCell ref="U83:U84"/>
    <mergeCell ref="V83:V84"/>
    <mergeCell ref="I86:I87"/>
    <mergeCell ref="J86:J87"/>
    <mergeCell ref="K86:K87"/>
    <mergeCell ref="L86:L87"/>
    <mergeCell ref="M86:M87"/>
    <mergeCell ref="N86:N87"/>
    <mergeCell ref="O86:O87"/>
    <mergeCell ref="P86:P87"/>
    <mergeCell ref="Q86:Q87"/>
    <mergeCell ref="R86:R87"/>
    <mergeCell ref="S86:S87"/>
    <mergeCell ref="T86:T87"/>
    <mergeCell ref="U86:U87"/>
    <mergeCell ref="V86:V87"/>
    <mergeCell ref="A88:A92"/>
    <mergeCell ref="B88:B92"/>
    <mergeCell ref="C88:C92"/>
    <mergeCell ref="D88:D92"/>
    <mergeCell ref="E88:E92"/>
    <mergeCell ref="F88:F92"/>
    <mergeCell ref="I88:I89"/>
    <mergeCell ref="J88:J89"/>
    <mergeCell ref="K88:K89"/>
    <mergeCell ref="L88:L89"/>
    <mergeCell ref="M88:M89"/>
    <mergeCell ref="N88:N89"/>
    <mergeCell ref="O88:O89"/>
    <mergeCell ref="P88:P89"/>
    <mergeCell ref="Q88:Q89"/>
    <mergeCell ref="R88:R89"/>
    <mergeCell ref="S88:S89"/>
    <mergeCell ref="T88:T89"/>
    <mergeCell ref="U88:U89"/>
    <mergeCell ref="V88:V89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A93:A97"/>
    <mergeCell ref="B93:B97"/>
    <mergeCell ref="C93:C97"/>
    <mergeCell ref="D93:D97"/>
    <mergeCell ref="E93:E97"/>
    <mergeCell ref="F93:F97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S93:S94"/>
    <mergeCell ref="T93:T94"/>
    <mergeCell ref="U93:U94"/>
    <mergeCell ref="V93:V94"/>
    <mergeCell ref="I96:I97"/>
    <mergeCell ref="J96:J97"/>
    <mergeCell ref="K96:K97"/>
    <mergeCell ref="L96:L97"/>
    <mergeCell ref="M96:M97"/>
    <mergeCell ref="N96:N97"/>
    <mergeCell ref="O96:O97"/>
    <mergeCell ref="P96:P97"/>
    <mergeCell ref="Q96:Q97"/>
    <mergeCell ref="R96:R97"/>
    <mergeCell ref="S96:S97"/>
    <mergeCell ref="T96:T97"/>
    <mergeCell ref="U96:U97"/>
    <mergeCell ref="V96:V97"/>
    <mergeCell ref="A98:A102"/>
    <mergeCell ref="B98:B102"/>
    <mergeCell ref="C98:C102"/>
    <mergeCell ref="D98:D102"/>
    <mergeCell ref="E98:E102"/>
    <mergeCell ref="F98:F102"/>
    <mergeCell ref="I98:I99"/>
    <mergeCell ref="J98:J99"/>
    <mergeCell ref="K98:K99"/>
    <mergeCell ref="L98:L99"/>
    <mergeCell ref="M98:M99"/>
    <mergeCell ref="N98:N99"/>
    <mergeCell ref="O98:O99"/>
    <mergeCell ref="P98:P99"/>
    <mergeCell ref="Q98:Q99"/>
    <mergeCell ref="R98:R99"/>
    <mergeCell ref="S98:S99"/>
    <mergeCell ref="T98:T99"/>
    <mergeCell ref="U98:U99"/>
    <mergeCell ref="V98:V99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A103:A107"/>
    <mergeCell ref="B103:B107"/>
    <mergeCell ref="C103:C107"/>
    <mergeCell ref="D103:D107"/>
    <mergeCell ref="E103:E107"/>
    <mergeCell ref="F103:F107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Q106:Q107"/>
    <mergeCell ref="R106:R107"/>
    <mergeCell ref="S106:S107"/>
    <mergeCell ref="T106:T107"/>
    <mergeCell ref="U106:U107"/>
    <mergeCell ref="V106:V107"/>
    <mergeCell ref="A108:A112"/>
    <mergeCell ref="B108:B112"/>
    <mergeCell ref="C108:C112"/>
    <mergeCell ref="D108:D112"/>
    <mergeCell ref="E108:E112"/>
    <mergeCell ref="F108:F112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U108:U109"/>
    <mergeCell ref="V108:V109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A113:A117"/>
    <mergeCell ref="B113:B117"/>
    <mergeCell ref="C113:C117"/>
    <mergeCell ref="D113:D117"/>
    <mergeCell ref="E113:E117"/>
    <mergeCell ref="F113:F117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T113:T114"/>
    <mergeCell ref="U113:U114"/>
    <mergeCell ref="V113:V114"/>
    <mergeCell ref="I116:I117"/>
    <mergeCell ref="J116:J117"/>
    <mergeCell ref="K116:K117"/>
    <mergeCell ref="L116:L117"/>
    <mergeCell ref="M116:M117"/>
    <mergeCell ref="N116:N117"/>
    <mergeCell ref="O116:O117"/>
    <mergeCell ref="P116:P117"/>
    <mergeCell ref="Q116:Q117"/>
    <mergeCell ref="R116:R117"/>
    <mergeCell ref="S116:S117"/>
    <mergeCell ref="T116:T117"/>
    <mergeCell ref="U116:U117"/>
    <mergeCell ref="V116:V117"/>
    <mergeCell ref="A118:A122"/>
    <mergeCell ref="B118:B122"/>
    <mergeCell ref="C118:C122"/>
    <mergeCell ref="D118:D122"/>
    <mergeCell ref="E118:E122"/>
    <mergeCell ref="F118:F122"/>
    <mergeCell ref="I118:I119"/>
    <mergeCell ref="J118:J119"/>
    <mergeCell ref="K118:K119"/>
    <mergeCell ref="L118:L119"/>
    <mergeCell ref="M118:M119"/>
    <mergeCell ref="N118:N119"/>
    <mergeCell ref="O118:O119"/>
    <mergeCell ref="P118:P119"/>
    <mergeCell ref="Q118:Q119"/>
    <mergeCell ref="R118:R119"/>
    <mergeCell ref="S118:S119"/>
    <mergeCell ref="T118:T119"/>
    <mergeCell ref="U118:U119"/>
    <mergeCell ref="V118:V119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U121:U122"/>
    <mergeCell ref="V121:V122"/>
    <mergeCell ref="A123:A127"/>
    <mergeCell ref="B123:B127"/>
    <mergeCell ref="C123:C127"/>
    <mergeCell ref="D123:D127"/>
    <mergeCell ref="E123:E127"/>
    <mergeCell ref="F123:F127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T123:T124"/>
    <mergeCell ref="U123:U124"/>
    <mergeCell ref="V123:V124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R126:R127"/>
    <mergeCell ref="S126:S127"/>
    <mergeCell ref="T126:T127"/>
    <mergeCell ref="U126:U127"/>
    <mergeCell ref="V126:V127"/>
    <mergeCell ref="A128:A132"/>
    <mergeCell ref="B128:B132"/>
    <mergeCell ref="C128:C132"/>
    <mergeCell ref="D128:D132"/>
    <mergeCell ref="E128:E132"/>
    <mergeCell ref="F128:F132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S128:S129"/>
    <mergeCell ref="T128:T129"/>
    <mergeCell ref="U128:U129"/>
    <mergeCell ref="V128:V129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T131:T132"/>
    <mergeCell ref="U131:U132"/>
    <mergeCell ref="V131:V132"/>
    <mergeCell ref="A133:F137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T133:T134"/>
    <mergeCell ref="U133:U134"/>
    <mergeCell ref="V133:V134"/>
    <mergeCell ref="I136:I137"/>
    <mergeCell ref="J136:J137"/>
    <mergeCell ref="K136:K137"/>
    <mergeCell ref="L136:L137"/>
    <mergeCell ref="M136:M137"/>
    <mergeCell ref="N136:N137"/>
    <mergeCell ref="U136:U137"/>
    <mergeCell ref="V136:V137"/>
    <mergeCell ref="O136:O137"/>
    <mergeCell ref="P136:P137"/>
    <mergeCell ref="Q136:Q137"/>
    <mergeCell ref="R136:R137"/>
    <mergeCell ref="S136:S137"/>
    <mergeCell ref="T136:T137"/>
  </mergeCells>
  <printOptions horizontalCentered="1"/>
  <pageMargins left="0.2362204724409449" right="0.1968503937007874" top="0.984251968503937" bottom="0.7480314960629921" header="0.31496062992125984" footer="0.31496062992125984"/>
  <pageSetup horizontalDpi="600" verticalDpi="60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26"/>
  <sheetViews>
    <sheetView view="pageBreakPreview" zoomScaleSheetLayoutView="100" zoomScalePageLayoutView="0" workbookViewId="0" topLeftCell="A199">
      <selection activeCell="D230" sqref="D230:D232"/>
    </sheetView>
  </sheetViews>
  <sheetFormatPr defaultColWidth="8.796875" defaultRowHeight="14.25"/>
  <cols>
    <col min="1" max="1" width="4.09765625" style="26" customWidth="1"/>
    <col min="2" max="2" width="6.19921875" style="27" customWidth="1"/>
    <col min="3" max="3" width="8.3984375" style="27" customWidth="1"/>
    <col min="4" max="4" width="38.5" style="27" customWidth="1"/>
    <col min="5" max="5" width="10.19921875" style="27" customWidth="1"/>
    <col min="6" max="6" width="2.19921875" style="27" customWidth="1"/>
    <col min="7" max="7" width="11.8984375" style="27" customWidth="1"/>
    <col min="8" max="8" width="11.69921875" style="27" customWidth="1"/>
    <col min="9" max="9" width="12.09765625" style="27" customWidth="1"/>
    <col min="10" max="10" width="12.8984375" style="27" customWidth="1"/>
    <col min="11" max="11" width="12" style="27" customWidth="1"/>
    <col min="12" max="12" width="30.19921875" style="27" customWidth="1"/>
    <col min="13" max="16384" width="9" style="27" customWidth="1"/>
  </cols>
  <sheetData>
    <row r="1" spans="11:12" ht="12.75" customHeight="1">
      <c r="K1" s="4" t="s">
        <v>876</v>
      </c>
      <c r="L1" s="3"/>
    </row>
    <row r="2" spans="1:12" s="99" customFormat="1" ht="12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4" t="s">
        <v>410</v>
      </c>
      <c r="L2" s="98"/>
    </row>
    <row r="3" spans="1:12" s="99" customFormat="1" ht="12.7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4" t="s">
        <v>411</v>
      </c>
      <c r="L3" s="98"/>
    </row>
    <row r="4" spans="1:12" s="99" customFormat="1" ht="3.7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6" s="29" customFormat="1" ht="26.25" customHeight="1">
      <c r="A5" s="935" t="s">
        <v>225</v>
      </c>
      <c r="B5" s="935"/>
      <c r="C5" s="935"/>
      <c r="D5" s="935"/>
      <c r="E5" s="935"/>
      <c r="F5" s="935"/>
      <c r="G5" s="935"/>
      <c r="H5" s="935"/>
      <c r="I5" s="935"/>
      <c r="J5" s="935"/>
      <c r="K5" s="935"/>
      <c r="L5" s="935"/>
      <c r="M5" s="28"/>
      <c r="N5" s="28"/>
      <c r="O5" s="28"/>
      <c r="P5" s="28"/>
    </row>
    <row r="6" spans="7:12" ht="12.75" customHeight="1">
      <c r="G6" s="100"/>
      <c r="L6" s="101" t="s">
        <v>0</v>
      </c>
    </row>
    <row r="7" spans="1:12" s="102" customFormat="1" ht="12.75" customHeight="1">
      <c r="A7" s="968" t="s">
        <v>74</v>
      </c>
      <c r="B7" s="968" t="s">
        <v>1</v>
      </c>
      <c r="C7" s="968" t="s">
        <v>8</v>
      </c>
      <c r="D7" s="968" t="s">
        <v>226</v>
      </c>
      <c r="E7" s="968" t="s">
        <v>227</v>
      </c>
      <c r="F7" s="971" t="s">
        <v>11</v>
      </c>
      <c r="G7" s="968" t="s">
        <v>228</v>
      </c>
      <c r="H7" s="968" t="s">
        <v>229</v>
      </c>
      <c r="I7" s="969" t="s">
        <v>230</v>
      </c>
      <c r="J7" s="969"/>
      <c r="K7" s="969"/>
      <c r="L7" s="968" t="s">
        <v>231</v>
      </c>
    </row>
    <row r="8" spans="1:12" s="102" customFormat="1" ht="12.75" customHeight="1">
      <c r="A8" s="968"/>
      <c r="B8" s="968"/>
      <c r="C8" s="968"/>
      <c r="D8" s="968"/>
      <c r="E8" s="968"/>
      <c r="F8" s="972"/>
      <c r="G8" s="968"/>
      <c r="H8" s="968"/>
      <c r="I8" s="968" t="s">
        <v>232</v>
      </c>
      <c r="J8" s="970" t="s">
        <v>233</v>
      </c>
      <c r="K8" s="970"/>
      <c r="L8" s="968"/>
    </row>
    <row r="9" spans="1:12" s="102" customFormat="1" ht="12.75" customHeight="1">
      <c r="A9" s="968"/>
      <c r="B9" s="968"/>
      <c r="C9" s="968"/>
      <c r="D9" s="968"/>
      <c r="E9" s="968"/>
      <c r="F9" s="972"/>
      <c r="G9" s="968"/>
      <c r="H9" s="968"/>
      <c r="I9" s="968"/>
      <c r="J9" s="968" t="s">
        <v>234</v>
      </c>
      <c r="K9" s="968" t="s">
        <v>235</v>
      </c>
      <c r="L9" s="968"/>
    </row>
    <row r="10" spans="1:12" s="103" customFormat="1" ht="18" customHeight="1">
      <c r="A10" s="968"/>
      <c r="B10" s="968"/>
      <c r="C10" s="968"/>
      <c r="D10" s="968"/>
      <c r="E10" s="968"/>
      <c r="F10" s="973"/>
      <c r="G10" s="968"/>
      <c r="H10" s="968"/>
      <c r="I10" s="968"/>
      <c r="J10" s="968"/>
      <c r="K10" s="968"/>
      <c r="L10" s="968"/>
    </row>
    <row r="11" spans="1:12" s="105" customFormat="1" ht="12.75">
      <c r="A11" s="104">
        <v>1</v>
      </c>
      <c r="B11" s="104">
        <v>2</v>
      </c>
      <c r="C11" s="104">
        <v>3</v>
      </c>
      <c r="D11" s="104">
        <v>4</v>
      </c>
      <c r="E11" s="104">
        <v>5</v>
      </c>
      <c r="F11" s="104"/>
      <c r="G11" s="104">
        <v>6</v>
      </c>
      <c r="H11" s="104">
        <v>7</v>
      </c>
      <c r="I11" s="104">
        <v>8</v>
      </c>
      <c r="J11" s="104">
        <v>9</v>
      </c>
      <c r="K11" s="104">
        <v>10</v>
      </c>
      <c r="L11" s="104">
        <v>11</v>
      </c>
    </row>
    <row r="12" spans="1:12" ht="3" customHeight="1">
      <c r="A12" s="106"/>
      <c r="B12" s="107"/>
      <c r="C12" s="107"/>
      <c r="D12" s="107"/>
      <c r="E12" s="107"/>
      <c r="F12" s="107"/>
      <c r="G12" s="107"/>
      <c r="H12" s="107"/>
      <c r="I12" s="107"/>
      <c r="J12" s="107"/>
      <c r="K12" s="106"/>
      <c r="L12" s="107"/>
    </row>
    <row r="13" spans="1:12" s="110" customFormat="1" ht="15" customHeight="1">
      <c r="A13" s="946"/>
      <c r="B13" s="946"/>
      <c r="C13" s="946"/>
      <c r="D13" s="965" t="s">
        <v>12</v>
      </c>
      <c r="E13" s="946" t="s">
        <v>75</v>
      </c>
      <c r="F13" s="108" t="s">
        <v>13</v>
      </c>
      <c r="G13" s="946" t="s">
        <v>75</v>
      </c>
      <c r="H13" s="946" t="s">
        <v>75</v>
      </c>
      <c r="I13" s="109">
        <f aca="true" t="shared" si="0" ref="I13:K14">I197+I303+I309+I315</f>
        <v>420661087</v>
      </c>
      <c r="J13" s="109">
        <f t="shared" si="0"/>
        <v>143362409</v>
      </c>
      <c r="K13" s="109">
        <f t="shared" si="0"/>
        <v>277298678</v>
      </c>
      <c r="L13" s="946" t="s">
        <v>75</v>
      </c>
    </row>
    <row r="14" spans="1:12" s="110" customFormat="1" ht="15" customHeight="1">
      <c r="A14" s="947"/>
      <c r="B14" s="947"/>
      <c r="C14" s="947"/>
      <c r="D14" s="966"/>
      <c r="E14" s="947"/>
      <c r="F14" s="108" t="s">
        <v>14</v>
      </c>
      <c r="G14" s="947"/>
      <c r="H14" s="947"/>
      <c r="I14" s="109">
        <f t="shared" si="0"/>
        <v>7870659</v>
      </c>
      <c r="J14" s="109">
        <f t="shared" si="0"/>
        <v>11004165</v>
      </c>
      <c r="K14" s="109">
        <f t="shared" si="0"/>
        <v>-3133506</v>
      </c>
      <c r="L14" s="947"/>
    </row>
    <row r="15" spans="1:12" s="110" customFormat="1" ht="15" customHeight="1">
      <c r="A15" s="948"/>
      <c r="B15" s="948"/>
      <c r="C15" s="948"/>
      <c r="D15" s="967"/>
      <c r="E15" s="948"/>
      <c r="F15" s="108" t="s">
        <v>15</v>
      </c>
      <c r="G15" s="948"/>
      <c r="H15" s="948"/>
      <c r="I15" s="109">
        <f>I13+I14</f>
        <v>428531746</v>
      </c>
      <c r="J15" s="109">
        <f>J13+J14</f>
        <v>154366574</v>
      </c>
      <c r="K15" s="109">
        <f>K13+K14</f>
        <v>274165172</v>
      </c>
      <c r="L15" s="948"/>
    </row>
    <row r="16" spans="1:12" ht="3" customHeight="1">
      <c r="A16" s="106"/>
      <c r="B16" s="107"/>
      <c r="C16" s="107"/>
      <c r="D16" s="111"/>
      <c r="E16" s="112"/>
      <c r="F16" s="112"/>
      <c r="G16" s="107"/>
      <c r="H16" s="107"/>
      <c r="I16" s="107"/>
      <c r="J16" s="107"/>
      <c r="K16" s="106"/>
      <c r="L16" s="107"/>
    </row>
    <row r="17" spans="1:12" s="113" customFormat="1" ht="18" customHeight="1">
      <c r="A17" s="108" t="s">
        <v>236</v>
      </c>
      <c r="B17" s="936" t="s">
        <v>237</v>
      </c>
      <c r="C17" s="936"/>
      <c r="D17" s="936"/>
      <c r="E17" s="936"/>
      <c r="F17" s="936"/>
      <c r="G17" s="936"/>
      <c r="H17" s="936"/>
      <c r="I17" s="936"/>
      <c r="J17" s="936"/>
      <c r="K17" s="936"/>
      <c r="L17" s="936"/>
    </row>
    <row r="18" spans="1:12" ht="3.75" customHeight="1">
      <c r="A18" s="106"/>
      <c r="B18" s="114"/>
      <c r="C18" s="114"/>
      <c r="D18" s="107"/>
      <c r="E18" s="107"/>
      <c r="F18" s="107"/>
      <c r="G18" s="107"/>
      <c r="H18" s="107"/>
      <c r="I18" s="107"/>
      <c r="J18" s="107"/>
      <c r="K18" s="106"/>
      <c r="L18" s="107"/>
    </row>
    <row r="19" spans="1:12" s="117" customFormat="1" ht="12.75" hidden="1">
      <c r="A19" s="920"/>
      <c r="B19" s="923" t="s">
        <v>16</v>
      </c>
      <c r="C19" s="923"/>
      <c r="D19" s="929" t="s">
        <v>17</v>
      </c>
      <c r="E19" s="920" t="s">
        <v>75</v>
      </c>
      <c r="F19" s="115" t="s">
        <v>13</v>
      </c>
      <c r="G19" s="116">
        <f>G22</f>
        <v>6000000</v>
      </c>
      <c r="H19" s="956" t="s">
        <v>75</v>
      </c>
      <c r="I19" s="116">
        <f aca="true" t="shared" si="1" ref="I19:K20">I22</f>
        <v>6000000</v>
      </c>
      <c r="J19" s="116">
        <f t="shared" si="1"/>
        <v>6000000</v>
      </c>
      <c r="K19" s="116">
        <f t="shared" si="1"/>
        <v>0</v>
      </c>
      <c r="L19" s="920" t="s">
        <v>75</v>
      </c>
    </row>
    <row r="20" spans="1:12" s="117" customFormat="1" ht="12.75" hidden="1">
      <c r="A20" s="921"/>
      <c r="B20" s="924"/>
      <c r="C20" s="924"/>
      <c r="D20" s="930"/>
      <c r="E20" s="921"/>
      <c r="F20" s="115" t="s">
        <v>14</v>
      </c>
      <c r="G20" s="116">
        <f>G23</f>
        <v>0</v>
      </c>
      <c r="H20" s="957"/>
      <c r="I20" s="116">
        <f t="shared" si="1"/>
        <v>0</v>
      </c>
      <c r="J20" s="116">
        <f t="shared" si="1"/>
        <v>0</v>
      </c>
      <c r="K20" s="116">
        <f t="shared" si="1"/>
        <v>0</v>
      </c>
      <c r="L20" s="921"/>
    </row>
    <row r="21" spans="1:12" s="117" customFormat="1" ht="12.75" hidden="1">
      <c r="A21" s="922"/>
      <c r="B21" s="925"/>
      <c r="C21" s="925"/>
      <c r="D21" s="931"/>
      <c r="E21" s="922"/>
      <c r="F21" s="115" t="s">
        <v>15</v>
      </c>
      <c r="G21" s="116">
        <f>G19+G20</f>
        <v>6000000</v>
      </c>
      <c r="H21" s="958"/>
      <c r="I21" s="116">
        <f>I19+I20</f>
        <v>6000000</v>
      </c>
      <c r="J21" s="116">
        <f>J19+J20</f>
        <v>6000000</v>
      </c>
      <c r="K21" s="116">
        <f>K19+K20</f>
        <v>0</v>
      </c>
      <c r="L21" s="922"/>
    </row>
    <row r="22" spans="1:12" s="54" customFormat="1" ht="21" customHeight="1" hidden="1">
      <c r="A22" s="910">
        <v>1</v>
      </c>
      <c r="B22" s="913"/>
      <c r="C22" s="913" t="s">
        <v>18</v>
      </c>
      <c r="D22" s="907" t="s">
        <v>238</v>
      </c>
      <c r="E22" s="910">
        <v>2020</v>
      </c>
      <c r="F22" s="118" t="s">
        <v>13</v>
      </c>
      <c r="G22" s="119">
        <v>6000000</v>
      </c>
      <c r="H22" s="916" t="s">
        <v>75</v>
      </c>
      <c r="I22" s="119">
        <f>J22+K22</f>
        <v>6000000</v>
      </c>
      <c r="J22" s="119">
        <v>6000000</v>
      </c>
      <c r="K22" s="119">
        <v>0</v>
      </c>
      <c r="L22" s="907" t="s">
        <v>239</v>
      </c>
    </row>
    <row r="23" spans="1:12" s="54" customFormat="1" ht="21" customHeight="1" hidden="1">
      <c r="A23" s="911"/>
      <c r="B23" s="914"/>
      <c r="C23" s="914"/>
      <c r="D23" s="908"/>
      <c r="E23" s="911"/>
      <c r="F23" s="118" t="s">
        <v>14</v>
      </c>
      <c r="G23" s="119"/>
      <c r="H23" s="917"/>
      <c r="I23" s="119">
        <f>J23+K23</f>
        <v>0</v>
      </c>
      <c r="J23" s="119"/>
      <c r="K23" s="119"/>
      <c r="L23" s="908"/>
    </row>
    <row r="24" spans="1:12" s="54" customFormat="1" ht="21" customHeight="1" hidden="1">
      <c r="A24" s="912"/>
      <c r="B24" s="915"/>
      <c r="C24" s="915"/>
      <c r="D24" s="909"/>
      <c r="E24" s="912"/>
      <c r="F24" s="118" t="s">
        <v>15</v>
      </c>
      <c r="G24" s="119">
        <f>G22+G23</f>
        <v>6000000</v>
      </c>
      <c r="H24" s="918"/>
      <c r="I24" s="119">
        <f>I22+I23</f>
        <v>6000000</v>
      </c>
      <c r="J24" s="119">
        <f>J22+J23</f>
        <v>6000000</v>
      </c>
      <c r="K24" s="119">
        <f>K22+K23</f>
        <v>0</v>
      </c>
      <c r="L24" s="909"/>
    </row>
    <row r="25" spans="1:12" s="117" customFormat="1" ht="12" customHeight="1">
      <c r="A25" s="920"/>
      <c r="B25" s="923" t="s">
        <v>19</v>
      </c>
      <c r="C25" s="923"/>
      <c r="D25" s="929" t="s">
        <v>20</v>
      </c>
      <c r="E25" s="920" t="s">
        <v>75</v>
      </c>
      <c r="F25" s="115" t="s">
        <v>13</v>
      </c>
      <c r="G25" s="116">
        <f>G28+G31+G34+G37+G43+G40+G46+G49</f>
        <v>22700000</v>
      </c>
      <c r="H25" s="956" t="s">
        <v>75</v>
      </c>
      <c r="I25" s="116">
        <f aca="true" t="shared" si="2" ref="I25:K26">I28+I31+I34+I37+I43+I40+I46+I49</f>
        <v>22700000</v>
      </c>
      <c r="J25" s="116">
        <f t="shared" si="2"/>
        <v>22700000</v>
      </c>
      <c r="K25" s="116">
        <f t="shared" si="2"/>
        <v>0</v>
      </c>
      <c r="L25" s="920" t="s">
        <v>75</v>
      </c>
    </row>
    <row r="26" spans="1:12" s="117" customFormat="1" ht="12" customHeight="1">
      <c r="A26" s="921"/>
      <c r="B26" s="924"/>
      <c r="C26" s="924"/>
      <c r="D26" s="930"/>
      <c r="E26" s="921"/>
      <c r="F26" s="115" t="s">
        <v>14</v>
      </c>
      <c r="G26" s="116">
        <f>G29+G32+G35+G38+G44+G41+G47+G50</f>
        <v>-283239</v>
      </c>
      <c r="H26" s="957"/>
      <c r="I26" s="116">
        <f t="shared" si="2"/>
        <v>-283239</v>
      </c>
      <c r="J26" s="116">
        <f t="shared" si="2"/>
        <v>-283239</v>
      </c>
      <c r="K26" s="116">
        <f t="shared" si="2"/>
        <v>0</v>
      </c>
      <c r="L26" s="921"/>
    </row>
    <row r="27" spans="1:12" s="117" customFormat="1" ht="12" customHeight="1">
      <c r="A27" s="922"/>
      <c r="B27" s="925"/>
      <c r="C27" s="925"/>
      <c r="D27" s="931"/>
      <c r="E27" s="922"/>
      <c r="F27" s="115" t="s">
        <v>15</v>
      </c>
      <c r="G27" s="116">
        <f>G25+G26</f>
        <v>22416761</v>
      </c>
      <c r="H27" s="958"/>
      <c r="I27" s="116">
        <f>I25+I26</f>
        <v>22416761</v>
      </c>
      <c r="J27" s="116">
        <f>J25+J26</f>
        <v>22416761</v>
      </c>
      <c r="K27" s="116">
        <f>K25+K26</f>
        <v>0</v>
      </c>
      <c r="L27" s="922"/>
    </row>
    <row r="28" spans="1:12" s="54" customFormat="1" ht="12" customHeight="1">
      <c r="A28" s="910">
        <v>1</v>
      </c>
      <c r="B28" s="913"/>
      <c r="C28" s="913" t="s">
        <v>21</v>
      </c>
      <c r="D28" s="907" t="s">
        <v>240</v>
      </c>
      <c r="E28" s="910">
        <v>2020</v>
      </c>
      <c r="F28" s="118" t="s">
        <v>13</v>
      </c>
      <c r="G28" s="119">
        <v>11000000</v>
      </c>
      <c r="H28" s="916" t="s">
        <v>75</v>
      </c>
      <c r="I28" s="119">
        <f aca="true" t="shared" si="3" ref="I28:I44">J28+K28</f>
        <v>11000000</v>
      </c>
      <c r="J28" s="119">
        <v>11000000</v>
      </c>
      <c r="K28" s="119">
        <v>0</v>
      </c>
      <c r="L28" s="907" t="s">
        <v>241</v>
      </c>
    </row>
    <row r="29" spans="1:12" s="54" customFormat="1" ht="12" customHeight="1">
      <c r="A29" s="911"/>
      <c r="B29" s="914"/>
      <c r="C29" s="914"/>
      <c r="D29" s="908"/>
      <c r="E29" s="911"/>
      <c r="F29" s="118" t="s">
        <v>14</v>
      </c>
      <c r="G29" s="119">
        <v>289987</v>
      </c>
      <c r="H29" s="917"/>
      <c r="I29" s="119">
        <f t="shared" si="3"/>
        <v>289987</v>
      </c>
      <c r="J29" s="119">
        <v>289987</v>
      </c>
      <c r="K29" s="119"/>
      <c r="L29" s="908"/>
    </row>
    <row r="30" spans="1:12" s="54" customFormat="1" ht="12" customHeight="1">
      <c r="A30" s="912"/>
      <c r="B30" s="915"/>
      <c r="C30" s="915"/>
      <c r="D30" s="909"/>
      <c r="E30" s="912"/>
      <c r="F30" s="118" t="s">
        <v>15</v>
      </c>
      <c r="G30" s="119">
        <f>G28+G29</f>
        <v>11289987</v>
      </c>
      <c r="H30" s="918"/>
      <c r="I30" s="119">
        <f>I28+I29</f>
        <v>11289987</v>
      </c>
      <c r="J30" s="119">
        <f>J28+J29</f>
        <v>11289987</v>
      </c>
      <c r="K30" s="119">
        <f>K28+K29</f>
        <v>0</v>
      </c>
      <c r="L30" s="909"/>
    </row>
    <row r="31" spans="1:12" s="54" customFormat="1" ht="12.75" hidden="1">
      <c r="A31" s="910">
        <v>3</v>
      </c>
      <c r="B31" s="913"/>
      <c r="C31" s="913" t="s">
        <v>21</v>
      </c>
      <c r="D31" s="907" t="s">
        <v>242</v>
      </c>
      <c r="E31" s="910">
        <v>2020</v>
      </c>
      <c r="F31" s="118" t="s">
        <v>13</v>
      </c>
      <c r="G31" s="119">
        <v>3500000</v>
      </c>
      <c r="H31" s="916" t="s">
        <v>75</v>
      </c>
      <c r="I31" s="119">
        <f t="shared" si="3"/>
        <v>3500000</v>
      </c>
      <c r="J31" s="119">
        <v>3500000</v>
      </c>
      <c r="K31" s="119">
        <v>0</v>
      </c>
      <c r="L31" s="907" t="s">
        <v>241</v>
      </c>
    </row>
    <row r="32" spans="1:12" s="54" customFormat="1" ht="12.75" hidden="1">
      <c r="A32" s="911"/>
      <c r="B32" s="914"/>
      <c r="C32" s="914"/>
      <c r="D32" s="908"/>
      <c r="E32" s="911"/>
      <c r="F32" s="118" t="s">
        <v>14</v>
      </c>
      <c r="G32" s="119"/>
      <c r="H32" s="917"/>
      <c r="I32" s="119">
        <f t="shared" si="3"/>
        <v>0</v>
      </c>
      <c r="J32" s="119"/>
      <c r="K32" s="119"/>
      <c r="L32" s="908"/>
    </row>
    <row r="33" spans="1:12" s="54" customFormat="1" ht="12.75" hidden="1">
      <c r="A33" s="912"/>
      <c r="B33" s="915"/>
      <c r="C33" s="915"/>
      <c r="D33" s="909"/>
      <c r="E33" s="912"/>
      <c r="F33" s="118" t="s">
        <v>15</v>
      </c>
      <c r="G33" s="119">
        <f>G31+G32</f>
        <v>3500000</v>
      </c>
      <c r="H33" s="918"/>
      <c r="I33" s="119">
        <f>I31+I32</f>
        <v>3500000</v>
      </c>
      <c r="J33" s="119">
        <f>J31+J32</f>
        <v>3500000</v>
      </c>
      <c r="K33" s="119">
        <f>K31+K32</f>
        <v>0</v>
      </c>
      <c r="L33" s="909"/>
    </row>
    <row r="34" spans="1:12" s="54" customFormat="1" ht="13.5" customHeight="1" hidden="1">
      <c r="A34" s="910">
        <v>4</v>
      </c>
      <c r="B34" s="913"/>
      <c r="C34" s="913" t="s">
        <v>21</v>
      </c>
      <c r="D34" s="907" t="s">
        <v>243</v>
      </c>
      <c r="E34" s="910">
        <v>2020</v>
      </c>
      <c r="F34" s="118" t="s">
        <v>13</v>
      </c>
      <c r="G34" s="119">
        <v>1500000</v>
      </c>
      <c r="H34" s="916" t="s">
        <v>75</v>
      </c>
      <c r="I34" s="119">
        <f t="shared" si="3"/>
        <v>1500000</v>
      </c>
      <c r="J34" s="119">
        <v>1500000</v>
      </c>
      <c r="K34" s="119">
        <v>0</v>
      </c>
      <c r="L34" s="907" t="s">
        <v>241</v>
      </c>
    </row>
    <row r="35" spans="1:12" s="54" customFormat="1" ht="13.5" customHeight="1" hidden="1">
      <c r="A35" s="911"/>
      <c r="B35" s="914"/>
      <c r="C35" s="914"/>
      <c r="D35" s="908"/>
      <c r="E35" s="911"/>
      <c r="F35" s="118" t="s">
        <v>14</v>
      </c>
      <c r="G35" s="119"/>
      <c r="H35" s="917"/>
      <c r="I35" s="119">
        <f t="shared" si="3"/>
        <v>0</v>
      </c>
      <c r="J35" s="119"/>
      <c r="K35" s="119"/>
      <c r="L35" s="908"/>
    </row>
    <row r="36" spans="1:12" s="54" customFormat="1" ht="13.5" customHeight="1" hidden="1">
      <c r="A36" s="912"/>
      <c r="B36" s="915"/>
      <c r="C36" s="915"/>
      <c r="D36" s="909"/>
      <c r="E36" s="912"/>
      <c r="F36" s="118" t="s">
        <v>15</v>
      </c>
      <c r="G36" s="119">
        <f>G34+G35</f>
        <v>1500000</v>
      </c>
      <c r="H36" s="918"/>
      <c r="I36" s="119">
        <f>I34+I35</f>
        <v>1500000</v>
      </c>
      <c r="J36" s="119">
        <f>J34+J35</f>
        <v>1500000</v>
      </c>
      <c r="K36" s="119">
        <f>K34+K35</f>
        <v>0</v>
      </c>
      <c r="L36" s="909"/>
    </row>
    <row r="37" spans="1:12" s="54" customFormat="1" ht="12.75" hidden="1">
      <c r="A37" s="910">
        <v>1</v>
      </c>
      <c r="B37" s="913"/>
      <c r="C37" s="913" t="s">
        <v>21</v>
      </c>
      <c r="D37" s="907" t="s">
        <v>361</v>
      </c>
      <c r="E37" s="910">
        <v>2020</v>
      </c>
      <c r="F37" s="118" t="s">
        <v>13</v>
      </c>
      <c r="G37" s="119">
        <v>2500000</v>
      </c>
      <c r="H37" s="916" t="s">
        <v>75</v>
      </c>
      <c r="I37" s="119">
        <f t="shared" si="3"/>
        <v>2500000</v>
      </c>
      <c r="J37" s="119">
        <v>2500000</v>
      </c>
      <c r="K37" s="119">
        <v>0</v>
      </c>
      <c r="L37" s="907" t="s">
        <v>241</v>
      </c>
    </row>
    <row r="38" spans="1:12" s="54" customFormat="1" ht="12.75" hidden="1">
      <c r="A38" s="911"/>
      <c r="B38" s="914"/>
      <c r="C38" s="914"/>
      <c r="D38" s="908"/>
      <c r="E38" s="911"/>
      <c r="F38" s="118" t="s">
        <v>14</v>
      </c>
      <c r="G38" s="119"/>
      <c r="H38" s="917"/>
      <c r="I38" s="119">
        <f t="shared" si="3"/>
        <v>0</v>
      </c>
      <c r="J38" s="119"/>
      <c r="K38" s="119"/>
      <c r="L38" s="908"/>
    </row>
    <row r="39" spans="1:12" s="54" customFormat="1" ht="12.75" hidden="1">
      <c r="A39" s="912"/>
      <c r="B39" s="915"/>
      <c r="C39" s="915"/>
      <c r="D39" s="909"/>
      <c r="E39" s="912"/>
      <c r="F39" s="118" t="s">
        <v>15</v>
      </c>
      <c r="G39" s="119">
        <f>G37+G38</f>
        <v>2500000</v>
      </c>
      <c r="H39" s="918"/>
      <c r="I39" s="119">
        <f>I37+I38</f>
        <v>2500000</v>
      </c>
      <c r="J39" s="119">
        <f>J37+J38</f>
        <v>2500000</v>
      </c>
      <c r="K39" s="119">
        <f>K37+K38</f>
        <v>0</v>
      </c>
      <c r="L39" s="909"/>
    </row>
    <row r="40" spans="1:12" s="54" customFormat="1" ht="12.75" hidden="1">
      <c r="A40" s="910">
        <v>6</v>
      </c>
      <c r="B40" s="913"/>
      <c r="C40" s="913" t="s">
        <v>21</v>
      </c>
      <c r="D40" s="907" t="s">
        <v>244</v>
      </c>
      <c r="E40" s="910">
        <v>2020</v>
      </c>
      <c r="F40" s="118" t="s">
        <v>13</v>
      </c>
      <c r="G40" s="119">
        <v>3000000</v>
      </c>
      <c r="H40" s="916" t="s">
        <v>75</v>
      </c>
      <c r="I40" s="119">
        <f t="shared" si="3"/>
        <v>3000000</v>
      </c>
      <c r="J40" s="119">
        <v>3000000</v>
      </c>
      <c r="K40" s="119">
        <v>0</v>
      </c>
      <c r="L40" s="907" t="s">
        <v>241</v>
      </c>
    </row>
    <row r="41" spans="1:12" s="54" customFormat="1" ht="12.75" hidden="1">
      <c r="A41" s="911"/>
      <c r="B41" s="914"/>
      <c r="C41" s="914"/>
      <c r="D41" s="908"/>
      <c r="E41" s="911"/>
      <c r="F41" s="118" t="s">
        <v>14</v>
      </c>
      <c r="G41" s="119"/>
      <c r="H41" s="917"/>
      <c r="I41" s="119">
        <f t="shared" si="3"/>
        <v>0</v>
      </c>
      <c r="J41" s="119"/>
      <c r="K41" s="119"/>
      <c r="L41" s="908"/>
    </row>
    <row r="42" spans="1:12" s="54" customFormat="1" ht="12.75" hidden="1">
      <c r="A42" s="912"/>
      <c r="B42" s="915"/>
      <c r="C42" s="915"/>
      <c r="D42" s="909"/>
      <c r="E42" s="912"/>
      <c r="F42" s="118" t="s">
        <v>15</v>
      </c>
      <c r="G42" s="119">
        <f>G40+G41</f>
        <v>3000000</v>
      </c>
      <c r="H42" s="918"/>
      <c r="I42" s="119">
        <f>I40+I41</f>
        <v>3000000</v>
      </c>
      <c r="J42" s="119">
        <f>J40+J41</f>
        <v>3000000</v>
      </c>
      <c r="K42" s="119">
        <f>K40+K41</f>
        <v>0</v>
      </c>
      <c r="L42" s="909"/>
    </row>
    <row r="43" spans="1:12" s="54" customFormat="1" ht="12" customHeight="1">
      <c r="A43" s="910">
        <v>2</v>
      </c>
      <c r="B43" s="913"/>
      <c r="C43" s="913" t="s">
        <v>21</v>
      </c>
      <c r="D43" s="907" t="s">
        <v>245</v>
      </c>
      <c r="E43" s="910">
        <v>2020</v>
      </c>
      <c r="F43" s="118" t="s">
        <v>13</v>
      </c>
      <c r="G43" s="119">
        <v>1200000</v>
      </c>
      <c r="H43" s="916" t="s">
        <v>75</v>
      </c>
      <c r="I43" s="119">
        <f t="shared" si="3"/>
        <v>1200000</v>
      </c>
      <c r="J43" s="119">
        <v>1200000</v>
      </c>
      <c r="K43" s="119">
        <v>0</v>
      </c>
      <c r="L43" s="907" t="s">
        <v>241</v>
      </c>
    </row>
    <row r="44" spans="1:12" s="54" customFormat="1" ht="12" customHeight="1">
      <c r="A44" s="911"/>
      <c r="B44" s="914"/>
      <c r="C44" s="914"/>
      <c r="D44" s="908"/>
      <c r="E44" s="911"/>
      <c r="F44" s="118" t="s">
        <v>14</v>
      </c>
      <c r="G44" s="119">
        <v>-835000</v>
      </c>
      <c r="H44" s="917"/>
      <c r="I44" s="119">
        <f t="shared" si="3"/>
        <v>-835000</v>
      </c>
      <c r="J44" s="119">
        <v>-835000</v>
      </c>
      <c r="K44" s="119"/>
      <c r="L44" s="908"/>
    </row>
    <row r="45" spans="1:12" s="54" customFormat="1" ht="12" customHeight="1">
      <c r="A45" s="912"/>
      <c r="B45" s="915"/>
      <c r="C45" s="915"/>
      <c r="D45" s="909"/>
      <c r="E45" s="912"/>
      <c r="F45" s="118" t="s">
        <v>15</v>
      </c>
      <c r="G45" s="119">
        <f>G43+G44</f>
        <v>365000</v>
      </c>
      <c r="H45" s="918"/>
      <c r="I45" s="119">
        <f>I43+I44</f>
        <v>365000</v>
      </c>
      <c r="J45" s="119">
        <f>J43+J44</f>
        <v>365000</v>
      </c>
      <c r="K45" s="119">
        <f>K43+K44</f>
        <v>0</v>
      </c>
      <c r="L45" s="909"/>
    </row>
    <row r="46" spans="1:12" s="54" customFormat="1" ht="12" customHeight="1">
      <c r="A46" s="910">
        <v>3</v>
      </c>
      <c r="B46" s="913"/>
      <c r="C46" s="913" t="s">
        <v>21</v>
      </c>
      <c r="D46" s="907" t="s">
        <v>362</v>
      </c>
      <c r="E46" s="910">
        <v>2020</v>
      </c>
      <c r="F46" s="118" t="s">
        <v>13</v>
      </c>
      <c r="G46" s="119">
        <v>0</v>
      </c>
      <c r="H46" s="916" t="s">
        <v>75</v>
      </c>
      <c r="I46" s="119">
        <f>J46+K46</f>
        <v>0</v>
      </c>
      <c r="J46" s="119">
        <v>0</v>
      </c>
      <c r="K46" s="119">
        <v>0</v>
      </c>
      <c r="L46" s="907" t="s">
        <v>241</v>
      </c>
    </row>
    <row r="47" spans="1:12" s="54" customFormat="1" ht="12" customHeight="1">
      <c r="A47" s="911"/>
      <c r="B47" s="914"/>
      <c r="C47" s="914"/>
      <c r="D47" s="908"/>
      <c r="E47" s="911"/>
      <c r="F47" s="118" t="s">
        <v>14</v>
      </c>
      <c r="G47" s="119">
        <v>185000</v>
      </c>
      <c r="H47" s="917"/>
      <c r="I47" s="119">
        <f>J47+K47</f>
        <v>185000</v>
      </c>
      <c r="J47" s="119">
        <v>185000</v>
      </c>
      <c r="K47" s="119"/>
      <c r="L47" s="908"/>
    </row>
    <row r="48" spans="1:12" s="54" customFormat="1" ht="12" customHeight="1">
      <c r="A48" s="912"/>
      <c r="B48" s="915"/>
      <c r="C48" s="915"/>
      <c r="D48" s="909"/>
      <c r="E48" s="912"/>
      <c r="F48" s="118" t="s">
        <v>15</v>
      </c>
      <c r="G48" s="119">
        <f>G46+G47</f>
        <v>185000</v>
      </c>
      <c r="H48" s="918"/>
      <c r="I48" s="119">
        <f>I46+I47</f>
        <v>185000</v>
      </c>
      <c r="J48" s="119">
        <f>J46+J47</f>
        <v>185000</v>
      </c>
      <c r="K48" s="119">
        <f>K46+K47</f>
        <v>0</v>
      </c>
      <c r="L48" s="909"/>
    </row>
    <row r="49" spans="1:12" s="54" customFormat="1" ht="21.75" customHeight="1">
      <c r="A49" s="910">
        <v>4</v>
      </c>
      <c r="B49" s="913"/>
      <c r="C49" s="913" t="s">
        <v>21</v>
      </c>
      <c r="D49" s="907" t="s">
        <v>370</v>
      </c>
      <c r="E49" s="910">
        <v>2020</v>
      </c>
      <c r="F49" s="118" t="s">
        <v>13</v>
      </c>
      <c r="G49" s="119">
        <v>0</v>
      </c>
      <c r="H49" s="916" t="s">
        <v>75</v>
      </c>
      <c r="I49" s="119">
        <f>J49+K49</f>
        <v>0</v>
      </c>
      <c r="J49" s="119">
        <v>0</v>
      </c>
      <c r="K49" s="119">
        <v>0</v>
      </c>
      <c r="L49" s="907" t="s">
        <v>239</v>
      </c>
    </row>
    <row r="50" spans="1:12" s="54" customFormat="1" ht="21.75" customHeight="1">
      <c r="A50" s="911"/>
      <c r="B50" s="914"/>
      <c r="C50" s="914"/>
      <c r="D50" s="908"/>
      <c r="E50" s="911"/>
      <c r="F50" s="118" t="s">
        <v>14</v>
      </c>
      <c r="G50" s="119">
        <v>76774</v>
      </c>
      <c r="H50" s="917"/>
      <c r="I50" s="119">
        <f>J50+K50</f>
        <v>76774</v>
      </c>
      <c r="J50" s="119">
        <v>76774</v>
      </c>
      <c r="K50" s="119"/>
      <c r="L50" s="908"/>
    </row>
    <row r="51" spans="1:12" s="54" customFormat="1" ht="21.75" customHeight="1">
      <c r="A51" s="912"/>
      <c r="B51" s="915"/>
      <c r="C51" s="915"/>
      <c r="D51" s="909"/>
      <c r="E51" s="912"/>
      <c r="F51" s="118" t="s">
        <v>15</v>
      </c>
      <c r="G51" s="119">
        <f>G49+G50</f>
        <v>76774</v>
      </c>
      <c r="H51" s="918"/>
      <c r="I51" s="119">
        <f>I49+I50</f>
        <v>76774</v>
      </c>
      <c r="J51" s="119">
        <f>J49+J50</f>
        <v>76774</v>
      </c>
      <c r="K51" s="119">
        <f>K49+K50</f>
        <v>0</v>
      </c>
      <c r="L51" s="909"/>
    </row>
    <row r="52" spans="1:12" s="117" customFormat="1" ht="12.75" hidden="1">
      <c r="A52" s="920"/>
      <c r="B52" s="923" t="s">
        <v>25</v>
      </c>
      <c r="C52" s="923"/>
      <c r="D52" s="929" t="s">
        <v>26</v>
      </c>
      <c r="E52" s="920" t="s">
        <v>75</v>
      </c>
      <c r="F52" s="115" t="s">
        <v>13</v>
      </c>
      <c r="G52" s="116">
        <f>G55</f>
        <v>18000</v>
      </c>
      <c r="H52" s="956" t="s">
        <v>75</v>
      </c>
      <c r="I52" s="116">
        <f aca="true" t="shared" si="4" ref="I52:K53">I55</f>
        <v>18000</v>
      </c>
      <c r="J52" s="116">
        <f t="shared" si="4"/>
        <v>18000</v>
      </c>
      <c r="K52" s="116">
        <f t="shared" si="4"/>
        <v>0</v>
      </c>
      <c r="L52" s="920" t="s">
        <v>75</v>
      </c>
    </row>
    <row r="53" spans="1:12" s="117" customFormat="1" ht="12.75" hidden="1">
      <c r="A53" s="921"/>
      <c r="B53" s="924"/>
      <c r="C53" s="924"/>
      <c r="D53" s="930"/>
      <c r="E53" s="921"/>
      <c r="F53" s="115" t="s">
        <v>14</v>
      </c>
      <c r="G53" s="116">
        <f>G56</f>
        <v>0</v>
      </c>
      <c r="H53" s="957"/>
      <c r="I53" s="116">
        <f t="shared" si="4"/>
        <v>0</v>
      </c>
      <c r="J53" s="116">
        <f t="shared" si="4"/>
        <v>0</v>
      </c>
      <c r="K53" s="116">
        <f t="shared" si="4"/>
        <v>0</v>
      </c>
      <c r="L53" s="921"/>
    </row>
    <row r="54" spans="1:12" s="117" customFormat="1" ht="12.75" hidden="1">
      <c r="A54" s="922"/>
      <c r="B54" s="925"/>
      <c r="C54" s="925"/>
      <c r="D54" s="931"/>
      <c r="E54" s="922"/>
      <c r="F54" s="115" t="s">
        <v>15</v>
      </c>
      <c r="G54" s="116">
        <f>G52+G53</f>
        <v>18000</v>
      </c>
      <c r="H54" s="958"/>
      <c r="I54" s="116">
        <f>I52+I53</f>
        <v>18000</v>
      </c>
      <c r="J54" s="116">
        <f>J52+J53</f>
        <v>18000</v>
      </c>
      <c r="K54" s="116">
        <f>K52+K53</f>
        <v>0</v>
      </c>
      <c r="L54" s="922"/>
    </row>
    <row r="55" spans="1:12" s="54" customFormat="1" ht="12.75" hidden="1">
      <c r="A55" s="910">
        <v>8</v>
      </c>
      <c r="B55" s="913"/>
      <c r="C55" s="913" t="s">
        <v>44</v>
      </c>
      <c r="D55" s="907" t="s">
        <v>246</v>
      </c>
      <c r="E55" s="910">
        <v>2020</v>
      </c>
      <c r="F55" s="118" t="s">
        <v>13</v>
      </c>
      <c r="G55" s="119">
        <v>18000</v>
      </c>
      <c r="H55" s="916" t="s">
        <v>75</v>
      </c>
      <c r="I55" s="119">
        <f>J55+K55</f>
        <v>18000</v>
      </c>
      <c r="J55" s="119">
        <v>18000</v>
      </c>
      <c r="K55" s="119">
        <v>0</v>
      </c>
      <c r="L55" s="907" t="s">
        <v>239</v>
      </c>
    </row>
    <row r="56" spans="1:12" s="54" customFormat="1" ht="12.75" hidden="1">
      <c r="A56" s="911"/>
      <c r="B56" s="914"/>
      <c r="C56" s="914"/>
      <c r="D56" s="908"/>
      <c r="E56" s="911"/>
      <c r="F56" s="118" t="s">
        <v>14</v>
      </c>
      <c r="G56" s="119"/>
      <c r="H56" s="917"/>
      <c r="I56" s="119">
        <f>J56+K56</f>
        <v>0</v>
      </c>
      <c r="J56" s="119"/>
      <c r="K56" s="119"/>
      <c r="L56" s="908"/>
    </row>
    <row r="57" spans="1:12" s="54" customFormat="1" ht="12.75" hidden="1">
      <c r="A57" s="912"/>
      <c r="B57" s="915"/>
      <c r="C57" s="915"/>
      <c r="D57" s="909"/>
      <c r="E57" s="912"/>
      <c r="F57" s="118" t="s">
        <v>15</v>
      </c>
      <c r="G57" s="119">
        <f>G55+G56</f>
        <v>18000</v>
      </c>
      <c r="H57" s="918"/>
      <c r="I57" s="119">
        <f>I55+I56</f>
        <v>18000</v>
      </c>
      <c r="J57" s="119">
        <f>J55+J56</f>
        <v>18000</v>
      </c>
      <c r="K57" s="119">
        <f>K55+K56</f>
        <v>0</v>
      </c>
      <c r="L57" s="909"/>
    </row>
    <row r="58" spans="1:12" s="117" customFormat="1" ht="12.75" hidden="1">
      <c r="A58" s="920"/>
      <c r="B58" s="923" t="s">
        <v>28</v>
      </c>
      <c r="C58" s="923"/>
      <c r="D58" s="929" t="s">
        <v>29</v>
      </c>
      <c r="E58" s="920" t="s">
        <v>75</v>
      </c>
      <c r="F58" s="115" t="s">
        <v>13</v>
      </c>
      <c r="G58" s="116">
        <f>G61+G64</f>
        <v>370000</v>
      </c>
      <c r="H58" s="956" t="str">
        <f>H61</f>
        <v>x</v>
      </c>
      <c r="I58" s="116">
        <f aca="true" t="shared" si="5" ref="I58:K59">I61+I64</f>
        <v>370000</v>
      </c>
      <c r="J58" s="116">
        <f t="shared" si="5"/>
        <v>370000</v>
      </c>
      <c r="K58" s="116">
        <f t="shared" si="5"/>
        <v>0</v>
      </c>
      <c r="L58" s="920" t="s">
        <v>75</v>
      </c>
    </row>
    <row r="59" spans="1:12" s="117" customFormat="1" ht="12.75" hidden="1">
      <c r="A59" s="921"/>
      <c r="B59" s="924"/>
      <c r="C59" s="924"/>
      <c r="D59" s="930"/>
      <c r="E59" s="921"/>
      <c r="F59" s="115" t="s">
        <v>14</v>
      </c>
      <c r="G59" s="116">
        <f>G62+G65</f>
        <v>0</v>
      </c>
      <c r="H59" s="957"/>
      <c r="I59" s="116">
        <f t="shared" si="5"/>
        <v>0</v>
      </c>
      <c r="J59" s="116">
        <f t="shared" si="5"/>
        <v>0</v>
      </c>
      <c r="K59" s="116">
        <f t="shared" si="5"/>
        <v>0</v>
      </c>
      <c r="L59" s="921"/>
    </row>
    <row r="60" spans="1:12" s="117" customFormat="1" ht="12.75" hidden="1">
      <c r="A60" s="922"/>
      <c r="B60" s="925"/>
      <c r="C60" s="925"/>
      <c r="D60" s="931"/>
      <c r="E60" s="922"/>
      <c r="F60" s="115" t="s">
        <v>15</v>
      </c>
      <c r="G60" s="116">
        <f>G58+G59</f>
        <v>370000</v>
      </c>
      <c r="H60" s="958"/>
      <c r="I60" s="116">
        <f>I58+I59</f>
        <v>370000</v>
      </c>
      <c r="J60" s="116">
        <f>J58+J59</f>
        <v>370000</v>
      </c>
      <c r="K60" s="116">
        <f>K58+K59</f>
        <v>0</v>
      </c>
      <c r="L60" s="922"/>
    </row>
    <row r="61" spans="1:12" s="54" customFormat="1" ht="12.75" hidden="1">
      <c r="A61" s="910">
        <v>9</v>
      </c>
      <c r="B61" s="913"/>
      <c r="C61" s="913" t="s">
        <v>30</v>
      </c>
      <c r="D61" s="907" t="s">
        <v>245</v>
      </c>
      <c r="E61" s="910">
        <v>2020</v>
      </c>
      <c r="F61" s="118" t="s">
        <v>13</v>
      </c>
      <c r="G61" s="119">
        <v>250000</v>
      </c>
      <c r="H61" s="916" t="s">
        <v>75</v>
      </c>
      <c r="I61" s="119">
        <f>J61+K61</f>
        <v>250000</v>
      </c>
      <c r="J61" s="119">
        <v>250000</v>
      </c>
      <c r="K61" s="119">
        <v>0</v>
      </c>
      <c r="L61" s="907" t="s">
        <v>239</v>
      </c>
    </row>
    <row r="62" spans="1:12" s="54" customFormat="1" ht="12.75" hidden="1">
      <c r="A62" s="911"/>
      <c r="B62" s="914"/>
      <c r="C62" s="914"/>
      <c r="D62" s="908"/>
      <c r="E62" s="911"/>
      <c r="F62" s="118" t="s">
        <v>14</v>
      </c>
      <c r="G62" s="119"/>
      <c r="H62" s="917"/>
      <c r="I62" s="119">
        <f>J62+K62</f>
        <v>0</v>
      </c>
      <c r="J62" s="119"/>
      <c r="K62" s="119"/>
      <c r="L62" s="908"/>
    </row>
    <row r="63" spans="1:12" s="54" customFormat="1" ht="12.75" hidden="1">
      <c r="A63" s="912"/>
      <c r="B63" s="915"/>
      <c r="C63" s="915"/>
      <c r="D63" s="909"/>
      <c r="E63" s="912"/>
      <c r="F63" s="118" t="s">
        <v>15</v>
      </c>
      <c r="G63" s="119">
        <f>G61+G62</f>
        <v>250000</v>
      </c>
      <c r="H63" s="918"/>
      <c r="I63" s="119">
        <f>I61+I62</f>
        <v>250000</v>
      </c>
      <c r="J63" s="119">
        <f>J61+J62</f>
        <v>250000</v>
      </c>
      <c r="K63" s="119">
        <f>K61+K62</f>
        <v>0</v>
      </c>
      <c r="L63" s="909"/>
    </row>
    <row r="64" spans="1:12" s="54" customFormat="1" ht="12.75" hidden="1">
      <c r="A64" s="910">
        <v>10</v>
      </c>
      <c r="B64" s="913"/>
      <c r="C64" s="913" t="s">
        <v>30</v>
      </c>
      <c r="D64" s="907" t="s">
        <v>247</v>
      </c>
      <c r="E64" s="910">
        <v>2020</v>
      </c>
      <c r="F64" s="118" t="s">
        <v>13</v>
      </c>
      <c r="G64" s="119">
        <v>120000</v>
      </c>
      <c r="H64" s="916" t="s">
        <v>75</v>
      </c>
      <c r="I64" s="119">
        <f>J64+K64</f>
        <v>120000</v>
      </c>
      <c r="J64" s="119">
        <v>120000</v>
      </c>
      <c r="K64" s="119">
        <v>0</v>
      </c>
      <c r="L64" s="907" t="s">
        <v>239</v>
      </c>
    </row>
    <row r="65" spans="1:12" s="54" customFormat="1" ht="12.75" hidden="1">
      <c r="A65" s="911"/>
      <c r="B65" s="914"/>
      <c r="C65" s="914"/>
      <c r="D65" s="908"/>
      <c r="E65" s="911"/>
      <c r="F65" s="118" t="s">
        <v>14</v>
      </c>
      <c r="G65" s="119"/>
      <c r="H65" s="917"/>
      <c r="I65" s="119">
        <f>J65+K65</f>
        <v>0</v>
      </c>
      <c r="J65" s="119"/>
      <c r="K65" s="119"/>
      <c r="L65" s="908"/>
    </row>
    <row r="66" spans="1:12" s="54" customFormat="1" ht="12.75" hidden="1">
      <c r="A66" s="912"/>
      <c r="B66" s="915"/>
      <c r="C66" s="915"/>
      <c r="D66" s="909"/>
      <c r="E66" s="912"/>
      <c r="F66" s="118" t="s">
        <v>15</v>
      </c>
      <c r="G66" s="119">
        <f>G64+G65</f>
        <v>120000</v>
      </c>
      <c r="H66" s="918"/>
      <c r="I66" s="119">
        <f>I64+I65</f>
        <v>120000</v>
      </c>
      <c r="J66" s="119">
        <f>J64+J65</f>
        <v>120000</v>
      </c>
      <c r="K66" s="119">
        <f>K64+K65</f>
        <v>0</v>
      </c>
      <c r="L66" s="909"/>
    </row>
    <row r="67" spans="1:12" s="117" customFormat="1" ht="12.75" hidden="1">
      <c r="A67" s="920"/>
      <c r="B67" s="923" t="s">
        <v>132</v>
      </c>
      <c r="C67" s="923"/>
      <c r="D67" s="926" t="s">
        <v>133</v>
      </c>
      <c r="E67" s="920" t="s">
        <v>75</v>
      </c>
      <c r="F67" s="115" t="s">
        <v>13</v>
      </c>
      <c r="G67" s="116">
        <f>G70</f>
        <v>1000000</v>
      </c>
      <c r="H67" s="956" t="s">
        <v>75</v>
      </c>
      <c r="I67" s="116">
        <f aca="true" t="shared" si="6" ref="I67:K68">I70</f>
        <v>1000000</v>
      </c>
      <c r="J67" s="116">
        <f t="shared" si="6"/>
        <v>1000000</v>
      </c>
      <c r="K67" s="116">
        <f t="shared" si="6"/>
        <v>0</v>
      </c>
      <c r="L67" s="920" t="s">
        <v>75</v>
      </c>
    </row>
    <row r="68" spans="1:12" s="117" customFormat="1" ht="12.75" hidden="1">
      <c r="A68" s="921"/>
      <c r="B68" s="924"/>
      <c r="C68" s="924"/>
      <c r="D68" s="927"/>
      <c r="E68" s="921"/>
      <c r="F68" s="115" t="s">
        <v>14</v>
      </c>
      <c r="G68" s="116">
        <f>G71</f>
        <v>0</v>
      </c>
      <c r="H68" s="957"/>
      <c r="I68" s="116">
        <f t="shared" si="6"/>
        <v>0</v>
      </c>
      <c r="J68" s="116">
        <f t="shared" si="6"/>
        <v>0</v>
      </c>
      <c r="K68" s="116">
        <f t="shared" si="6"/>
        <v>0</v>
      </c>
      <c r="L68" s="921"/>
    </row>
    <row r="69" spans="1:12" s="117" customFormat="1" ht="12.75" hidden="1">
      <c r="A69" s="922"/>
      <c r="B69" s="925"/>
      <c r="C69" s="925"/>
      <c r="D69" s="928"/>
      <c r="E69" s="922"/>
      <c r="F69" s="115" t="s">
        <v>15</v>
      </c>
      <c r="G69" s="116">
        <f>G67+G68</f>
        <v>1000000</v>
      </c>
      <c r="H69" s="958"/>
      <c r="I69" s="116">
        <f>I67+I68</f>
        <v>1000000</v>
      </c>
      <c r="J69" s="116">
        <f>J67+J68</f>
        <v>1000000</v>
      </c>
      <c r="K69" s="116">
        <f>K67+K68</f>
        <v>0</v>
      </c>
      <c r="L69" s="922"/>
    </row>
    <row r="70" spans="1:12" s="54" customFormat="1" ht="12.75" hidden="1">
      <c r="A70" s="910">
        <v>11</v>
      </c>
      <c r="B70" s="913"/>
      <c r="C70" s="913" t="s">
        <v>134</v>
      </c>
      <c r="D70" s="907" t="s">
        <v>248</v>
      </c>
      <c r="E70" s="910">
        <v>2020</v>
      </c>
      <c r="F70" s="118" t="s">
        <v>13</v>
      </c>
      <c r="G70" s="119">
        <v>1000000</v>
      </c>
      <c r="H70" s="916" t="s">
        <v>75</v>
      </c>
      <c r="I70" s="119">
        <f>J70+K70</f>
        <v>1000000</v>
      </c>
      <c r="J70" s="119">
        <v>1000000</v>
      </c>
      <c r="K70" s="119">
        <v>0</v>
      </c>
      <c r="L70" s="907" t="s">
        <v>239</v>
      </c>
    </row>
    <row r="71" spans="1:12" s="54" customFormat="1" ht="12.75" hidden="1">
      <c r="A71" s="911"/>
      <c r="B71" s="914"/>
      <c r="C71" s="914"/>
      <c r="D71" s="908"/>
      <c r="E71" s="911"/>
      <c r="F71" s="118" t="s">
        <v>14</v>
      </c>
      <c r="G71" s="119"/>
      <c r="H71" s="917"/>
      <c r="I71" s="119">
        <f>J71+K71</f>
        <v>0</v>
      </c>
      <c r="J71" s="119"/>
      <c r="K71" s="119"/>
      <c r="L71" s="908"/>
    </row>
    <row r="72" spans="1:12" s="54" customFormat="1" ht="12.75" hidden="1">
      <c r="A72" s="912"/>
      <c r="B72" s="915"/>
      <c r="C72" s="915"/>
      <c r="D72" s="909"/>
      <c r="E72" s="912"/>
      <c r="F72" s="118" t="s">
        <v>15</v>
      </c>
      <c r="G72" s="119">
        <f>G70+G71</f>
        <v>1000000</v>
      </c>
      <c r="H72" s="918"/>
      <c r="I72" s="119">
        <f>I70+I71</f>
        <v>1000000</v>
      </c>
      <c r="J72" s="119">
        <f>J70+J71</f>
        <v>1000000</v>
      </c>
      <c r="K72" s="119">
        <f>K70+K71</f>
        <v>0</v>
      </c>
      <c r="L72" s="909"/>
    </row>
    <row r="73" spans="1:12" s="117" customFormat="1" ht="12.75" hidden="1">
      <c r="A73" s="920"/>
      <c r="B73" s="923" t="s">
        <v>31</v>
      </c>
      <c r="C73" s="923"/>
      <c r="D73" s="929" t="s">
        <v>32</v>
      </c>
      <c r="E73" s="920" t="s">
        <v>75</v>
      </c>
      <c r="F73" s="115" t="s">
        <v>13</v>
      </c>
      <c r="G73" s="116">
        <f>G76</f>
        <v>26000</v>
      </c>
      <c r="H73" s="956" t="s">
        <v>75</v>
      </c>
      <c r="I73" s="116">
        <f aca="true" t="shared" si="7" ref="I73:K74">I76</f>
        <v>26000</v>
      </c>
      <c r="J73" s="116">
        <f t="shared" si="7"/>
        <v>26000</v>
      </c>
      <c r="K73" s="116">
        <f t="shared" si="7"/>
        <v>0</v>
      </c>
      <c r="L73" s="920" t="s">
        <v>75</v>
      </c>
    </row>
    <row r="74" spans="1:12" s="117" customFormat="1" ht="12.75" hidden="1">
      <c r="A74" s="921"/>
      <c r="B74" s="924"/>
      <c r="C74" s="924"/>
      <c r="D74" s="930"/>
      <c r="E74" s="921"/>
      <c r="F74" s="115" t="s">
        <v>14</v>
      </c>
      <c r="G74" s="116">
        <f>G77</f>
        <v>0</v>
      </c>
      <c r="H74" s="957"/>
      <c r="I74" s="116">
        <f t="shared" si="7"/>
        <v>0</v>
      </c>
      <c r="J74" s="116">
        <f t="shared" si="7"/>
        <v>0</v>
      </c>
      <c r="K74" s="116">
        <f t="shared" si="7"/>
        <v>0</v>
      </c>
      <c r="L74" s="921"/>
    </row>
    <row r="75" spans="1:12" s="117" customFormat="1" ht="12.75" hidden="1">
      <c r="A75" s="922"/>
      <c r="B75" s="925"/>
      <c r="C75" s="925"/>
      <c r="D75" s="931"/>
      <c r="E75" s="922"/>
      <c r="F75" s="115" t="s">
        <v>15</v>
      </c>
      <c r="G75" s="116">
        <f>G73+G74</f>
        <v>26000</v>
      </c>
      <c r="H75" s="958"/>
      <c r="I75" s="116">
        <f>I73+I74</f>
        <v>26000</v>
      </c>
      <c r="J75" s="116">
        <f>J73+J74</f>
        <v>26000</v>
      </c>
      <c r="K75" s="116">
        <f>K73+K74</f>
        <v>0</v>
      </c>
      <c r="L75" s="922"/>
    </row>
    <row r="76" spans="1:12" s="54" customFormat="1" ht="12.75" hidden="1">
      <c r="A76" s="910">
        <v>12</v>
      </c>
      <c r="B76" s="913"/>
      <c r="C76" s="913" t="s">
        <v>73</v>
      </c>
      <c r="D76" s="962" t="s">
        <v>249</v>
      </c>
      <c r="E76" s="910">
        <v>2020</v>
      </c>
      <c r="F76" s="118" t="s">
        <v>13</v>
      </c>
      <c r="G76" s="119">
        <v>26000</v>
      </c>
      <c r="H76" s="916" t="s">
        <v>75</v>
      </c>
      <c r="I76" s="119">
        <f>J76+K76</f>
        <v>26000</v>
      </c>
      <c r="J76" s="119">
        <v>26000</v>
      </c>
      <c r="K76" s="119">
        <v>0</v>
      </c>
      <c r="L76" s="907" t="s">
        <v>250</v>
      </c>
    </row>
    <row r="77" spans="1:12" s="54" customFormat="1" ht="12.75" hidden="1">
      <c r="A77" s="911"/>
      <c r="B77" s="914"/>
      <c r="C77" s="914"/>
      <c r="D77" s="963"/>
      <c r="E77" s="911"/>
      <c r="F77" s="118" t="s">
        <v>14</v>
      </c>
      <c r="G77" s="119"/>
      <c r="H77" s="917"/>
      <c r="I77" s="119">
        <f>J77+K77</f>
        <v>0</v>
      </c>
      <c r="J77" s="119"/>
      <c r="K77" s="119"/>
      <c r="L77" s="908"/>
    </row>
    <row r="78" spans="1:12" s="54" customFormat="1" ht="12.75" hidden="1">
      <c r="A78" s="912"/>
      <c r="B78" s="915"/>
      <c r="C78" s="915"/>
      <c r="D78" s="964"/>
      <c r="E78" s="912"/>
      <c r="F78" s="118" t="s">
        <v>15</v>
      </c>
      <c r="G78" s="119">
        <f>G76+G77</f>
        <v>26000</v>
      </c>
      <c r="H78" s="918"/>
      <c r="I78" s="119">
        <f>I76+I77</f>
        <v>26000</v>
      </c>
      <c r="J78" s="119">
        <f>J76+J77</f>
        <v>26000</v>
      </c>
      <c r="K78" s="119">
        <f>K76+K77</f>
        <v>0</v>
      </c>
      <c r="L78" s="909"/>
    </row>
    <row r="79" spans="1:12" s="117" customFormat="1" ht="12" customHeight="1">
      <c r="A79" s="920"/>
      <c r="B79" s="923" t="s">
        <v>34</v>
      </c>
      <c r="C79" s="923"/>
      <c r="D79" s="929" t="s">
        <v>35</v>
      </c>
      <c r="E79" s="920" t="s">
        <v>75</v>
      </c>
      <c r="F79" s="115" t="s">
        <v>13</v>
      </c>
      <c r="G79" s="116">
        <f>G82+G85+G109+G88+G91+G94+G112+G97+G100+G103+G106+G115</f>
        <v>8145354</v>
      </c>
      <c r="H79" s="956" t="s">
        <v>75</v>
      </c>
      <c r="I79" s="116">
        <f aca="true" t="shared" si="8" ref="I79:K80">I82+I85+I109+I88+I91+I94+I112+I97+I100+I103+I106+I115</f>
        <v>8145354</v>
      </c>
      <c r="J79" s="116">
        <f t="shared" si="8"/>
        <v>3720000</v>
      </c>
      <c r="K79" s="116">
        <f t="shared" si="8"/>
        <v>4425354</v>
      </c>
      <c r="L79" s="920" t="s">
        <v>75</v>
      </c>
    </row>
    <row r="80" spans="1:12" s="117" customFormat="1" ht="12" customHeight="1">
      <c r="A80" s="921"/>
      <c r="B80" s="924"/>
      <c r="C80" s="924"/>
      <c r="D80" s="930"/>
      <c r="E80" s="921"/>
      <c r="F80" s="115" t="s">
        <v>14</v>
      </c>
      <c r="G80" s="116">
        <f>G83+G86+G110+G89+G92+G95+G113+G98+G101+G104+G107+G116</f>
        <v>198572</v>
      </c>
      <c r="H80" s="957"/>
      <c r="I80" s="116">
        <f t="shared" si="8"/>
        <v>198572</v>
      </c>
      <c r="J80" s="116">
        <f t="shared" si="8"/>
        <v>198572</v>
      </c>
      <c r="K80" s="116">
        <f t="shared" si="8"/>
        <v>0</v>
      </c>
      <c r="L80" s="921"/>
    </row>
    <row r="81" spans="1:12" s="117" customFormat="1" ht="12" customHeight="1">
      <c r="A81" s="922"/>
      <c r="B81" s="925"/>
      <c r="C81" s="925"/>
      <c r="D81" s="931"/>
      <c r="E81" s="922"/>
      <c r="F81" s="115" t="s">
        <v>15</v>
      </c>
      <c r="G81" s="116">
        <f>G79+G80</f>
        <v>8343926</v>
      </c>
      <c r="H81" s="958"/>
      <c r="I81" s="116">
        <f>I79+I80</f>
        <v>8343926</v>
      </c>
      <c r="J81" s="116">
        <f>J79+J80</f>
        <v>3918572</v>
      </c>
      <c r="K81" s="116">
        <f>K79+K80</f>
        <v>4425354</v>
      </c>
      <c r="L81" s="922"/>
    </row>
    <row r="82" spans="1:12" s="54" customFormat="1" ht="19.5" customHeight="1" hidden="1">
      <c r="A82" s="910">
        <v>13</v>
      </c>
      <c r="B82" s="913"/>
      <c r="C82" s="913" t="s">
        <v>251</v>
      </c>
      <c r="D82" s="907" t="s">
        <v>252</v>
      </c>
      <c r="E82" s="910">
        <v>2020</v>
      </c>
      <c r="F82" s="118" t="s">
        <v>13</v>
      </c>
      <c r="G82" s="119">
        <v>2000000</v>
      </c>
      <c r="H82" s="916" t="s">
        <v>75</v>
      </c>
      <c r="I82" s="119">
        <f>J82+K82</f>
        <v>2000000</v>
      </c>
      <c r="J82" s="119">
        <v>2000000</v>
      </c>
      <c r="K82" s="119">
        <v>0</v>
      </c>
      <c r="L82" s="907" t="s">
        <v>253</v>
      </c>
    </row>
    <row r="83" spans="1:12" s="54" customFormat="1" ht="19.5" customHeight="1" hidden="1">
      <c r="A83" s="911"/>
      <c r="B83" s="914"/>
      <c r="C83" s="914"/>
      <c r="D83" s="908"/>
      <c r="E83" s="911"/>
      <c r="F83" s="118" t="s">
        <v>14</v>
      </c>
      <c r="G83" s="119"/>
      <c r="H83" s="917"/>
      <c r="I83" s="119">
        <f>J83+K83</f>
        <v>0</v>
      </c>
      <c r="J83" s="119"/>
      <c r="K83" s="119"/>
      <c r="L83" s="908"/>
    </row>
    <row r="84" spans="1:12" s="54" customFormat="1" ht="19.5" customHeight="1" hidden="1">
      <c r="A84" s="912"/>
      <c r="B84" s="915"/>
      <c r="C84" s="915"/>
      <c r="D84" s="909"/>
      <c r="E84" s="912"/>
      <c r="F84" s="118" t="s">
        <v>15</v>
      </c>
      <c r="G84" s="119">
        <f>G82+G83</f>
        <v>2000000</v>
      </c>
      <c r="H84" s="918"/>
      <c r="I84" s="119">
        <f>I82+I83</f>
        <v>2000000</v>
      </c>
      <c r="J84" s="119">
        <f>J82+J83</f>
        <v>2000000</v>
      </c>
      <c r="K84" s="119">
        <f>K82+K83</f>
        <v>0</v>
      </c>
      <c r="L84" s="909"/>
    </row>
    <row r="85" spans="1:12" s="54" customFormat="1" ht="12.75" hidden="1">
      <c r="A85" s="910">
        <v>14</v>
      </c>
      <c r="B85" s="913"/>
      <c r="C85" s="913" t="s">
        <v>251</v>
      </c>
      <c r="D85" s="907" t="s">
        <v>254</v>
      </c>
      <c r="E85" s="910">
        <v>2020</v>
      </c>
      <c r="F85" s="118" t="s">
        <v>13</v>
      </c>
      <c r="G85" s="119">
        <v>1000000</v>
      </c>
      <c r="H85" s="916" t="s">
        <v>75</v>
      </c>
      <c r="I85" s="119">
        <f>J85+K85</f>
        <v>1000000</v>
      </c>
      <c r="J85" s="119">
        <v>1000000</v>
      </c>
      <c r="K85" s="119">
        <v>0</v>
      </c>
      <c r="L85" s="907" t="s">
        <v>253</v>
      </c>
    </row>
    <row r="86" spans="1:12" s="54" customFormat="1" ht="12.75" hidden="1">
      <c r="A86" s="911"/>
      <c r="B86" s="914"/>
      <c r="C86" s="914"/>
      <c r="D86" s="908"/>
      <c r="E86" s="911"/>
      <c r="F86" s="118" t="s">
        <v>14</v>
      </c>
      <c r="G86" s="119"/>
      <c r="H86" s="917"/>
      <c r="I86" s="119">
        <f>J86+K86</f>
        <v>0</v>
      </c>
      <c r="J86" s="119"/>
      <c r="K86" s="119"/>
      <c r="L86" s="908"/>
    </row>
    <row r="87" spans="1:12" s="54" customFormat="1" ht="12.75" hidden="1">
      <c r="A87" s="912"/>
      <c r="B87" s="915"/>
      <c r="C87" s="915"/>
      <c r="D87" s="909"/>
      <c r="E87" s="912"/>
      <c r="F87" s="118" t="s">
        <v>15</v>
      </c>
      <c r="G87" s="119">
        <f>G85+G86</f>
        <v>1000000</v>
      </c>
      <c r="H87" s="918"/>
      <c r="I87" s="119">
        <f>I85+I86</f>
        <v>1000000</v>
      </c>
      <c r="J87" s="119">
        <f>J85+J86</f>
        <v>1000000</v>
      </c>
      <c r="K87" s="119">
        <f>K85+K86</f>
        <v>0</v>
      </c>
      <c r="L87" s="909"/>
    </row>
    <row r="88" spans="1:12" s="54" customFormat="1" ht="19.5" customHeight="1" hidden="1">
      <c r="A88" s="910">
        <v>1</v>
      </c>
      <c r="B88" s="913"/>
      <c r="C88" s="919" t="s">
        <v>353</v>
      </c>
      <c r="D88" s="907" t="s">
        <v>357</v>
      </c>
      <c r="E88" s="910">
        <v>2020</v>
      </c>
      <c r="F88" s="118" t="s">
        <v>13</v>
      </c>
      <c r="G88" s="119">
        <v>1275000</v>
      </c>
      <c r="H88" s="916" t="s">
        <v>75</v>
      </c>
      <c r="I88" s="119">
        <f>J88+K88</f>
        <v>1275000</v>
      </c>
      <c r="J88" s="119">
        <v>0</v>
      </c>
      <c r="K88" s="119">
        <v>1275000</v>
      </c>
      <c r="L88" s="907" t="s">
        <v>354</v>
      </c>
    </row>
    <row r="89" spans="1:12" s="54" customFormat="1" ht="19.5" customHeight="1" hidden="1">
      <c r="A89" s="911"/>
      <c r="B89" s="914"/>
      <c r="C89" s="914"/>
      <c r="D89" s="908"/>
      <c r="E89" s="911"/>
      <c r="F89" s="118" t="s">
        <v>14</v>
      </c>
      <c r="G89" s="119"/>
      <c r="H89" s="917"/>
      <c r="I89" s="119">
        <f>J89+K89</f>
        <v>0</v>
      </c>
      <c r="J89" s="119"/>
      <c r="K89" s="119"/>
      <c r="L89" s="908"/>
    </row>
    <row r="90" spans="1:12" s="54" customFormat="1" ht="19.5" customHeight="1" hidden="1">
      <c r="A90" s="912"/>
      <c r="B90" s="915"/>
      <c r="C90" s="915"/>
      <c r="D90" s="909"/>
      <c r="E90" s="912"/>
      <c r="F90" s="118" t="s">
        <v>15</v>
      </c>
      <c r="G90" s="119">
        <f>G88+G89</f>
        <v>1275000</v>
      </c>
      <c r="H90" s="918"/>
      <c r="I90" s="119">
        <f>I88+I89</f>
        <v>1275000</v>
      </c>
      <c r="J90" s="119">
        <f>J88+J89</f>
        <v>0</v>
      </c>
      <c r="K90" s="119">
        <f>K88+K89</f>
        <v>1275000</v>
      </c>
      <c r="L90" s="909"/>
    </row>
    <row r="91" spans="1:12" s="54" customFormat="1" ht="18" customHeight="1" hidden="1">
      <c r="A91" s="910">
        <v>2</v>
      </c>
      <c r="B91" s="913"/>
      <c r="C91" s="919" t="s">
        <v>353</v>
      </c>
      <c r="D91" s="907" t="s">
        <v>357</v>
      </c>
      <c r="E91" s="910">
        <v>2020</v>
      </c>
      <c r="F91" s="118" t="s">
        <v>13</v>
      </c>
      <c r="G91" s="119">
        <v>1798632</v>
      </c>
      <c r="H91" s="916" t="s">
        <v>75</v>
      </c>
      <c r="I91" s="119">
        <f>J91+K91</f>
        <v>1798632</v>
      </c>
      <c r="J91" s="119">
        <v>0</v>
      </c>
      <c r="K91" s="119">
        <v>1798632</v>
      </c>
      <c r="L91" s="907" t="s">
        <v>355</v>
      </c>
    </row>
    <row r="92" spans="1:12" s="54" customFormat="1" ht="18" customHeight="1" hidden="1">
      <c r="A92" s="911"/>
      <c r="B92" s="914"/>
      <c r="C92" s="914"/>
      <c r="D92" s="908"/>
      <c r="E92" s="911"/>
      <c r="F92" s="118" t="s">
        <v>14</v>
      </c>
      <c r="G92" s="119"/>
      <c r="H92" s="917"/>
      <c r="I92" s="119">
        <f>J92+K92</f>
        <v>0</v>
      </c>
      <c r="J92" s="119"/>
      <c r="K92" s="119"/>
      <c r="L92" s="908"/>
    </row>
    <row r="93" spans="1:12" s="54" customFormat="1" ht="18" customHeight="1" hidden="1">
      <c r="A93" s="912"/>
      <c r="B93" s="915"/>
      <c r="C93" s="915"/>
      <c r="D93" s="909"/>
      <c r="E93" s="912"/>
      <c r="F93" s="118" t="s">
        <v>15</v>
      </c>
      <c r="G93" s="119">
        <f>G91+G92</f>
        <v>1798632</v>
      </c>
      <c r="H93" s="918"/>
      <c r="I93" s="119">
        <f>I91+I92</f>
        <v>1798632</v>
      </c>
      <c r="J93" s="119">
        <f>J91+J92</f>
        <v>0</v>
      </c>
      <c r="K93" s="119">
        <f>K91+K92</f>
        <v>1798632</v>
      </c>
      <c r="L93" s="909"/>
    </row>
    <row r="94" spans="1:12" s="54" customFormat="1" ht="18" customHeight="1" hidden="1">
      <c r="A94" s="910">
        <v>3</v>
      </c>
      <c r="B94" s="913"/>
      <c r="C94" s="919" t="s">
        <v>353</v>
      </c>
      <c r="D94" s="907" t="s">
        <v>357</v>
      </c>
      <c r="E94" s="910">
        <v>2020</v>
      </c>
      <c r="F94" s="118" t="s">
        <v>13</v>
      </c>
      <c r="G94" s="119">
        <v>994500</v>
      </c>
      <c r="H94" s="916" t="s">
        <v>75</v>
      </c>
      <c r="I94" s="119">
        <f>J94+K94</f>
        <v>994500</v>
      </c>
      <c r="J94" s="119">
        <v>0</v>
      </c>
      <c r="K94" s="119">
        <v>994500</v>
      </c>
      <c r="L94" s="907" t="s">
        <v>356</v>
      </c>
    </row>
    <row r="95" spans="1:12" s="54" customFormat="1" ht="18" customHeight="1" hidden="1">
      <c r="A95" s="911"/>
      <c r="B95" s="914"/>
      <c r="C95" s="914"/>
      <c r="D95" s="908"/>
      <c r="E95" s="911"/>
      <c r="F95" s="118" t="s">
        <v>14</v>
      </c>
      <c r="G95" s="119"/>
      <c r="H95" s="917"/>
      <c r="I95" s="119">
        <f>J95+K95</f>
        <v>0</v>
      </c>
      <c r="J95" s="119"/>
      <c r="K95" s="119"/>
      <c r="L95" s="908"/>
    </row>
    <row r="96" spans="1:12" s="54" customFormat="1" ht="18" customHeight="1" hidden="1">
      <c r="A96" s="912"/>
      <c r="B96" s="915"/>
      <c r="C96" s="915"/>
      <c r="D96" s="909"/>
      <c r="E96" s="912"/>
      <c r="F96" s="118" t="s">
        <v>15</v>
      </c>
      <c r="G96" s="119">
        <f>G94+G95</f>
        <v>994500</v>
      </c>
      <c r="H96" s="918"/>
      <c r="I96" s="119">
        <f>I94+I95</f>
        <v>994500</v>
      </c>
      <c r="J96" s="119">
        <f>J94+J95</f>
        <v>0</v>
      </c>
      <c r="K96" s="119">
        <f>K94+K95</f>
        <v>994500</v>
      </c>
      <c r="L96" s="909"/>
    </row>
    <row r="97" spans="1:12" s="54" customFormat="1" ht="24" customHeight="1" hidden="1">
      <c r="A97" s="910">
        <v>1</v>
      </c>
      <c r="B97" s="913"/>
      <c r="C97" s="919" t="s">
        <v>353</v>
      </c>
      <c r="D97" s="907" t="s">
        <v>358</v>
      </c>
      <c r="E97" s="910">
        <v>2020</v>
      </c>
      <c r="F97" s="118" t="s">
        <v>13</v>
      </c>
      <c r="G97" s="119">
        <v>62500</v>
      </c>
      <c r="H97" s="916" t="s">
        <v>75</v>
      </c>
      <c r="I97" s="119">
        <f>J97+K97</f>
        <v>62500</v>
      </c>
      <c r="J97" s="119">
        <v>0</v>
      </c>
      <c r="K97" s="119">
        <v>62500</v>
      </c>
      <c r="L97" s="907" t="s">
        <v>354</v>
      </c>
    </row>
    <row r="98" spans="1:12" s="54" customFormat="1" ht="24" customHeight="1" hidden="1">
      <c r="A98" s="911"/>
      <c r="B98" s="914"/>
      <c r="C98" s="914"/>
      <c r="D98" s="908"/>
      <c r="E98" s="911"/>
      <c r="F98" s="118" t="s">
        <v>14</v>
      </c>
      <c r="G98" s="119"/>
      <c r="H98" s="917"/>
      <c r="I98" s="119">
        <f>J98+K98</f>
        <v>0</v>
      </c>
      <c r="J98" s="119"/>
      <c r="K98" s="119"/>
      <c r="L98" s="908"/>
    </row>
    <row r="99" spans="1:12" s="54" customFormat="1" ht="24" customHeight="1" hidden="1">
      <c r="A99" s="912"/>
      <c r="B99" s="915"/>
      <c r="C99" s="915"/>
      <c r="D99" s="909"/>
      <c r="E99" s="912"/>
      <c r="F99" s="118" t="s">
        <v>15</v>
      </c>
      <c r="G99" s="119">
        <f>G97+G98</f>
        <v>62500</v>
      </c>
      <c r="H99" s="918"/>
      <c r="I99" s="119">
        <f>I97+I98</f>
        <v>62500</v>
      </c>
      <c r="J99" s="119">
        <f>J97+J98</f>
        <v>0</v>
      </c>
      <c r="K99" s="119">
        <f>K97+K98</f>
        <v>62500</v>
      </c>
      <c r="L99" s="909"/>
    </row>
    <row r="100" spans="1:12" s="54" customFormat="1" ht="24" customHeight="1" hidden="1">
      <c r="A100" s="910">
        <v>2</v>
      </c>
      <c r="B100" s="913"/>
      <c r="C100" s="919" t="s">
        <v>353</v>
      </c>
      <c r="D100" s="907" t="s">
        <v>358</v>
      </c>
      <c r="E100" s="910">
        <v>2020</v>
      </c>
      <c r="F100" s="118" t="s">
        <v>13</v>
      </c>
      <c r="G100" s="119">
        <v>62500</v>
      </c>
      <c r="H100" s="916" t="s">
        <v>75</v>
      </c>
      <c r="I100" s="119">
        <f>J100+K100</f>
        <v>62500</v>
      </c>
      <c r="J100" s="119">
        <v>0</v>
      </c>
      <c r="K100" s="119">
        <v>62500</v>
      </c>
      <c r="L100" s="907" t="s">
        <v>355</v>
      </c>
    </row>
    <row r="101" spans="1:12" s="54" customFormat="1" ht="24" customHeight="1" hidden="1">
      <c r="A101" s="911"/>
      <c r="B101" s="914"/>
      <c r="C101" s="914"/>
      <c r="D101" s="908"/>
      <c r="E101" s="911"/>
      <c r="F101" s="118" t="s">
        <v>14</v>
      </c>
      <c r="G101" s="119"/>
      <c r="H101" s="917"/>
      <c r="I101" s="119">
        <f>J101+K101</f>
        <v>0</v>
      </c>
      <c r="J101" s="119"/>
      <c r="K101" s="119"/>
      <c r="L101" s="908"/>
    </row>
    <row r="102" spans="1:12" s="54" customFormat="1" ht="24" customHeight="1" hidden="1">
      <c r="A102" s="912"/>
      <c r="B102" s="915"/>
      <c r="C102" s="915"/>
      <c r="D102" s="909"/>
      <c r="E102" s="912"/>
      <c r="F102" s="118" t="s">
        <v>15</v>
      </c>
      <c r="G102" s="119">
        <f>G100+G101</f>
        <v>62500</v>
      </c>
      <c r="H102" s="918"/>
      <c r="I102" s="119">
        <f>I100+I101</f>
        <v>62500</v>
      </c>
      <c r="J102" s="119">
        <f>J100+J101</f>
        <v>0</v>
      </c>
      <c r="K102" s="119">
        <f>K100+K101</f>
        <v>62500</v>
      </c>
      <c r="L102" s="909"/>
    </row>
    <row r="103" spans="1:12" s="54" customFormat="1" ht="24" customHeight="1" hidden="1">
      <c r="A103" s="910">
        <v>3</v>
      </c>
      <c r="B103" s="913"/>
      <c r="C103" s="919" t="s">
        <v>353</v>
      </c>
      <c r="D103" s="907" t="s">
        <v>358</v>
      </c>
      <c r="E103" s="910">
        <v>2020</v>
      </c>
      <c r="F103" s="118" t="s">
        <v>13</v>
      </c>
      <c r="G103" s="119">
        <v>81000</v>
      </c>
      <c r="H103" s="916" t="s">
        <v>75</v>
      </c>
      <c r="I103" s="119">
        <f>J103+K103</f>
        <v>81000</v>
      </c>
      <c r="J103" s="119">
        <v>0</v>
      </c>
      <c r="K103" s="119">
        <v>81000</v>
      </c>
      <c r="L103" s="907" t="s">
        <v>356</v>
      </c>
    </row>
    <row r="104" spans="1:12" s="54" customFormat="1" ht="24" customHeight="1" hidden="1">
      <c r="A104" s="911"/>
      <c r="B104" s="914"/>
      <c r="C104" s="914"/>
      <c r="D104" s="908"/>
      <c r="E104" s="911"/>
      <c r="F104" s="118" t="s">
        <v>14</v>
      </c>
      <c r="G104" s="119"/>
      <c r="H104" s="917"/>
      <c r="I104" s="119">
        <f>J104+K104</f>
        <v>0</v>
      </c>
      <c r="J104" s="119"/>
      <c r="K104" s="119"/>
      <c r="L104" s="908"/>
    </row>
    <row r="105" spans="1:12" s="54" customFormat="1" ht="24" customHeight="1" hidden="1">
      <c r="A105" s="912"/>
      <c r="B105" s="915"/>
      <c r="C105" s="915"/>
      <c r="D105" s="909"/>
      <c r="E105" s="912"/>
      <c r="F105" s="118" t="s">
        <v>15</v>
      </c>
      <c r="G105" s="119">
        <f>G103+G104</f>
        <v>81000</v>
      </c>
      <c r="H105" s="918"/>
      <c r="I105" s="119">
        <f>I103+I104</f>
        <v>81000</v>
      </c>
      <c r="J105" s="119">
        <f>J103+J104</f>
        <v>0</v>
      </c>
      <c r="K105" s="119">
        <f>K103+K104</f>
        <v>81000</v>
      </c>
      <c r="L105" s="909"/>
    </row>
    <row r="106" spans="1:12" s="54" customFormat="1" ht="15" customHeight="1" hidden="1">
      <c r="A106" s="910">
        <v>2</v>
      </c>
      <c r="B106" s="913"/>
      <c r="C106" s="919" t="s">
        <v>353</v>
      </c>
      <c r="D106" s="907" t="s">
        <v>360</v>
      </c>
      <c r="E106" s="910">
        <v>2020</v>
      </c>
      <c r="F106" s="118" t="s">
        <v>13</v>
      </c>
      <c r="G106" s="119">
        <v>135000</v>
      </c>
      <c r="H106" s="916" t="s">
        <v>75</v>
      </c>
      <c r="I106" s="119">
        <f>J106+K106</f>
        <v>135000</v>
      </c>
      <c r="J106" s="119">
        <v>0</v>
      </c>
      <c r="K106" s="119">
        <v>135000</v>
      </c>
      <c r="L106" s="907" t="s">
        <v>355</v>
      </c>
    </row>
    <row r="107" spans="1:12" s="54" customFormat="1" ht="15" customHeight="1" hidden="1">
      <c r="A107" s="911"/>
      <c r="B107" s="914"/>
      <c r="C107" s="914"/>
      <c r="D107" s="908"/>
      <c r="E107" s="911"/>
      <c r="F107" s="118" t="s">
        <v>14</v>
      </c>
      <c r="G107" s="119"/>
      <c r="H107" s="917"/>
      <c r="I107" s="119">
        <f>J107+K107</f>
        <v>0</v>
      </c>
      <c r="J107" s="119"/>
      <c r="K107" s="119"/>
      <c r="L107" s="908"/>
    </row>
    <row r="108" spans="1:12" s="54" customFormat="1" ht="15" customHeight="1" hidden="1">
      <c r="A108" s="912"/>
      <c r="B108" s="915"/>
      <c r="C108" s="915"/>
      <c r="D108" s="909"/>
      <c r="E108" s="912"/>
      <c r="F108" s="118" t="s">
        <v>15</v>
      </c>
      <c r="G108" s="119">
        <f>G106+G107</f>
        <v>135000</v>
      </c>
      <c r="H108" s="918"/>
      <c r="I108" s="119">
        <f>I106+I107</f>
        <v>135000</v>
      </c>
      <c r="J108" s="119">
        <f>J106+J107</f>
        <v>0</v>
      </c>
      <c r="K108" s="119">
        <f>K106+K107</f>
        <v>135000</v>
      </c>
      <c r="L108" s="909"/>
    </row>
    <row r="109" spans="1:12" s="54" customFormat="1" ht="12.75" hidden="1">
      <c r="A109" s="910">
        <v>15</v>
      </c>
      <c r="B109" s="913"/>
      <c r="C109" s="913" t="s">
        <v>255</v>
      </c>
      <c r="D109" s="907" t="s">
        <v>256</v>
      </c>
      <c r="E109" s="910">
        <v>2020</v>
      </c>
      <c r="F109" s="118" t="s">
        <v>13</v>
      </c>
      <c r="G109" s="119">
        <v>720000</v>
      </c>
      <c r="H109" s="916" t="s">
        <v>75</v>
      </c>
      <c r="I109" s="119">
        <f>J109+K109</f>
        <v>720000</v>
      </c>
      <c r="J109" s="119">
        <v>720000</v>
      </c>
      <c r="K109" s="119">
        <v>0</v>
      </c>
      <c r="L109" s="907" t="s">
        <v>257</v>
      </c>
    </row>
    <row r="110" spans="1:12" s="54" customFormat="1" ht="12.75" hidden="1">
      <c r="A110" s="911"/>
      <c r="B110" s="914"/>
      <c r="C110" s="914"/>
      <c r="D110" s="908"/>
      <c r="E110" s="911"/>
      <c r="F110" s="118" t="s">
        <v>14</v>
      </c>
      <c r="G110" s="119"/>
      <c r="H110" s="917"/>
      <c r="I110" s="119">
        <f>J110+K110</f>
        <v>0</v>
      </c>
      <c r="J110" s="119"/>
      <c r="K110" s="119"/>
      <c r="L110" s="908"/>
    </row>
    <row r="111" spans="1:12" s="54" customFormat="1" ht="12.75" hidden="1">
      <c r="A111" s="912"/>
      <c r="B111" s="915"/>
      <c r="C111" s="915"/>
      <c r="D111" s="909"/>
      <c r="E111" s="912"/>
      <c r="F111" s="118" t="s">
        <v>15</v>
      </c>
      <c r="G111" s="119">
        <f>G109+G110</f>
        <v>720000</v>
      </c>
      <c r="H111" s="918"/>
      <c r="I111" s="119">
        <f>I109+I110</f>
        <v>720000</v>
      </c>
      <c r="J111" s="119">
        <f>J109+J110</f>
        <v>720000</v>
      </c>
      <c r="K111" s="119">
        <f>K109+K110</f>
        <v>0</v>
      </c>
      <c r="L111" s="909"/>
    </row>
    <row r="112" spans="1:12" s="54" customFormat="1" ht="17.25" customHeight="1" hidden="1">
      <c r="A112" s="910">
        <v>4</v>
      </c>
      <c r="B112" s="913"/>
      <c r="C112" s="919" t="s">
        <v>328</v>
      </c>
      <c r="D112" s="907" t="s">
        <v>357</v>
      </c>
      <c r="E112" s="910">
        <v>2020</v>
      </c>
      <c r="F112" s="118" t="s">
        <v>13</v>
      </c>
      <c r="G112" s="119">
        <v>16222</v>
      </c>
      <c r="H112" s="916" t="s">
        <v>75</v>
      </c>
      <c r="I112" s="119">
        <f>J112+K112</f>
        <v>16222</v>
      </c>
      <c r="J112" s="119">
        <v>0</v>
      </c>
      <c r="K112" s="119">
        <v>16222</v>
      </c>
      <c r="L112" s="907" t="s">
        <v>253</v>
      </c>
    </row>
    <row r="113" spans="1:12" s="54" customFormat="1" ht="17.25" customHeight="1" hidden="1">
      <c r="A113" s="911"/>
      <c r="B113" s="914"/>
      <c r="C113" s="914"/>
      <c r="D113" s="908"/>
      <c r="E113" s="911"/>
      <c r="F113" s="118" t="s">
        <v>14</v>
      </c>
      <c r="G113" s="119"/>
      <c r="H113" s="917"/>
      <c r="I113" s="119">
        <f>J113+K113</f>
        <v>0</v>
      </c>
      <c r="J113" s="119"/>
      <c r="K113" s="119"/>
      <c r="L113" s="908"/>
    </row>
    <row r="114" spans="1:12" s="54" customFormat="1" ht="17.25" customHeight="1" hidden="1">
      <c r="A114" s="912"/>
      <c r="B114" s="915"/>
      <c r="C114" s="915"/>
      <c r="D114" s="909"/>
      <c r="E114" s="912"/>
      <c r="F114" s="118" t="s">
        <v>15</v>
      </c>
      <c r="G114" s="119">
        <f>G112+G113</f>
        <v>16222</v>
      </c>
      <c r="H114" s="918"/>
      <c r="I114" s="119">
        <f>I112+I113</f>
        <v>16222</v>
      </c>
      <c r="J114" s="119">
        <f>J112+J113</f>
        <v>0</v>
      </c>
      <c r="K114" s="119">
        <f>K112+K113</f>
        <v>16222</v>
      </c>
      <c r="L114" s="909"/>
    </row>
    <row r="115" spans="1:12" s="54" customFormat="1" ht="12" customHeight="1">
      <c r="A115" s="910">
        <v>5</v>
      </c>
      <c r="B115" s="913"/>
      <c r="C115" s="919" t="s">
        <v>363</v>
      </c>
      <c r="D115" s="907" t="s">
        <v>364</v>
      </c>
      <c r="E115" s="910">
        <v>2020</v>
      </c>
      <c r="F115" s="118" t="s">
        <v>13</v>
      </c>
      <c r="G115" s="119">
        <v>0</v>
      </c>
      <c r="H115" s="916" t="s">
        <v>75</v>
      </c>
      <c r="I115" s="119">
        <f>J115+K115</f>
        <v>0</v>
      </c>
      <c r="J115" s="119">
        <v>0</v>
      </c>
      <c r="K115" s="119">
        <v>0</v>
      </c>
      <c r="L115" s="907" t="s">
        <v>365</v>
      </c>
    </row>
    <row r="116" spans="1:12" s="54" customFormat="1" ht="12" customHeight="1">
      <c r="A116" s="911"/>
      <c r="B116" s="914"/>
      <c r="C116" s="914"/>
      <c r="D116" s="908"/>
      <c r="E116" s="911"/>
      <c r="F116" s="118" t="s">
        <v>14</v>
      </c>
      <c r="G116" s="119">
        <v>198572</v>
      </c>
      <c r="H116" s="917"/>
      <c r="I116" s="119">
        <f>J116+K116</f>
        <v>198572</v>
      </c>
      <c r="J116" s="119">
        <v>198572</v>
      </c>
      <c r="K116" s="119"/>
      <c r="L116" s="908"/>
    </row>
    <row r="117" spans="1:12" s="54" customFormat="1" ht="12" customHeight="1">
      <c r="A117" s="912"/>
      <c r="B117" s="915"/>
      <c r="C117" s="915"/>
      <c r="D117" s="909"/>
      <c r="E117" s="912"/>
      <c r="F117" s="118" t="s">
        <v>15</v>
      </c>
      <c r="G117" s="119">
        <f>G115+G116</f>
        <v>198572</v>
      </c>
      <c r="H117" s="918"/>
      <c r="I117" s="119">
        <f>I115+I116</f>
        <v>198572</v>
      </c>
      <c r="J117" s="119">
        <f>J115+J116</f>
        <v>198572</v>
      </c>
      <c r="K117" s="119">
        <f>K115+K116</f>
        <v>0</v>
      </c>
      <c r="L117" s="909"/>
    </row>
    <row r="118" spans="1:12" s="117" customFormat="1" ht="12.75" hidden="1">
      <c r="A118" s="920"/>
      <c r="B118" s="923" t="s">
        <v>220</v>
      </c>
      <c r="C118" s="923"/>
      <c r="D118" s="929" t="s">
        <v>36</v>
      </c>
      <c r="E118" s="920" t="s">
        <v>75</v>
      </c>
      <c r="F118" s="115" t="s">
        <v>13</v>
      </c>
      <c r="G118" s="116">
        <f>G121</f>
        <v>12500</v>
      </c>
      <c r="H118" s="956" t="str">
        <f>H121</f>
        <v>x</v>
      </c>
      <c r="I118" s="116">
        <f>I121</f>
        <v>12500</v>
      </c>
      <c r="J118" s="116">
        <f>J121</f>
        <v>12500</v>
      </c>
      <c r="K118" s="116">
        <f>K121</f>
        <v>0</v>
      </c>
      <c r="L118" s="920" t="s">
        <v>75</v>
      </c>
    </row>
    <row r="119" spans="1:12" s="117" customFormat="1" ht="12.75" hidden="1">
      <c r="A119" s="921"/>
      <c r="B119" s="924"/>
      <c r="C119" s="924"/>
      <c r="D119" s="930"/>
      <c r="E119" s="921"/>
      <c r="F119" s="115" t="s">
        <v>14</v>
      </c>
      <c r="G119" s="116">
        <f>G122</f>
        <v>0</v>
      </c>
      <c r="H119" s="957"/>
      <c r="I119" s="116">
        <f>I122</f>
        <v>0</v>
      </c>
      <c r="J119" s="116">
        <f>J122</f>
        <v>0</v>
      </c>
      <c r="K119" s="116">
        <f>K122</f>
        <v>0</v>
      </c>
      <c r="L119" s="921"/>
    </row>
    <row r="120" spans="1:12" s="117" customFormat="1" ht="12.75" hidden="1">
      <c r="A120" s="922"/>
      <c r="B120" s="925"/>
      <c r="C120" s="925"/>
      <c r="D120" s="931"/>
      <c r="E120" s="922"/>
      <c r="F120" s="115" t="s">
        <v>15</v>
      </c>
      <c r="G120" s="116">
        <f>G118+G119</f>
        <v>12500</v>
      </c>
      <c r="H120" s="958"/>
      <c r="I120" s="116">
        <f>I118+I119</f>
        <v>12500</v>
      </c>
      <c r="J120" s="116">
        <f>J118+J119</f>
        <v>12500</v>
      </c>
      <c r="K120" s="116">
        <f>K118+K119</f>
        <v>0</v>
      </c>
      <c r="L120" s="922"/>
    </row>
    <row r="121" spans="1:12" s="54" customFormat="1" ht="12.75" hidden="1">
      <c r="A121" s="910">
        <v>16</v>
      </c>
      <c r="B121" s="913"/>
      <c r="C121" s="913" t="s">
        <v>258</v>
      </c>
      <c r="D121" s="962" t="s">
        <v>259</v>
      </c>
      <c r="E121" s="910">
        <v>2020</v>
      </c>
      <c r="F121" s="118" t="s">
        <v>13</v>
      </c>
      <c r="G121" s="119">
        <v>12500</v>
      </c>
      <c r="H121" s="916" t="s">
        <v>75</v>
      </c>
      <c r="I121" s="119">
        <f>J121+K121</f>
        <v>12500</v>
      </c>
      <c r="J121" s="119">
        <v>12500</v>
      </c>
      <c r="K121" s="119">
        <v>0</v>
      </c>
      <c r="L121" s="907" t="s">
        <v>260</v>
      </c>
    </row>
    <row r="122" spans="1:12" s="54" customFormat="1" ht="12.75" hidden="1">
      <c r="A122" s="911"/>
      <c r="B122" s="914"/>
      <c r="C122" s="914"/>
      <c r="D122" s="963"/>
      <c r="E122" s="911"/>
      <c r="F122" s="118" t="s">
        <v>14</v>
      </c>
      <c r="G122" s="119"/>
      <c r="H122" s="917"/>
      <c r="I122" s="119">
        <f>J122+K122</f>
        <v>0</v>
      </c>
      <c r="J122" s="119"/>
      <c r="K122" s="119"/>
      <c r="L122" s="908"/>
    </row>
    <row r="123" spans="1:12" s="54" customFormat="1" ht="12.75" hidden="1">
      <c r="A123" s="912"/>
      <c r="B123" s="915"/>
      <c r="C123" s="915"/>
      <c r="D123" s="964"/>
      <c r="E123" s="912"/>
      <c r="F123" s="118" t="s">
        <v>15</v>
      </c>
      <c r="G123" s="119">
        <f>G121+G122</f>
        <v>12500</v>
      </c>
      <c r="H123" s="918"/>
      <c r="I123" s="119">
        <f>I121+I122</f>
        <v>12500</v>
      </c>
      <c r="J123" s="119">
        <f>J121+J122</f>
        <v>12500</v>
      </c>
      <c r="K123" s="119">
        <f>K121+K122</f>
        <v>0</v>
      </c>
      <c r="L123" s="909"/>
    </row>
    <row r="124" spans="1:12" s="117" customFormat="1" ht="12.75" hidden="1">
      <c r="A124" s="920"/>
      <c r="B124" s="923" t="s">
        <v>76</v>
      </c>
      <c r="C124" s="923"/>
      <c r="D124" s="926" t="s">
        <v>37</v>
      </c>
      <c r="E124" s="920" t="s">
        <v>75</v>
      </c>
      <c r="F124" s="115" t="s">
        <v>13</v>
      </c>
      <c r="G124" s="116">
        <f>G127</f>
        <v>60000</v>
      </c>
      <c r="H124" s="956" t="s">
        <v>75</v>
      </c>
      <c r="I124" s="116">
        <f aca="true" t="shared" si="9" ref="I124:K125">I127</f>
        <v>60000</v>
      </c>
      <c r="J124" s="116">
        <f t="shared" si="9"/>
        <v>60000</v>
      </c>
      <c r="K124" s="116">
        <f t="shared" si="9"/>
        <v>0</v>
      </c>
      <c r="L124" s="920" t="s">
        <v>75</v>
      </c>
    </row>
    <row r="125" spans="1:12" s="117" customFormat="1" ht="12.75" hidden="1">
      <c r="A125" s="921"/>
      <c r="B125" s="924"/>
      <c r="C125" s="924"/>
      <c r="D125" s="927"/>
      <c r="E125" s="921"/>
      <c r="F125" s="115" t="s">
        <v>14</v>
      </c>
      <c r="G125" s="116">
        <f>G128</f>
        <v>0</v>
      </c>
      <c r="H125" s="957"/>
      <c r="I125" s="116">
        <f t="shared" si="9"/>
        <v>0</v>
      </c>
      <c r="J125" s="116">
        <f t="shared" si="9"/>
        <v>0</v>
      </c>
      <c r="K125" s="116">
        <f t="shared" si="9"/>
        <v>0</v>
      </c>
      <c r="L125" s="921"/>
    </row>
    <row r="126" spans="1:12" s="117" customFormat="1" ht="12.75" hidden="1">
      <c r="A126" s="922"/>
      <c r="B126" s="925"/>
      <c r="C126" s="925"/>
      <c r="D126" s="928"/>
      <c r="E126" s="922"/>
      <c r="F126" s="115" t="s">
        <v>15</v>
      </c>
      <c r="G126" s="116">
        <f>G124+G125</f>
        <v>60000</v>
      </c>
      <c r="H126" s="958"/>
      <c r="I126" s="116">
        <f>I124+I125</f>
        <v>60000</v>
      </c>
      <c r="J126" s="116">
        <f>J124+J125</f>
        <v>60000</v>
      </c>
      <c r="K126" s="116">
        <f>K124+K125</f>
        <v>0</v>
      </c>
      <c r="L126" s="922"/>
    </row>
    <row r="127" spans="1:12" s="54" customFormat="1" ht="12.75" hidden="1">
      <c r="A127" s="910">
        <v>17</v>
      </c>
      <c r="B127" s="913"/>
      <c r="C127" s="913" t="s">
        <v>77</v>
      </c>
      <c r="D127" s="962" t="s">
        <v>261</v>
      </c>
      <c r="E127" s="910">
        <v>2020</v>
      </c>
      <c r="F127" s="118" t="s">
        <v>13</v>
      </c>
      <c r="G127" s="119">
        <v>60000</v>
      </c>
      <c r="H127" s="916" t="s">
        <v>75</v>
      </c>
      <c r="I127" s="119">
        <f>J127+K127</f>
        <v>60000</v>
      </c>
      <c r="J127" s="119">
        <v>60000</v>
      </c>
      <c r="K127" s="119">
        <v>0</v>
      </c>
      <c r="L127" s="907" t="s">
        <v>262</v>
      </c>
    </row>
    <row r="128" spans="1:12" s="54" customFormat="1" ht="12.75" hidden="1">
      <c r="A128" s="911"/>
      <c r="B128" s="914"/>
      <c r="C128" s="914"/>
      <c r="D128" s="963"/>
      <c r="E128" s="911"/>
      <c r="F128" s="118" t="s">
        <v>14</v>
      </c>
      <c r="G128" s="119"/>
      <c r="H128" s="917"/>
      <c r="I128" s="119">
        <f>J128+K128</f>
        <v>0</v>
      </c>
      <c r="J128" s="119"/>
      <c r="K128" s="119"/>
      <c r="L128" s="908"/>
    </row>
    <row r="129" spans="1:12" s="54" customFormat="1" ht="12.75" hidden="1">
      <c r="A129" s="912"/>
      <c r="B129" s="915"/>
      <c r="C129" s="915"/>
      <c r="D129" s="964"/>
      <c r="E129" s="912"/>
      <c r="F129" s="118" t="s">
        <v>15</v>
      </c>
      <c r="G129" s="119">
        <f>G127+G128</f>
        <v>60000</v>
      </c>
      <c r="H129" s="918"/>
      <c r="I129" s="119">
        <f>I127+I128</f>
        <v>60000</v>
      </c>
      <c r="J129" s="119">
        <f>J127+J128</f>
        <v>60000</v>
      </c>
      <c r="K129" s="119">
        <f>K127+K128</f>
        <v>0</v>
      </c>
      <c r="L129" s="909"/>
    </row>
    <row r="130" spans="1:12" s="117" customFormat="1" ht="12.75" hidden="1">
      <c r="A130" s="920"/>
      <c r="B130" s="923" t="s">
        <v>221</v>
      </c>
      <c r="C130" s="923"/>
      <c r="D130" s="929" t="s">
        <v>224</v>
      </c>
      <c r="E130" s="920" t="s">
        <v>75</v>
      </c>
      <c r="F130" s="115" t="s">
        <v>13</v>
      </c>
      <c r="G130" s="116">
        <f>G133+G136</f>
        <v>125000</v>
      </c>
      <c r="H130" s="956" t="s">
        <v>75</v>
      </c>
      <c r="I130" s="116">
        <f aca="true" t="shared" si="10" ref="I130:K131">I133+I136</f>
        <v>125000</v>
      </c>
      <c r="J130" s="116">
        <f t="shared" si="10"/>
        <v>125000</v>
      </c>
      <c r="K130" s="116">
        <f t="shared" si="10"/>
        <v>0</v>
      </c>
      <c r="L130" s="920" t="s">
        <v>75</v>
      </c>
    </row>
    <row r="131" spans="1:12" s="117" customFormat="1" ht="12.75" hidden="1">
      <c r="A131" s="921"/>
      <c r="B131" s="924"/>
      <c r="C131" s="924"/>
      <c r="D131" s="930"/>
      <c r="E131" s="921"/>
      <c r="F131" s="115" t="s">
        <v>14</v>
      </c>
      <c r="G131" s="116">
        <f>G134+G137</f>
        <v>0</v>
      </c>
      <c r="H131" s="957"/>
      <c r="I131" s="116">
        <f t="shared" si="10"/>
        <v>0</v>
      </c>
      <c r="J131" s="116">
        <f t="shared" si="10"/>
        <v>0</v>
      </c>
      <c r="K131" s="116">
        <f t="shared" si="10"/>
        <v>0</v>
      </c>
      <c r="L131" s="921"/>
    </row>
    <row r="132" spans="1:12" s="117" customFormat="1" ht="12.75" hidden="1">
      <c r="A132" s="922"/>
      <c r="B132" s="925"/>
      <c r="C132" s="925"/>
      <c r="D132" s="931"/>
      <c r="E132" s="922"/>
      <c r="F132" s="115" t="s">
        <v>15</v>
      </c>
      <c r="G132" s="116">
        <f>G130+G131</f>
        <v>125000</v>
      </c>
      <c r="H132" s="958"/>
      <c r="I132" s="116">
        <f>I130+I131</f>
        <v>125000</v>
      </c>
      <c r="J132" s="116">
        <f>J130+J131</f>
        <v>125000</v>
      </c>
      <c r="K132" s="116">
        <f>K130+K131</f>
        <v>0</v>
      </c>
      <c r="L132" s="922"/>
    </row>
    <row r="133" spans="1:12" s="54" customFormat="1" ht="20.25" customHeight="1" hidden="1">
      <c r="A133" s="910">
        <v>18</v>
      </c>
      <c r="B133" s="913"/>
      <c r="C133" s="913" t="s">
        <v>263</v>
      </c>
      <c r="D133" s="907" t="s">
        <v>245</v>
      </c>
      <c r="E133" s="910">
        <v>2020</v>
      </c>
      <c r="F133" s="118" t="s">
        <v>13</v>
      </c>
      <c r="G133" s="119">
        <v>40000</v>
      </c>
      <c r="H133" s="916" t="s">
        <v>75</v>
      </c>
      <c r="I133" s="119">
        <f>J133+K133</f>
        <v>40000</v>
      </c>
      <c r="J133" s="119">
        <v>40000</v>
      </c>
      <c r="K133" s="119">
        <v>0</v>
      </c>
      <c r="L133" s="907" t="s">
        <v>264</v>
      </c>
    </row>
    <row r="134" spans="1:12" s="54" customFormat="1" ht="20.25" customHeight="1" hidden="1">
      <c r="A134" s="911"/>
      <c r="B134" s="914"/>
      <c r="C134" s="914"/>
      <c r="D134" s="908"/>
      <c r="E134" s="911"/>
      <c r="F134" s="118" t="s">
        <v>14</v>
      </c>
      <c r="G134" s="119"/>
      <c r="H134" s="917"/>
      <c r="I134" s="119">
        <f>J134+K134</f>
        <v>0</v>
      </c>
      <c r="J134" s="119"/>
      <c r="K134" s="119"/>
      <c r="L134" s="908"/>
    </row>
    <row r="135" spans="1:12" s="54" customFormat="1" ht="20.25" customHeight="1" hidden="1">
      <c r="A135" s="912"/>
      <c r="B135" s="915"/>
      <c r="C135" s="915"/>
      <c r="D135" s="909"/>
      <c r="E135" s="912"/>
      <c r="F135" s="118" t="s">
        <v>15</v>
      </c>
      <c r="G135" s="119">
        <f>G133+G134</f>
        <v>40000</v>
      </c>
      <c r="H135" s="918"/>
      <c r="I135" s="119">
        <f>I133+I134</f>
        <v>40000</v>
      </c>
      <c r="J135" s="119">
        <f>J133+J134</f>
        <v>40000</v>
      </c>
      <c r="K135" s="119">
        <f>K133+K134</f>
        <v>0</v>
      </c>
      <c r="L135" s="909"/>
    </row>
    <row r="136" spans="1:12" s="54" customFormat="1" ht="20.25" customHeight="1" hidden="1">
      <c r="A136" s="910">
        <v>19</v>
      </c>
      <c r="B136" s="913"/>
      <c r="C136" s="913" t="s">
        <v>263</v>
      </c>
      <c r="D136" s="907" t="s">
        <v>265</v>
      </c>
      <c r="E136" s="910">
        <v>2020</v>
      </c>
      <c r="F136" s="118" t="s">
        <v>13</v>
      </c>
      <c r="G136" s="119">
        <v>85000</v>
      </c>
      <c r="H136" s="916" t="s">
        <v>75</v>
      </c>
      <c r="I136" s="119">
        <f>J136+K136</f>
        <v>85000</v>
      </c>
      <c r="J136" s="119">
        <v>85000</v>
      </c>
      <c r="K136" s="119">
        <v>0</v>
      </c>
      <c r="L136" s="907" t="s">
        <v>266</v>
      </c>
    </row>
    <row r="137" spans="1:12" s="54" customFormat="1" ht="20.25" customHeight="1" hidden="1">
      <c r="A137" s="911"/>
      <c r="B137" s="914"/>
      <c r="C137" s="914"/>
      <c r="D137" s="908"/>
      <c r="E137" s="911"/>
      <c r="F137" s="118" t="s">
        <v>14</v>
      </c>
      <c r="G137" s="119"/>
      <c r="H137" s="917"/>
      <c r="I137" s="119">
        <f>J137+K137</f>
        <v>0</v>
      </c>
      <c r="J137" s="119"/>
      <c r="K137" s="119"/>
      <c r="L137" s="908"/>
    </row>
    <row r="138" spans="1:12" s="54" customFormat="1" ht="20.25" customHeight="1" hidden="1">
      <c r="A138" s="912"/>
      <c r="B138" s="915"/>
      <c r="C138" s="915"/>
      <c r="D138" s="909"/>
      <c r="E138" s="912"/>
      <c r="F138" s="118" t="s">
        <v>15</v>
      </c>
      <c r="G138" s="119">
        <f>G136+G137</f>
        <v>85000</v>
      </c>
      <c r="H138" s="918"/>
      <c r="I138" s="119">
        <f>I136+I137</f>
        <v>85000</v>
      </c>
      <c r="J138" s="119">
        <f>J136+J137</f>
        <v>85000</v>
      </c>
      <c r="K138" s="119">
        <f>K136+K137</f>
        <v>0</v>
      </c>
      <c r="L138" s="909"/>
    </row>
    <row r="139" spans="1:12" s="117" customFormat="1" ht="12" customHeight="1">
      <c r="A139" s="920"/>
      <c r="B139" s="923" t="s">
        <v>222</v>
      </c>
      <c r="C139" s="923"/>
      <c r="D139" s="926" t="s">
        <v>39</v>
      </c>
      <c r="E139" s="920" t="s">
        <v>75</v>
      </c>
      <c r="F139" s="115" t="s">
        <v>13</v>
      </c>
      <c r="G139" s="116">
        <f>G142+G145+G148+G154+G157+G160+G163+G169+G172+G175+G151+G178+G181+G166</f>
        <v>3886815</v>
      </c>
      <c r="H139" s="956" t="s">
        <v>75</v>
      </c>
      <c r="I139" s="116">
        <f aca="true" t="shared" si="11" ref="I139:K140">I142+I145+I148+I154+I157+I160+I163+I169+I172+I175+I151+I178+I181+I166</f>
        <v>3886815</v>
      </c>
      <c r="J139" s="116">
        <f t="shared" si="11"/>
        <v>3886815</v>
      </c>
      <c r="K139" s="116">
        <f t="shared" si="11"/>
        <v>0</v>
      </c>
      <c r="L139" s="920" t="s">
        <v>75</v>
      </c>
    </row>
    <row r="140" spans="1:12" s="117" customFormat="1" ht="12" customHeight="1">
      <c r="A140" s="921"/>
      <c r="B140" s="924"/>
      <c r="C140" s="924"/>
      <c r="D140" s="927"/>
      <c r="E140" s="921"/>
      <c r="F140" s="115" t="s">
        <v>14</v>
      </c>
      <c r="G140" s="116">
        <f>G143+G146+G149+G155+G158+G161+G164+G170+G173+G176+G152+G179+G182+G167</f>
        <v>128000</v>
      </c>
      <c r="H140" s="957"/>
      <c r="I140" s="116">
        <f t="shared" si="11"/>
        <v>128000</v>
      </c>
      <c r="J140" s="116">
        <f t="shared" si="11"/>
        <v>128000</v>
      </c>
      <c r="K140" s="116">
        <f t="shared" si="11"/>
        <v>0</v>
      </c>
      <c r="L140" s="921"/>
    </row>
    <row r="141" spans="1:12" s="117" customFormat="1" ht="12" customHeight="1">
      <c r="A141" s="922"/>
      <c r="B141" s="925"/>
      <c r="C141" s="925"/>
      <c r="D141" s="928"/>
      <c r="E141" s="922"/>
      <c r="F141" s="115" t="s">
        <v>15</v>
      </c>
      <c r="G141" s="116">
        <f>G139+G140</f>
        <v>4014815</v>
      </c>
      <c r="H141" s="958"/>
      <c r="I141" s="116">
        <f>I139+I140</f>
        <v>4014815</v>
      </c>
      <c r="J141" s="116">
        <f>J139+J140</f>
        <v>4014815</v>
      </c>
      <c r="K141" s="116">
        <f>K139+K140</f>
        <v>0</v>
      </c>
      <c r="L141" s="922"/>
    </row>
    <row r="142" spans="1:12" s="54" customFormat="1" ht="12.75" hidden="1">
      <c r="A142" s="910">
        <v>20</v>
      </c>
      <c r="B142" s="913"/>
      <c r="C142" s="913" t="s">
        <v>267</v>
      </c>
      <c r="D142" s="907" t="s">
        <v>268</v>
      </c>
      <c r="E142" s="910">
        <v>2020</v>
      </c>
      <c r="F142" s="118" t="s">
        <v>13</v>
      </c>
      <c r="G142" s="119">
        <v>600000</v>
      </c>
      <c r="H142" s="916" t="s">
        <v>75</v>
      </c>
      <c r="I142" s="119">
        <f aca="true" t="shared" si="12" ref="I142:I176">J142+K142</f>
        <v>600000</v>
      </c>
      <c r="J142" s="119">
        <v>600000</v>
      </c>
      <c r="K142" s="119">
        <v>0</v>
      </c>
      <c r="L142" s="907" t="s">
        <v>269</v>
      </c>
    </row>
    <row r="143" spans="1:12" s="54" customFormat="1" ht="12.75" hidden="1">
      <c r="A143" s="911"/>
      <c r="B143" s="914"/>
      <c r="C143" s="914"/>
      <c r="D143" s="908"/>
      <c r="E143" s="911"/>
      <c r="F143" s="118" t="s">
        <v>14</v>
      </c>
      <c r="G143" s="119"/>
      <c r="H143" s="917"/>
      <c r="I143" s="119">
        <f t="shared" si="12"/>
        <v>0</v>
      </c>
      <c r="J143" s="119"/>
      <c r="K143" s="119"/>
      <c r="L143" s="908"/>
    </row>
    <row r="144" spans="1:12" s="54" customFormat="1" ht="12.75" hidden="1">
      <c r="A144" s="912"/>
      <c r="B144" s="915"/>
      <c r="C144" s="915"/>
      <c r="D144" s="909"/>
      <c r="E144" s="912"/>
      <c r="F144" s="118" t="s">
        <v>15</v>
      </c>
      <c r="G144" s="119">
        <f>G142+G143</f>
        <v>600000</v>
      </c>
      <c r="H144" s="918"/>
      <c r="I144" s="119">
        <f>I142+I143</f>
        <v>600000</v>
      </c>
      <c r="J144" s="119">
        <f>J142+J143</f>
        <v>600000</v>
      </c>
      <c r="K144" s="119">
        <f>K142+K143</f>
        <v>0</v>
      </c>
      <c r="L144" s="909"/>
    </row>
    <row r="145" spans="1:12" s="54" customFormat="1" ht="21" customHeight="1" hidden="1">
      <c r="A145" s="910">
        <v>1</v>
      </c>
      <c r="B145" s="913"/>
      <c r="C145" s="913" t="s">
        <v>267</v>
      </c>
      <c r="D145" s="907" t="s">
        <v>350</v>
      </c>
      <c r="E145" s="910">
        <v>2020</v>
      </c>
      <c r="F145" s="118" t="s">
        <v>13</v>
      </c>
      <c r="G145" s="119">
        <v>890516</v>
      </c>
      <c r="H145" s="916" t="s">
        <v>75</v>
      </c>
      <c r="I145" s="119">
        <f t="shared" si="12"/>
        <v>890516</v>
      </c>
      <c r="J145" s="119">
        <v>890516</v>
      </c>
      <c r="K145" s="119">
        <v>0</v>
      </c>
      <c r="L145" s="907" t="s">
        <v>269</v>
      </c>
    </row>
    <row r="146" spans="1:12" s="54" customFormat="1" ht="21" customHeight="1" hidden="1">
      <c r="A146" s="911"/>
      <c r="B146" s="914"/>
      <c r="C146" s="914"/>
      <c r="D146" s="908"/>
      <c r="E146" s="911"/>
      <c r="F146" s="118" t="s">
        <v>14</v>
      </c>
      <c r="G146" s="119"/>
      <c r="H146" s="917"/>
      <c r="I146" s="119">
        <f t="shared" si="12"/>
        <v>0</v>
      </c>
      <c r="J146" s="119"/>
      <c r="K146" s="119"/>
      <c r="L146" s="908"/>
    </row>
    <row r="147" spans="1:12" s="54" customFormat="1" ht="21" customHeight="1" hidden="1">
      <c r="A147" s="912"/>
      <c r="B147" s="915"/>
      <c r="C147" s="915"/>
      <c r="D147" s="909"/>
      <c r="E147" s="912"/>
      <c r="F147" s="118" t="s">
        <v>15</v>
      </c>
      <c r="G147" s="119">
        <f>G145+G146</f>
        <v>890516</v>
      </c>
      <c r="H147" s="918"/>
      <c r="I147" s="119">
        <f>I145+I146</f>
        <v>890516</v>
      </c>
      <c r="J147" s="119">
        <f>J145+J146</f>
        <v>890516</v>
      </c>
      <c r="K147" s="119">
        <f>K145+K146</f>
        <v>0</v>
      </c>
      <c r="L147" s="909"/>
    </row>
    <row r="148" spans="1:12" s="54" customFormat="1" ht="12.75" hidden="1">
      <c r="A148" s="910">
        <v>22</v>
      </c>
      <c r="B148" s="913"/>
      <c r="C148" s="913" t="s">
        <v>267</v>
      </c>
      <c r="D148" s="959" t="s">
        <v>270</v>
      </c>
      <c r="E148" s="910">
        <v>2020</v>
      </c>
      <c r="F148" s="118" t="s">
        <v>13</v>
      </c>
      <c r="G148" s="119">
        <v>111000</v>
      </c>
      <c r="H148" s="916" t="s">
        <v>75</v>
      </c>
      <c r="I148" s="119">
        <f t="shared" si="12"/>
        <v>111000</v>
      </c>
      <c r="J148" s="119">
        <v>111000</v>
      </c>
      <c r="K148" s="119">
        <v>0</v>
      </c>
      <c r="L148" s="907" t="s">
        <v>271</v>
      </c>
    </row>
    <row r="149" spans="1:12" s="54" customFormat="1" ht="12.75" hidden="1">
      <c r="A149" s="911"/>
      <c r="B149" s="914"/>
      <c r="C149" s="914"/>
      <c r="D149" s="960"/>
      <c r="E149" s="911"/>
      <c r="F149" s="118" t="s">
        <v>14</v>
      </c>
      <c r="G149" s="119"/>
      <c r="H149" s="917"/>
      <c r="I149" s="119">
        <f t="shared" si="12"/>
        <v>0</v>
      </c>
      <c r="J149" s="119"/>
      <c r="K149" s="119"/>
      <c r="L149" s="908"/>
    </row>
    <row r="150" spans="1:12" s="54" customFormat="1" ht="12.75" hidden="1">
      <c r="A150" s="912"/>
      <c r="B150" s="915"/>
      <c r="C150" s="915"/>
      <c r="D150" s="961"/>
      <c r="E150" s="912"/>
      <c r="F150" s="118" t="s">
        <v>15</v>
      </c>
      <c r="G150" s="119">
        <f>G148+G149</f>
        <v>111000</v>
      </c>
      <c r="H150" s="918"/>
      <c r="I150" s="119">
        <f>I148+I149</f>
        <v>111000</v>
      </c>
      <c r="J150" s="119">
        <f>J148+J149</f>
        <v>111000</v>
      </c>
      <c r="K150" s="119">
        <f>K148+K149</f>
        <v>0</v>
      </c>
      <c r="L150" s="909"/>
    </row>
    <row r="151" spans="1:12" s="54" customFormat="1" ht="12.75" hidden="1">
      <c r="A151" s="910">
        <v>23</v>
      </c>
      <c r="B151" s="913"/>
      <c r="C151" s="913" t="s">
        <v>267</v>
      </c>
      <c r="D151" s="907" t="s">
        <v>272</v>
      </c>
      <c r="E151" s="910">
        <v>2020</v>
      </c>
      <c r="F151" s="118" t="s">
        <v>13</v>
      </c>
      <c r="G151" s="119">
        <v>1000000</v>
      </c>
      <c r="H151" s="916" t="s">
        <v>75</v>
      </c>
      <c r="I151" s="119">
        <f>J151+K151</f>
        <v>1000000</v>
      </c>
      <c r="J151" s="119">
        <v>1000000</v>
      </c>
      <c r="K151" s="119">
        <v>0</v>
      </c>
      <c r="L151" s="907" t="s">
        <v>271</v>
      </c>
    </row>
    <row r="152" spans="1:12" s="54" customFormat="1" ht="12.75" hidden="1">
      <c r="A152" s="911"/>
      <c r="B152" s="914"/>
      <c r="C152" s="914"/>
      <c r="D152" s="908"/>
      <c r="E152" s="911"/>
      <c r="F152" s="118" t="s">
        <v>14</v>
      </c>
      <c r="G152" s="119"/>
      <c r="H152" s="917"/>
      <c r="I152" s="119">
        <f>J152+K152</f>
        <v>0</v>
      </c>
      <c r="J152" s="119"/>
      <c r="K152" s="119"/>
      <c r="L152" s="908"/>
    </row>
    <row r="153" spans="1:12" s="54" customFormat="1" ht="12.75" hidden="1">
      <c r="A153" s="912"/>
      <c r="B153" s="915"/>
      <c r="C153" s="915"/>
      <c r="D153" s="909"/>
      <c r="E153" s="912"/>
      <c r="F153" s="118" t="s">
        <v>15</v>
      </c>
      <c r="G153" s="119">
        <f>G151+G152</f>
        <v>1000000</v>
      </c>
      <c r="H153" s="918"/>
      <c r="I153" s="119">
        <f>I151+I152</f>
        <v>1000000</v>
      </c>
      <c r="J153" s="119">
        <f>J151+J152</f>
        <v>1000000</v>
      </c>
      <c r="K153" s="119">
        <f>K151+K152</f>
        <v>0</v>
      </c>
      <c r="L153" s="909"/>
    </row>
    <row r="154" spans="1:12" s="54" customFormat="1" ht="12.75" hidden="1">
      <c r="A154" s="910">
        <v>24</v>
      </c>
      <c r="B154" s="913"/>
      <c r="C154" s="913" t="s">
        <v>273</v>
      </c>
      <c r="D154" s="907" t="s">
        <v>245</v>
      </c>
      <c r="E154" s="910">
        <v>2020</v>
      </c>
      <c r="F154" s="118" t="s">
        <v>13</v>
      </c>
      <c r="G154" s="119">
        <v>100000</v>
      </c>
      <c r="H154" s="916" t="s">
        <v>75</v>
      </c>
      <c r="I154" s="119">
        <f t="shared" si="12"/>
        <v>100000</v>
      </c>
      <c r="J154" s="119">
        <v>100000</v>
      </c>
      <c r="K154" s="119">
        <v>0</v>
      </c>
      <c r="L154" s="907" t="s">
        <v>274</v>
      </c>
    </row>
    <row r="155" spans="1:12" s="54" customFormat="1" ht="12.75" hidden="1">
      <c r="A155" s="911"/>
      <c r="B155" s="914"/>
      <c r="C155" s="914"/>
      <c r="D155" s="908"/>
      <c r="E155" s="911"/>
      <c r="F155" s="118" t="s">
        <v>14</v>
      </c>
      <c r="G155" s="119"/>
      <c r="H155" s="917"/>
      <c r="I155" s="119">
        <f t="shared" si="12"/>
        <v>0</v>
      </c>
      <c r="J155" s="119"/>
      <c r="K155" s="119"/>
      <c r="L155" s="908"/>
    </row>
    <row r="156" spans="1:12" s="54" customFormat="1" ht="12.75" hidden="1">
      <c r="A156" s="912"/>
      <c r="B156" s="915"/>
      <c r="C156" s="915"/>
      <c r="D156" s="909"/>
      <c r="E156" s="912"/>
      <c r="F156" s="118" t="s">
        <v>15</v>
      </c>
      <c r="G156" s="119">
        <f>G154+G155</f>
        <v>100000</v>
      </c>
      <c r="H156" s="918"/>
      <c r="I156" s="119">
        <f>I154+I155</f>
        <v>100000</v>
      </c>
      <c r="J156" s="119">
        <f>J154+J155</f>
        <v>100000</v>
      </c>
      <c r="K156" s="119">
        <f>K154+K155</f>
        <v>0</v>
      </c>
      <c r="L156" s="909"/>
    </row>
    <row r="157" spans="1:12" s="54" customFormat="1" ht="12.75" hidden="1">
      <c r="A157" s="910">
        <v>25</v>
      </c>
      <c r="B157" s="913"/>
      <c r="C157" s="913" t="s">
        <v>275</v>
      </c>
      <c r="D157" s="907" t="s">
        <v>276</v>
      </c>
      <c r="E157" s="910">
        <v>2020</v>
      </c>
      <c r="F157" s="118" t="s">
        <v>13</v>
      </c>
      <c r="G157" s="119">
        <v>45000</v>
      </c>
      <c r="H157" s="916" t="s">
        <v>75</v>
      </c>
      <c r="I157" s="119">
        <f t="shared" si="12"/>
        <v>45000</v>
      </c>
      <c r="J157" s="119">
        <v>45000</v>
      </c>
      <c r="K157" s="119">
        <v>0</v>
      </c>
      <c r="L157" s="907" t="s">
        <v>277</v>
      </c>
    </row>
    <row r="158" spans="1:12" s="54" customFormat="1" ht="12.75" hidden="1">
      <c r="A158" s="911"/>
      <c r="B158" s="914"/>
      <c r="C158" s="914"/>
      <c r="D158" s="908"/>
      <c r="E158" s="911"/>
      <c r="F158" s="118" t="s">
        <v>14</v>
      </c>
      <c r="G158" s="119"/>
      <c r="H158" s="917"/>
      <c r="I158" s="119">
        <f t="shared" si="12"/>
        <v>0</v>
      </c>
      <c r="J158" s="119"/>
      <c r="K158" s="119"/>
      <c r="L158" s="908"/>
    </row>
    <row r="159" spans="1:12" s="54" customFormat="1" ht="12.75" hidden="1">
      <c r="A159" s="912"/>
      <c r="B159" s="915"/>
      <c r="C159" s="915"/>
      <c r="D159" s="909"/>
      <c r="E159" s="912"/>
      <c r="F159" s="118" t="s">
        <v>15</v>
      </c>
      <c r="G159" s="119">
        <f>G157+G158</f>
        <v>45000</v>
      </c>
      <c r="H159" s="918"/>
      <c r="I159" s="119">
        <f>I157+I158</f>
        <v>45000</v>
      </c>
      <c r="J159" s="119">
        <f>J157+J158</f>
        <v>45000</v>
      </c>
      <c r="K159" s="119">
        <f>K157+K158</f>
        <v>0</v>
      </c>
      <c r="L159" s="909"/>
    </row>
    <row r="160" spans="1:12" s="54" customFormat="1" ht="12.75" hidden="1">
      <c r="A160" s="910">
        <v>26</v>
      </c>
      <c r="B160" s="913"/>
      <c r="C160" s="913" t="s">
        <v>278</v>
      </c>
      <c r="D160" s="907" t="s">
        <v>279</v>
      </c>
      <c r="E160" s="910">
        <v>2020</v>
      </c>
      <c r="F160" s="118" t="s">
        <v>13</v>
      </c>
      <c r="G160" s="119">
        <v>80000</v>
      </c>
      <c r="H160" s="916" t="s">
        <v>75</v>
      </c>
      <c r="I160" s="119">
        <f t="shared" si="12"/>
        <v>80000</v>
      </c>
      <c r="J160" s="119">
        <v>80000</v>
      </c>
      <c r="K160" s="119">
        <v>0</v>
      </c>
      <c r="L160" s="907" t="s">
        <v>280</v>
      </c>
    </row>
    <row r="161" spans="1:12" s="54" customFormat="1" ht="12.75" hidden="1">
      <c r="A161" s="911"/>
      <c r="B161" s="914"/>
      <c r="C161" s="914"/>
      <c r="D161" s="908"/>
      <c r="E161" s="911"/>
      <c r="F161" s="118" t="s">
        <v>14</v>
      </c>
      <c r="G161" s="119"/>
      <c r="H161" s="917"/>
      <c r="I161" s="119">
        <f t="shared" si="12"/>
        <v>0</v>
      </c>
      <c r="J161" s="119"/>
      <c r="K161" s="119"/>
      <c r="L161" s="908"/>
    </row>
    <row r="162" spans="1:12" s="54" customFormat="1" ht="12.75" hidden="1">
      <c r="A162" s="912"/>
      <c r="B162" s="915"/>
      <c r="C162" s="915"/>
      <c r="D162" s="909"/>
      <c r="E162" s="912"/>
      <c r="F162" s="118" t="s">
        <v>15</v>
      </c>
      <c r="G162" s="119">
        <f>G160+G161</f>
        <v>80000</v>
      </c>
      <c r="H162" s="918"/>
      <c r="I162" s="119">
        <f>I160+I161</f>
        <v>80000</v>
      </c>
      <c r="J162" s="119">
        <f>J160+J161</f>
        <v>80000</v>
      </c>
      <c r="K162" s="119">
        <f>K160+K161</f>
        <v>0</v>
      </c>
      <c r="L162" s="909"/>
    </row>
    <row r="163" spans="1:12" s="54" customFormat="1" ht="12.75" hidden="1">
      <c r="A163" s="910">
        <v>27</v>
      </c>
      <c r="B163" s="913"/>
      <c r="C163" s="913" t="s">
        <v>278</v>
      </c>
      <c r="D163" s="907" t="s">
        <v>281</v>
      </c>
      <c r="E163" s="910">
        <v>2020</v>
      </c>
      <c r="F163" s="118" t="s">
        <v>13</v>
      </c>
      <c r="G163" s="119">
        <v>100000</v>
      </c>
      <c r="H163" s="916" t="s">
        <v>75</v>
      </c>
      <c r="I163" s="119">
        <f t="shared" si="12"/>
        <v>100000</v>
      </c>
      <c r="J163" s="119">
        <v>100000</v>
      </c>
      <c r="K163" s="119">
        <v>0</v>
      </c>
      <c r="L163" s="907" t="s">
        <v>282</v>
      </c>
    </row>
    <row r="164" spans="1:12" s="54" customFormat="1" ht="12.75" hidden="1">
      <c r="A164" s="911"/>
      <c r="B164" s="914"/>
      <c r="C164" s="914"/>
      <c r="D164" s="908"/>
      <c r="E164" s="911"/>
      <c r="F164" s="118" t="s">
        <v>14</v>
      </c>
      <c r="G164" s="119"/>
      <c r="H164" s="917"/>
      <c r="I164" s="119">
        <f t="shared" si="12"/>
        <v>0</v>
      </c>
      <c r="J164" s="119"/>
      <c r="K164" s="119"/>
      <c r="L164" s="908"/>
    </row>
    <row r="165" spans="1:12" s="54" customFormat="1" ht="12.75" hidden="1">
      <c r="A165" s="912"/>
      <c r="B165" s="915"/>
      <c r="C165" s="915"/>
      <c r="D165" s="909"/>
      <c r="E165" s="912"/>
      <c r="F165" s="118" t="s">
        <v>15</v>
      </c>
      <c r="G165" s="119">
        <f>G163+G164</f>
        <v>100000</v>
      </c>
      <c r="H165" s="918"/>
      <c r="I165" s="119">
        <f>I163+I164</f>
        <v>100000</v>
      </c>
      <c r="J165" s="119">
        <f>J163+J164</f>
        <v>100000</v>
      </c>
      <c r="K165" s="119">
        <f>K163+K164</f>
        <v>0</v>
      </c>
      <c r="L165" s="909"/>
    </row>
    <row r="166" spans="1:12" s="54" customFormat="1" ht="12" customHeight="1">
      <c r="A166" s="910">
        <v>6</v>
      </c>
      <c r="B166" s="913"/>
      <c r="C166" s="913" t="s">
        <v>278</v>
      </c>
      <c r="D166" s="907" t="s">
        <v>368</v>
      </c>
      <c r="E166" s="910">
        <v>2020</v>
      </c>
      <c r="F166" s="118" t="s">
        <v>13</v>
      </c>
      <c r="G166" s="119">
        <v>0</v>
      </c>
      <c r="H166" s="916" t="s">
        <v>75</v>
      </c>
      <c r="I166" s="119">
        <f>J166+K166</f>
        <v>0</v>
      </c>
      <c r="J166" s="119">
        <v>0</v>
      </c>
      <c r="K166" s="119">
        <v>0</v>
      </c>
      <c r="L166" s="907" t="s">
        <v>282</v>
      </c>
    </row>
    <row r="167" spans="1:12" s="54" customFormat="1" ht="12" customHeight="1">
      <c r="A167" s="911"/>
      <c r="B167" s="914"/>
      <c r="C167" s="914"/>
      <c r="D167" s="908"/>
      <c r="E167" s="911"/>
      <c r="F167" s="118" t="s">
        <v>14</v>
      </c>
      <c r="G167" s="119">
        <v>28000</v>
      </c>
      <c r="H167" s="917"/>
      <c r="I167" s="119">
        <f>J167+K167</f>
        <v>28000</v>
      </c>
      <c r="J167" s="119">
        <v>28000</v>
      </c>
      <c r="K167" s="119"/>
      <c r="L167" s="908"/>
    </row>
    <row r="168" spans="1:12" s="54" customFormat="1" ht="12.75">
      <c r="A168" s="912"/>
      <c r="B168" s="915"/>
      <c r="C168" s="915"/>
      <c r="D168" s="909"/>
      <c r="E168" s="912"/>
      <c r="F168" s="118" t="s">
        <v>15</v>
      </c>
      <c r="G168" s="119">
        <f>G166+G167</f>
        <v>28000</v>
      </c>
      <c r="H168" s="918"/>
      <c r="I168" s="119">
        <f>I166+I167</f>
        <v>28000</v>
      </c>
      <c r="J168" s="119">
        <f>J166+J167</f>
        <v>28000</v>
      </c>
      <c r="K168" s="119">
        <f>K166+K167</f>
        <v>0</v>
      </c>
      <c r="L168" s="909"/>
    </row>
    <row r="169" spans="1:12" s="54" customFormat="1" ht="12.75" hidden="1">
      <c r="A169" s="910">
        <v>28</v>
      </c>
      <c r="B169" s="913"/>
      <c r="C169" s="913" t="s">
        <v>278</v>
      </c>
      <c r="D169" s="907" t="s">
        <v>283</v>
      </c>
      <c r="E169" s="910">
        <v>2020</v>
      </c>
      <c r="F169" s="118" t="s">
        <v>13</v>
      </c>
      <c r="G169" s="119">
        <v>80000</v>
      </c>
      <c r="H169" s="916" t="s">
        <v>75</v>
      </c>
      <c r="I169" s="119">
        <f t="shared" si="12"/>
        <v>80000</v>
      </c>
      <c r="J169" s="119">
        <v>80000</v>
      </c>
      <c r="K169" s="119">
        <v>0</v>
      </c>
      <c r="L169" s="907" t="s">
        <v>280</v>
      </c>
    </row>
    <row r="170" spans="1:12" s="54" customFormat="1" ht="12.75" hidden="1">
      <c r="A170" s="911"/>
      <c r="B170" s="914"/>
      <c r="C170" s="914"/>
      <c r="D170" s="908"/>
      <c r="E170" s="911"/>
      <c r="F170" s="118" t="s">
        <v>14</v>
      </c>
      <c r="G170" s="119"/>
      <c r="H170" s="917"/>
      <c r="I170" s="119">
        <f t="shared" si="12"/>
        <v>0</v>
      </c>
      <c r="J170" s="119"/>
      <c r="K170" s="119"/>
      <c r="L170" s="908"/>
    </row>
    <row r="171" spans="1:12" s="54" customFormat="1" ht="12.75" hidden="1">
      <c r="A171" s="912"/>
      <c r="B171" s="915"/>
      <c r="C171" s="915"/>
      <c r="D171" s="909"/>
      <c r="E171" s="912"/>
      <c r="F171" s="118" t="s">
        <v>15</v>
      </c>
      <c r="G171" s="119">
        <f>G169+G170</f>
        <v>80000</v>
      </c>
      <c r="H171" s="918"/>
      <c r="I171" s="119">
        <f>I169+I170</f>
        <v>80000</v>
      </c>
      <c r="J171" s="119">
        <f>J169+J170</f>
        <v>80000</v>
      </c>
      <c r="K171" s="119">
        <f>K169+K170</f>
        <v>0</v>
      </c>
      <c r="L171" s="909"/>
    </row>
    <row r="172" spans="1:12" s="54" customFormat="1" ht="12.75" hidden="1">
      <c r="A172" s="910">
        <v>29</v>
      </c>
      <c r="B172" s="913"/>
      <c r="C172" s="913" t="s">
        <v>284</v>
      </c>
      <c r="D172" s="907" t="s">
        <v>285</v>
      </c>
      <c r="E172" s="910">
        <v>2020</v>
      </c>
      <c r="F172" s="118" t="s">
        <v>13</v>
      </c>
      <c r="G172" s="119">
        <v>350000</v>
      </c>
      <c r="H172" s="916" t="s">
        <v>75</v>
      </c>
      <c r="I172" s="119">
        <f t="shared" si="12"/>
        <v>350000</v>
      </c>
      <c r="J172" s="119">
        <v>350000</v>
      </c>
      <c r="K172" s="119">
        <v>0</v>
      </c>
      <c r="L172" s="907" t="s">
        <v>286</v>
      </c>
    </row>
    <row r="173" spans="1:12" s="54" customFormat="1" ht="12.75" hidden="1">
      <c r="A173" s="911"/>
      <c r="B173" s="914"/>
      <c r="C173" s="914"/>
      <c r="D173" s="908"/>
      <c r="E173" s="911"/>
      <c r="F173" s="118" t="s">
        <v>14</v>
      </c>
      <c r="G173" s="119"/>
      <c r="H173" s="917"/>
      <c r="I173" s="119">
        <f t="shared" si="12"/>
        <v>0</v>
      </c>
      <c r="J173" s="119"/>
      <c r="K173" s="119"/>
      <c r="L173" s="908"/>
    </row>
    <row r="174" spans="1:12" s="54" customFormat="1" ht="12.75" hidden="1">
      <c r="A174" s="912"/>
      <c r="B174" s="915"/>
      <c r="C174" s="915"/>
      <c r="D174" s="909"/>
      <c r="E174" s="912"/>
      <c r="F174" s="118" t="s">
        <v>15</v>
      </c>
      <c r="G174" s="119">
        <f>G172+G173</f>
        <v>350000</v>
      </c>
      <c r="H174" s="918"/>
      <c r="I174" s="119">
        <f>I172+I173</f>
        <v>350000</v>
      </c>
      <c r="J174" s="119">
        <f>J172+J173</f>
        <v>350000</v>
      </c>
      <c r="K174" s="119">
        <f>K172+K173</f>
        <v>0</v>
      </c>
      <c r="L174" s="909"/>
    </row>
    <row r="175" spans="1:12" s="54" customFormat="1" ht="12.75" hidden="1">
      <c r="A175" s="910">
        <v>30</v>
      </c>
      <c r="B175" s="913"/>
      <c r="C175" s="913" t="s">
        <v>284</v>
      </c>
      <c r="D175" s="907" t="s">
        <v>287</v>
      </c>
      <c r="E175" s="910">
        <v>2020</v>
      </c>
      <c r="F175" s="118" t="s">
        <v>13</v>
      </c>
      <c r="G175" s="119">
        <v>500000</v>
      </c>
      <c r="H175" s="916" t="s">
        <v>75</v>
      </c>
      <c r="I175" s="119">
        <f t="shared" si="12"/>
        <v>500000</v>
      </c>
      <c r="J175" s="119">
        <v>500000</v>
      </c>
      <c r="K175" s="119">
        <v>0</v>
      </c>
      <c r="L175" s="907" t="s">
        <v>288</v>
      </c>
    </row>
    <row r="176" spans="1:12" s="54" customFormat="1" ht="12.75" hidden="1">
      <c r="A176" s="911"/>
      <c r="B176" s="914"/>
      <c r="C176" s="914"/>
      <c r="D176" s="908"/>
      <c r="E176" s="911"/>
      <c r="F176" s="118" t="s">
        <v>14</v>
      </c>
      <c r="G176" s="119"/>
      <c r="H176" s="917"/>
      <c r="I176" s="119">
        <f t="shared" si="12"/>
        <v>0</v>
      </c>
      <c r="J176" s="119"/>
      <c r="K176" s="119"/>
      <c r="L176" s="908"/>
    </row>
    <row r="177" spans="1:12" s="54" customFormat="1" ht="12.75" hidden="1">
      <c r="A177" s="912"/>
      <c r="B177" s="915"/>
      <c r="C177" s="915"/>
      <c r="D177" s="909"/>
      <c r="E177" s="912"/>
      <c r="F177" s="118" t="s">
        <v>15</v>
      </c>
      <c r="G177" s="119">
        <f>G175+G176</f>
        <v>500000</v>
      </c>
      <c r="H177" s="918"/>
      <c r="I177" s="119">
        <f>I175+I176</f>
        <v>500000</v>
      </c>
      <c r="J177" s="119">
        <f>J175+J176</f>
        <v>500000</v>
      </c>
      <c r="K177" s="119">
        <f>K175+K176</f>
        <v>0</v>
      </c>
      <c r="L177" s="909"/>
    </row>
    <row r="178" spans="1:12" s="54" customFormat="1" ht="12.75" hidden="1">
      <c r="A178" s="910">
        <v>2</v>
      </c>
      <c r="B178" s="913"/>
      <c r="C178" s="913" t="s">
        <v>284</v>
      </c>
      <c r="D178" s="907" t="s">
        <v>289</v>
      </c>
      <c r="E178" s="910">
        <v>2020</v>
      </c>
      <c r="F178" s="118" t="s">
        <v>13</v>
      </c>
      <c r="G178" s="119">
        <v>30299</v>
      </c>
      <c r="H178" s="916" t="s">
        <v>75</v>
      </c>
      <c r="I178" s="119">
        <f>J178+K178</f>
        <v>30299</v>
      </c>
      <c r="J178" s="119">
        <v>30299</v>
      </c>
      <c r="K178" s="119">
        <v>0</v>
      </c>
      <c r="L178" s="907" t="s">
        <v>290</v>
      </c>
    </row>
    <row r="179" spans="1:12" s="54" customFormat="1" ht="12.75" hidden="1">
      <c r="A179" s="911"/>
      <c r="B179" s="914"/>
      <c r="C179" s="914"/>
      <c r="D179" s="908"/>
      <c r="E179" s="911"/>
      <c r="F179" s="118" t="s">
        <v>14</v>
      </c>
      <c r="G179" s="119"/>
      <c r="H179" s="917"/>
      <c r="I179" s="119">
        <f>J179+K179</f>
        <v>0</v>
      </c>
      <c r="J179" s="119"/>
      <c r="K179" s="119"/>
      <c r="L179" s="908"/>
    </row>
    <row r="180" spans="1:12" s="54" customFormat="1" ht="12.75" hidden="1">
      <c r="A180" s="912"/>
      <c r="B180" s="915"/>
      <c r="C180" s="915"/>
      <c r="D180" s="909"/>
      <c r="E180" s="912"/>
      <c r="F180" s="118" t="s">
        <v>15</v>
      </c>
      <c r="G180" s="119">
        <f>G178+G179</f>
        <v>30299</v>
      </c>
      <c r="H180" s="918"/>
      <c r="I180" s="119">
        <f>I178+I179</f>
        <v>30299</v>
      </c>
      <c r="J180" s="119">
        <f>J178+J179</f>
        <v>30299</v>
      </c>
      <c r="K180" s="119">
        <f>K178+K179</f>
        <v>0</v>
      </c>
      <c r="L180" s="909"/>
    </row>
    <row r="181" spans="1:12" s="54" customFormat="1" ht="12" customHeight="1">
      <c r="A181" s="910">
        <v>7</v>
      </c>
      <c r="B181" s="913"/>
      <c r="C181" s="913" t="s">
        <v>366</v>
      </c>
      <c r="D181" s="907" t="s">
        <v>367</v>
      </c>
      <c r="E181" s="910">
        <v>2020</v>
      </c>
      <c r="F181" s="118" t="s">
        <v>13</v>
      </c>
      <c r="G181" s="119">
        <v>0</v>
      </c>
      <c r="H181" s="916" t="s">
        <v>75</v>
      </c>
      <c r="I181" s="119">
        <f>J181+K181</f>
        <v>0</v>
      </c>
      <c r="J181" s="119">
        <v>0</v>
      </c>
      <c r="K181" s="119">
        <v>0</v>
      </c>
      <c r="L181" s="907" t="s">
        <v>239</v>
      </c>
    </row>
    <row r="182" spans="1:12" s="54" customFormat="1" ht="12" customHeight="1">
      <c r="A182" s="911"/>
      <c r="B182" s="914"/>
      <c r="C182" s="914"/>
      <c r="D182" s="908"/>
      <c r="E182" s="911"/>
      <c r="F182" s="118" t="s">
        <v>14</v>
      </c>
      <c r="G182" s="119">
        <v>100000</v>
      </c>
      <c r="H182" s="917"/>
      <c r="I182" s="119">
        <f>J182+K182</f>
        <v>100000</v>
      </c>
      <c r="J182" s="119">
        <v>100000</v>
      </c>
      <c r="K182" s="119"/>
      <c r="L182" s="908"/>
    </row>
    <row r="183" spans="1:12" s="54" customFormat="1" ht="12" customHeight="1">
      <c r="A183" s="912"/>
      <c r="B183" s="915"/>
      <c r="C183" s="915"/>
      <c r="D183" s="909"/>
      <c r="E183" s="912"/>
      <c r="F183" s="118" t="s">
        <v>15</v>
      </c>
      <c r="G183" s="119">
        <f>G181+G182</f>
        <v>100000</v>
      </c>
      <c r="H183" s="918"/>
      <c r="I183" s="119">
        <f>I181+I182</f>
        <v>100000</v>
      </c>
      <c r="J183" s="119">
        <f>J181+J182</f>
        <v>100000</v>
      </c>
      <c r="K183" s="119">
        <f>K181+K182</f>
        <v>0</v>
      </c>
      <c r="L183" s="909"/>
    </row>
    <row r="184" spans="1:12" s="117" customFormat="1" ht="12.75" hidden="1">
      <c r="A184" s="920"/>
      <c r="B184" s="923" t="s">
        <v>223</v>
      </c>
      <c r="C184" s="923"/>
      <c r="D184" s="926" t="s">
        <v>40</v>
      </c>
      <c r="E184" s="920" t="s">
        <v>75</v>
      </c>
      <c r="F184" s="115" t="s">
        <v>13</v>
      </c>
      <c r="G184" s="116">
        <f>G187</f>
        <v>48060</v>
      </c>
      <c r="H184" s="956" t="s">
        <v>75</v>
      </c>
      <c r="I184" s="116">
        <f aca="true" t="shared" si="13" ref="I184:K185">I187</f>
        <v>48060</v>
      </c>
      <c r="J184" s="116">
        <f t="shared" si="13"/>
        <v>48060</v>
      </c>
      <c r="K184" s="116">
        <f t="shared" si="13"/>
        <v>0</v>
      </c>
      <c r="L184" s="920" t="s">
        <v>75</v>
      </c>
    </row>
    <row r="185" spans="1:12" s="117" customFormat="1" ht="12.75" hidden="1">
      <c r="A185" s="921"/>
      <c r="B185" s="924"/>
      <c r="C185" s="924"/>
      <c r="D185" s="927"/>
      <c r="E185" s="921"/>
      <c r="F185" s="115" t="s">
        <v>14</v>
      </c>
      <c r="G185" s="116">
        <f>G188</f>
        <v>0</v>
      </c>
      <c r="H185" s="957"/>
      <c r="I185" s="116">
        <f t="shared" si="13"/>
        <v>0</v>
      </c>
      <c r="J185" s="116">
        <f t="shared" si="13"/>
        <v>0</v>
      </c>
      <c r="K185" s="116">
        <f t="shared" si="13"/>
        <v>0</v>
      </c>
      <c r="L185" s="921"/>
    </row>
    <row r="186" spans="1:12" s="117" customFormat="1" ht="12.75" hidden="1">
      <c r="A186" s="922"/>
      <c r="B186" s="925"/>
      <c r="C186" s="925"/>
      <c r="D186" s="928"/>
      <c r="E186" s="922"/>
      <c r="F186" s="115" t="s">
        <v>15</v>
      </c>
      <c r="G186" s="116">
        <f>G184+G185</f>
        <v>48060</v>
      </c>
      <c r="H186" s="958"/>
      <c r="I186" s="116">
        <f>I184+I185</f>
        <v>48060</v>
      </c>
      <c r="J186" s="116">
        <f>J184+J185</f>
        <v>48060</v>
      </c>
      <c r="K186" s="116">
        <f>K184+K185</f>
        <v>0</v>
      </c>
      <c r="L186" s="922"/>
    </row>
    <row r="187" spans="1:12" s="54" customFormat="1" ht="12.75" hidden="1">
      <c r="A187" s="910">
        <v>31</v>
      </c>
      <c r="B187" s="913"/>
      <c r="C187" s="913" t="s">
        <v>291</v>
      </c>
      <c r="D187" s="907" t="s">
        <v>292</v>
      </c>
      <c r="E187" s="910">
        <v>2020</v>
      </c>
      <c r="F187" s="118" t="s">
        <v>13</v>
      </c>
      <c r="G187" s="119">
        <v>48060</v>
      </c>
      <c r="H187" s="916" t="s">
        <v>75</v>
      </c>
      <c r="I187" s="119">
        <f>J187+K187</f>
        <v>48060</v>
      </c>
      <c r="J187" s="119">
        <v>48060</v>
      </c>
      <c r="K187" s="119">
        <v>0</v>
      </c>
      <c r="L187" s="907" t="s">
        <v>293</v>
      </c>
    </row>
    <row r="188" spans="1:12" s="54" customFormat="1" ht="12.75" hidden="1">
      <c r="A188" s="911"/>
      <c r="B188" s="914"/>
      <c r="C188" s="914"/>
      <c r="D188" s="908"/>
      <c r="E188" s="911"/>
      <c r="F188" s="118" t="s">
        <v>14</v>
      </c>
      <c r="G188" s="119"/>
      <c r="H188" s="917"/>
      <c r="I188" s="119">
        <f>J188+K188</f>
        <v>0</v>
      </c>
      <c r="J188" s="119"/>
      <c r="K188" s="119"/>
      <c r="L188" s="908"/>
    </row>
    <row r="189" spans="1:12" s="54" customFormat="1" ht="12.75" hidden="1">
      <c r="A189" s="912"/>
      <c r="B189" s="915"/>
      <c r="C189" s="915"/>
      <c r="D189" s="909"/>
      <c r="E189" s="912"/>
      <c r="F189" s="118" t="s">
        <v>15</v>
      </c>
      <c r="G189" s="119">
        <f>G187+G188</f>
        <v>48060</v>
      </c>
      <c r="H189" s="918"/>
      <c r="I189" s="119">
        <f>I187+I188</f>
        <v>48060</v>
      </c>
      <c r="J189" s="119">
        <f>J187+J188</f>
        <v>48060</v>
      </c>
      <c r="K189" s="119">
        <f>K187+K188</f>
        <v>0</v>
      </c>
      <c r="L189" s="909"/>
    </row>
    <row r="190" spans="1:12" s="117" customFormat="1" ht="12.75" hidden="1">
      <c r="A190" s="920"/>
      <c r="B190" s="923" t="s">
        <v>294</v>
      </c>
      <c r="C190" s="923"/>
      <c r="D190" s="926" t="s">
        <v>295</v>
      </c>
      <c r="E190" s="920" t="s">
        <v>75</v>
      </c>
      <c r="F190" s="115" t="s">
        <v>13</v>
      </c>
      <c r="G190" s="116">
        <f>G193</f>
        <v>2000000</v>
      </c>
      <c r="H190" s="956" t="str">
        <f>H193</f>
        <v>x</v>
      </c>
      <c r="I190" s="116">
        <f>I193</f>
        <v>2000000</v>
      </c>
      <c r="J190" s="116">
        <f>J193</f>
        <v>2000000</v>
      </c>
      <c r="K190" s="116">
        <f>K193</f>
        <v>0</v>
      </c>
      <c r="L190" s="920" t="s">
        <v>75</v>
      </c>
    </row>
    <row r="191" spans="1:12" s="117" customFormat="1" ht="12.75" hidden="1">
      <c r="A191" s="921"/>
      <c r="B191" s="924"/>
      <c r="C191" s="924"/>
      <c r="D191" s="927"/>
      <c r="E191" s="921"/>
      <c r="F191" s="115" t="s">
        <v>14</v>
      </c>
      <c r="G191" s="116">
        <f>G194</f>
        <v>0</v>
      </c>
      <c r="H191" s="957"/>
      <c r="I191" s="116">
        <f>I194</f>
        <v>0</v>
      </c>
      <c r="J191" s="116">
        <f>J194</f>
        <v>0</v>
      </c>
      <c r="K191" s="116">
        <f>K194</f>
        <v>0</v>
      </c>
      <c r="L191" s="921"/>
    </row>
    <row r="192" spans="1:12" s="117" customFormat="1" ht="12.75" hidden="1">
      <c r="A192" s="922"/>
      <c r="B192" s="925"/>
      <c r="C192" s="925"/>
      <c r="D192" s="928"/>
      <c r="E192" s="922"/>
      <c r="F192" s="115" t="s">
        <v>15</v>
      </c>
      <c r="G192" s="116">
        <f>G190+G191</f>
        <v>2000000</v>
      </c>
      <c r="H192" s="958"/>
      <c r="I192" s="116">
        <f>I190+I191</f>
        <v>2000000</v>
      </c>
      <c r="J192" s="116">
        <f>J190+J191</f>
        <v>2000000</v>
      </c>
      <c r="K192" s="116">
        <f>K190+K191</f>
        <v>0</v>
      </c>
      <c r="L192" s="922"/>
    </row>
    <row r="193" spans="1:12" s="54" customFormat="1" ht="12.75" hidden="1">
      <c r="A193" s="910">
        <v>32</v>
      </c>
      <c r="B193" s="913"/>
      <c r="C193" s="913" t="s">
        <v>296</v>
      </c>
      <c r="D193" s="907" t="s">
        <v>297</v>
      </c>
      <c r="E193" s="910">
        <v>2020</v>
      </c>
      <c r="F193" s="118" t="s">
        <v>13</v>
      </c>
      <c r="G193" s="119">
        <v>2000000</v>
      </c>
      <c r="H193" s="916" t="s">
        <v>75</v>
      </c>
      <c r="I193" s="119">
        <f>J193+K193</f>
        <v>2000000</v>
      </c>
      <c r="J193" s="119">
        <v>2000000</v>
      </c>
      <c r="K193" s="119">
        <v>0</v>
      </c>
      <c r="L193" s="907" t="s">
        <v>239</v>
      </c>
    </row>
    <row r="194" spans="1:12" s="54" customFormat="1" ht="12.75" hidden="1">
      <c r="A194" s="911"/>
      <c r="B194" s="914"/>
      <c r="C194" s="914"/>
      <c r="D194" s="908"/>
      <c r="E194" s="911"/>
      <c r="F194" s="118" t="s">
        <v>14</v>
      </c>
      <c r="G194" s="119"/>
      <c r="H194" s="917"/>
      <c r="I194" s="119">
        <f>J194+K194</f>
        <v>0</v>
      </c>
      <c r="J194" s="119"/>
      <c r="K194" s="119"/>
      <c r="L194" s="908"/>
    </row>
    <row r="195" spans="1:12" s="54" customFormat="1" ht="12.75" hidden="1">
      <c r="A195" s="912"/>
      <c r="B195" s="915"/>
      <c r="C195" s="915"/>
      <c r="D195" s="909"/>
      <c r="E195" s="912"/>
      <c r="F195" s="118" t="s">
        <v>15</v>
      </c>
      <c r="G195" s="119">
        <f>G193+G194</f>
        <v>2000000</v>
      </c>
      <c r="H195" s="918"/>
      <c r="I195" s="119">
        <f>I193+I194</f>
        <v>2000000</v>
      </c>
      <c r="J195" s="119">
        <f>J193+J194</f>
        <v>2000000</v>
      </c>
      <c r="K195" s="119">
        <f>K193+K194</f>
        <v>0</v>
      </c>
      <c r="L195" s="909"/>
    </row>
    <row r="196" spans="1:12" s="54" customFormat="1" ht="3" customHeight="1">
      <c r="A196" s="118"/>
      <c r="B196" s="120"/>
      <c r="C196" s="120"/>
      <c r="D196" s="121"/>
      <c r="E196" s="118"/>
      <c r="F196" s="118"/>
      <c r="G196" s="119"/>
      <c r="H196" s="122"/>
      <c r="I196" s="119"/>
      <c r="J196" s="119"/>
      <c r="K196" s="119"/>
      <c r="L196" s="123"/>
    </row>
    <row r="197" spans="1:12" s="117" customFormat="1" ht="15" customHeight="1">
      <c r="A197" s="937" t="s">
        <v>298</v>
      </c>
      <c r="B197" s="938"/>
      <c r="C197" s="938"/>
      <c r="D197" s="939"/>
      <c r="E197" s="946" t="s">
        <v>75</v>
      </c>
      <c r="F197" s="108" t="s">
        <v>13</v>
      </c>
      <c r="G197" s="124">
        <f>G19+G25+G52+G58+G67+G73+G79+G118+G124+G130+G139+G184+G190</f>
        <v>44391729</v>
      </c>
      <c r="H197" s="949" t="s">
        <v>75</v>
      </c>
      <c r="I197" s="124">
        <f aca="true" t="shared" si="14" ref="I197:K198">I19+I25+I52+I58+I67+I73+I79+I118+I124+I130+I139+I184+I190</f>
        <v>44391729</v>
      </c>
      <c r="J197" s="124">
        <f t="shared" si="14"/>
        <v>39966375</v>
      </c>
      <c r="K197" s="124">
        <f t="shared" si="14"/>
        <v>4425354</v>
      </c>
      <c r="L197" s="952" t="s">
        <v>75</v>
      </c>
    </row>
    <row r="198" spans="1:12" s="117" customFormat="1" ht="15" customHeight="1">
      <c r="A198" s="940"/>
      <c r="B198" s="941"/>
      <c r="C198" s="941"/>
      <c r="D198" s="942"/>
      <c r="E198" s="947"/>
      <c r="F198" s="108" t="s">
        <v>14</v>
      </c>
      <c r="G198" s="124">
        <f>G20+G26+G53+G59+G68+G74+G80+G119+G125+G131+G140+G185+G191</f>
        <v>43333</v>
      </c>
      <c r="H198" s="950"/>
      <c r="I198" s="124">
        <f t="shared" si="14"/>
        <v>43333</v>
      </c>
      <c r="J198" s="124">
        <f t="shared" si="14"/>
        <v>43333</v>
      </c>
      <c r="K198" s="124">
        <f t="shared" si="14"/>
        <v>0</v>
      </c>
      <c r="L198" s="953"/>
    </row>
    <row r="199" spans="1:12" s="117" customFormat="1" ht="15" customHeight="1">
      <c r="A199" s="943"/>
      <c r="B199" s="944"/>
      <c r="C199" s="944"/>
      <c r="D199" s="945"/>
      <c r="E199" s="948"/>
      <c r="F199" s="108" t="s">
        <v>15</v>
      </c>
      <c r="G199" s="124">
        <f>G197+G198</f>
        <v>44435062</v>
      </c>
      <c r="H199" s="951"/>
      <c r="I199" s="124">
        <f>I197+I198</f>
        <v>44435062</v>
      </c>
      <c r="J199" s="124">
        <f>J197+J198</f>
        <v>40009708</v>
      </c>
      <c r="K199" s="124">
        <f>K197+K198</f>
        <v>4425354</v>
      </c>
      <c r="L199" s="954"/>
    </row>
    <row r="200" spans="1:12" s="54" customFormat="1" ht="2.25" customHeight="1">
      <c r="A200" s="955"/>
      <c r="B200" s="955"/>
      <c r="C200" s="955"/>
      <c r="D200" s="955"/>
      <c r="E200" s="955"/>
      <c r="F200" s="955"/>
      <c r="G200" s="955"/>
      <c r="H200" s="955"/>
      <c r="I200" s="955"/>
      <c r="J200" s="955"/>
      <c r="K200" s="955"/>
      <c r="L200" s="955"/>
    </row>
    <row r="201" spans="1:12" s="113" customFormat="1" ht="15.75">
      <c r="A201" s="108" t="s">
        <v>299</v>
      </c>
      <c r="B201" s="936" t="s">
        <v>300</v>
      </c>
      <c r="C201" s="936"/>
      <c r="D201" s="936"/>
      <c r="E201" s="936"/>
      <c r="F201" s="936"/>
      <c r="G201" s="936"/>
      <c r="H201" s="936"/>
      <c r="I201" s="936"/>
      <c r="J201" s="936"/>
      <c r="K201" s="936"/>
      <c r="L201" s="936"/>
    </row>
    <row r="202" spans="1:12" s="54" customFormat="1" ht="2.25" customHeight="1">
      <c r="A202" s="118"/>
      <c r="B202" s="120"/>
      <c r="C202" s="120"/>
      <c r="D202" s="121"/>
      <c r="E202" s="118"/>
      <c r="F202" s="118"/>
      <c r="G202" s="119"/>
      <c r="H202" s="122"/>
      <c r="I202" s="119"/>
      <c r="J202" s="119"/>
      <c r="K202" s="119"/>
      <c r="L202" s="123"/>
    </row>
    <row r="203" spans="1:12" s="117" customFormat="1" ht="12.75">
      <c r="A203" s="920"/>
      <c r="B203" s="923" t="s">
        <v>19</v>
      </c>
      <c r="C203" s="923"/>
      <c r="D203" s="929" t="s">
        <v>20</v>
      </c>
      <c r="E203" s="920" t="s">
        <v>75</v>
      </c>
      <c r="F203" s="115" t="s">
        <v>13</v>
      </c>
      <c r="G203" s="116">
        <f aca="true" t="shared" si="15" ref="G203:K204">G206+G209+G212+G215+G221+G224+G227+G230+G233+G218</f>
        <v>338268727</v>
      </c>
      <c r="H203" s="116">
        <f t="shared" si="15"/>
        <v>99674284</v>
      </c>
      <c r="I203" s="116">
        <f t="shared" si="15"/>
        <v>34009443</v>
      </c>
      <c r="J203" s="116">
        <f t="shared" si="15"/>
        <v>33544443</v>
      </c>
      <c r="K203" s="116">
        <f t="shared" si="15"/>
        <v>465000</v>
      </c>
      <c r="L203" s="920" t="s">
        <v>75</v>
      </c>
    </row>
    <row r="204" spans="1:12" s="117" customFormat="1" ht="12.75">
      <c r="A204" s="921"/>
      <c r="B204" s="924"/>
      <c r="C204" s="924"/>
      <c r="D204" s="930"/>
      <c r="E204" s="921"/>
      <c r="F204" s="115" t="s">
        <v>14</v>
      </c>
      <c r="G204" s="116">
        <f t="shared" si="15"/>
        <v>10066769</v>
      </c>
      <c r="H204" s="116">
        <f t="shared" si="15"/>
        <v>-826130</v>
      </c>
      <c r="I204" s="116">
        <f t="shared" si="15"/>
        <v>10892899</v>
      </c>
      <c r="J204" s="116">
        <f t="shared" si="15"/>
        <v>10873899</v>
      </c>
      <c r="K204" s="116">
        <f t="shared" si="15"/>
        <v>19000</v>
      </c>
      <c r="L204" s="921"/>
    </row>
    <row r="205" spans="1:12" s="117" customFormat="1" ht="12.75">
      <c r="A205" s="922"/>
      <c r="B205" s="925"/>
      <c r="C205" s="925"/>
      <c r="D205" s="931"/>
      <c r="E205" s="922"/>
      <c r="F205" s="115" t="s">
        <v>15</v>
      </c>
      <c r="G205" s="116">
        <f>G203+G204</f>
        <v>348335496</v>
      </c>
      <c r="H205" s="116">
        <f>H203+H204</f>
        <v>98848154</v>
      </c>
      <c r="I205" s="116">
        <f>I203+I204</f>
        <v>44902342</v>
      </c>
      <c r="J205" s="116">
        <f>J203+J204</f>
        <v>44418342</v>
      </c>
      <c r="K205" s="116">
        <f>K203+K204</f>
        <v>484000</v>
      </c>
      <c r="L205" s="922"/>
    </row>
    <row r="206" spans="1:12" s="54" customFormat="1" ht="18.75" customHeight="1" hidden="1">
      <c r="A206" s="910">
        <v>1</v>
      </c>
      <c r="B206" s="913"/>
      <c r="C206" s="913" t="s">
        <v>113</v>
      </c>
      <c r="D206" s="907" t="s">
        <v>301</v>
      </c>
      <c r="E206" s="910" t="s">
        <v>302</v>
      </c>
      <c r="F206" s="118" t="s">
        <v>13</v>
      </c>
      <c r="G206" s="119">
        <v>448339</v>
      </c>
      <c r="H206" s="125">
        <f>30000+218339</f>
        <v>248339</v>
      </c>
      <c r="I206" s="119">
        <f aca="true" t="shared" si="16" ref="I206:I234">J206+K206</f>
        <v>200000</v>
      </c>
      <c r="J206" s="119">
        <v>200000</v>
      </c>
      <c r="K206" s="119">
        <v>0</v>
      </c>
      <c r="L206" s="907" t="s">
        <v>239</v>
      </c>
    </row>
    <row r="207" spans="1:12" s="54" customFormat="1" ht="18.75" customHeight="1" hidden="1">
      <c r="A207" s="911"/>
      <c r="B207" s="914"/>
      <c r="C207" s="914"/>
      <c r="D207" s="908"/>
      <c r="E207" s="911"/>
      <c r="F207" s="118" t="s">
        <v>14</v>
      </c>
      <c r="G207" s="119"/>
      <c r="H207" s="125"/>
      <c r="I207" s="119">
        <f t="shared" si="16"/>
        <v>0</v>
      </c>
      <c r="J207" s="119"/>
      <c r="K207" s="119"/>
      <c r="L207" s="908"/>
    </row>
    <row r="208" spans="1:12" s="54" customFormat="1" ht="18.75" customHeight="1" hidden="1">
      <c r="A208" s="912"/>
      <c r="B208" s="915"/>
      <c r="C208" s="915"/>
      <c r="D208" s="909"/>
      <c r="E208" s="912"/>
      <c r="F208" s="118" t="s">
        <v>15</v>
      </c>
      <c r="G208" s="119">
        <f>G206+G207</f>
        <v>448339</v>
      </c>
      <c r="H208" s="119">
        <f>H206+H207</f>
        <v>248339</v>
      </c>
      <c r="I208" s="119">
        <f>I206+I207</f>
        <v>200000</v>
      </c>
      <c r="J208" s="119">
        <f>J206+J207</f>
        <v>200000</v>
      </c>
      <c r="K208" s="119">
        <f>K206+K207</f>
        <v>0</v>
      </c>
      <c r="L208" s="909"/>
    </row>
    <row r="209" spans="1:12" s="54" customFormat="1" ht="12.75">
      <c r="A209" s="910">
        <v>1</v>
      </c>
      <c r="B209" s="913"/>
      <c r="C209" s="913" t="s">
        <v>21</v>
      </c>
      <c r="D209" s="907" t="s">
        <v>303</v>
      </c>
      <c r="E209" s="910" t="s">
        <v>302</v>
      </c>
      <c r="F209" s="118" t="s">
        <v>13</v>
      </c>
      <c r="G209" s="119">
        <v>67790003</v>
      </c>
      <c r="H209" s="125">
        <f>5326038+28884887+24527479</f>
        <v>58738404</v>
      </c>
      <c r="I209" s="119">
        <f t="shared" si="16"/>
        <v>9051599</v>
      </c>
      <c r="J209" s="119">
        <v>9051599</v>
      </c>
      <c r="K209" s="119">
        <v>0</v>
      </c>
      <c r="L209" s="907" t="s">
        <v>304</v>
      </c>
    </row>
    <row r="210" spans="1:12" s="54" customFormat="1" ht="12.75">
      <c r="A210" s="911"/>
      <c r="B210" s="914"/>
      <c r="C210" s="914"/>
      <c r="D210" s="908"/>
      <c r="E210" s="911"/>
      <c r="F210" s="118" t="s">
        <v>14</v>
      </c>
      <c r="G210" s="119">
        <v>1540000</v>
      </c>
      <c r="H210" s="125">
        <v>938033</v>
      </c>
      <c r="I210" s="119">
        <f t="shared" si="16"/>
        <v>601967</v>
      </c>
      <c r="J210" s="119">
        <v>601967</v>
      </c>
      <c r="K210" s="119"/>
      <c r="L210" s="908"/>
    </row>
    <row r="211" spans="1:12" s="54" customFormat="1" ht="12.75">
      <c r="A211" s="912"/>
      <c r="B211" s="915"/>
      <c r="C211" s="915"/>
      <c r="D211" s="909"/>
      <c r="E211" s="912"/>
      <c r="F211" s="118" t="s">
        <v>15</v>
      </c>
      <c r="G211" s="119">
        <f>G209+G210</f>
        <v>69330003</v>
      </c>
      <c r="H211" s="119">
        <f>H209+H210</f>
        <v>59676437</v>
      </c>
      <c r="I211" s="119">
        <f>I209+I210</f>
        <v>9653566</v>
      </c>
      <c r="J211" s="119">
        <f>J209+J210</f>
        <v>9653566</v>
      </c>
      <c r="K211" s="119">
        <f>K209+K210</f>
        <v>0</v>
      </c>
      <c r="L211" s="909"/>
    </row>
    <row r="212" spans="1:12" s="54" customFormat="1" ht="12" customHeight="1">
      <c r="A212" s="910">
        <v>2</v>
      </c>
      <c r="B212" s="913"/>
      <c r="C212" s="913" t="s">
        <v>21</v>
      </c>
      <c r="D212" s="907" t="s">
        <v>305</v>
      </c>
      <c r="E212" s="910" t="s">
        <v>306</v>
      </c>
      <c r="F212" s="118" t="s">
        <v>13</v>
      </c>
      <c r="G212" s="119">
        <v>48172732</v>
      </c>
      <c r="H212" s="125">
        <f>774385+33315503</f>
        <v>34089888</v>
      </c>
      <c r="I212" s="119">
        <f t="shared" si="16"/>
        <v>14082844</v>
      </c>
      <c r="J212" s="119">
        <v>14082844</v>
      </c>
      <c r="K212" s="119"/>
      <c r="L212" s="907" t="s">
        <v>304</v>
      </c>
    </row>
    <row r="213" spans="1:12" s="54" customFormat="1" ht="12" customHeight="1">
      <c r="A213" s="911"/>
      <c r="B213" s="914"/>
      <c r="C213" s="914"/>
      <c r="D213" s="908"/>
      <c r="E213" s="911"/>
      <c r="F213" s="118" t="s">
        <v>14</v>
      </c>
      <c r="G213" s="119">
        <v>8797756</v>
      </c>
      <c r="H213" s="125">
        <v>-1764163</v>
      </c>
      <c r="I213" s="119">
        <f t="shared" si="16"/>
        <v>10561919</v>
      </c>
      <c r="J213" s="119">
        <v>10561919</v>
      </c>
      <c r="K213" s="119"/>
      <c r="L213" s="908"/>
    </row>
    <row r="214" spans="1:12" s="54" customFormat="1" ht="12" customHeight="1">
      <c r="A214" s="912"/>
      <c r="B214" s="915"/>
      <c r="C214" s="915"/>
      <c r="D214" s="909"/>
      <c r="E214" s="912"/>
      <c r="F214" s="118" t="s">
        <v>15</v>
      </c>
      <c r="G214" s="119">
        <f>G212+G213</f>
        <v>56970488</v>
      </c>
      <c r="H214" s="119">
        <f>H212+H213</f>
        <v>32325725</v>
      </c>
      <c r="I214" s="119">
        <f>I212+I213</f>
        <v>24644763</v>
      </c>
      <c r="J214" s="119">
        <f>J212+J213</f>
        <v>24644763</v>
      </c>
      <c r="K214" s="119">
        <f>K212+K213</f>
        <v>0</v>
      </c>
      <c r="L214" s="909"/>
    </row>
    <row r="215" spans="1:12" s="54" customFormat="1" ht="12.75" hidden="1">
      <c r="A215" s="910">
        <v>4</v>
      </c>
      <c r="B215" s="913"/>
      <c r="C215" s="913" t="s">
        <v>21</v>
      </c>
      <c r="D215" s="907" t="s">
        <v>307</v>
      </c>
      <c r="E215" s="910" t="s">
        <v>308</v>
      </c>
      <c r="F215" s="118" t="s">
        <v>13</v>
      </c>
      <c r="G215" s="119">
        <v>3400000</v>
      </c>
      <c r="H215" s="125">
        <v>90000</v>
      </c>
      <c r="I215" s="119">
        <f t="shared" si="16"/>
        <v>3310000</v>
      </c>
      <c r="J215" s="119">
        <v>3310000</v>
      </c>
      <c r="K215" s="119">
        <v>0</v>
      </c>
      <c r="L215" s="907" t="s">
        <v>304</v>
      </c>
    </row>
    <row r="216" spans="1:12" s="54" customFormat="1" ht="12.75" hidden="1">
      <c r="A216" s="911"/>
      <c r="B216" s="914"/>
      <c r="C216" s="914"/>
      <c r="D216" s="908"/>
      <c r="E216" s="911"/>
      <c r="F216" s="118" t="s">
        <v>14</v>
      </c>
      <c r="G216" s="119"/>
      <c r="H216" s="125"/>
      <c r="I216" s="119">
        <f t="shared" si="16"/>
        <v>0</v>
      </c>
      <c r="J216" s="119"/>
      <c r="K216" s="119"/>
      <c r="L216" s="908"/>
    </row>
    <row r="217" spans="1:12" s="54" customFormat="1" ht="12.75" hidden="1">
      <c r="A217" s="912"/>
      <c r="B217" s="915"/>
      <c r="C217" s="915"/>
      <c r="D217" s="909"/>
      <c r="E217" s="912"/>
      <c r="F217" s="118" t="s">
        <v>15</v>
      </c>
      <c r="G217" s="119">
        <f>G215+G216</f>
        <v>3400000</v>
      </c>
      <c r="H217" s="119">
        <f>H215+H216</f>
        <v>90000</v>
      </c>
      <c r="I217" s="119">
        <f>I215+I216</f>
        <v>3310000</v>
      </c>
      <c r="J217" s="119">
        <f>J215+J216</f>
        <v>3310000</v>
      </c>
      <c r="K217" s="119">
        <f>K215+K216</f>
        <v>0</v>
      </c>
      <c r="L217" s="909"/>
    </row>
    <row r="218" spans="1:12" s="54" customFormat="1" ht="12.75" hidden="1">
      <c r="A218" s="910">
        <v>1</v>
      </c>
      <c r="B218" s="913"/>
      <c r="C218" s="913" t="s">
        <v>21</v>
      </c>
      <c r="D218" s="907" t="s">
        <v>309</v>
      </c>
      <c r="E218" s="910" t="s">
        <v>310</v>
      </c>
      <c r="F218" s="118" t="s">
        <v>13</v>
      </c>
      <c r="G218" s="119">
        <v>196200000</v>
      </c>
      <c r="H218" s="125">
        <v>0</v>
      </c>
      <c r="I218" s="119">
        <f>J218+K218</f>
        <v>315000</v>
      </c>
      <c r="J218" s="119">
        <v>0</v>
      </c>
      <c r="K218" s="119">
        <v>315000</v>
      </c>
      <c r="L218" s="907" t="s">
        <v>304</v>
      </c>
    </row>
    <row r="219" spans="1:12" s="54" customFormat="1" ht="12.75" hidden="1">
      <c r="A219" s="911"/>
      <c r="B219" s="914"/>
      <c r="C219" s="914"/>
      <c r="D219" s="908"/>
      <c r="E219" s="911"/>
      <c r="F219" s="118" t="s">
        <v>14</v>
      </c>
      <c r="G219" s="119"/>
      <c r="H219" s="125"/>
      <c r="I219" s="119">
        <f>J219+K219</f>
        <v>0</v>
      </c>
      <c r="J219" s="119"/>
      <c r="K219" s="119"/>
      <c r="L219" s="908"/>
    </row>
    <row r="220" spans="1:12" s="54" customFormat="1" ht="12.75" hidden="1">
      <c r="A220" s="912"/>
      <c r="B220" s="915"/>
      <c r="C220" s="915"/>
      <c r="D220" s="909"/>
      <c r="E220" s="912"/>
      <c r="F220" s="118" t="s">
        <v>15</v>
      </c>
      <c r="G220" s="119">
        <f>G218+G219</f>
        <v>196200000</v>
      </c>
      <c r="H220" s="119">
        <f>H218+H219</f>
        <v>0</v>
      </c>
      <c r="I220" s="119">
        <f>I218+I219</f>
        <v>315000</v>
      </c>
      <c r="J220" s="119">
        <f>J218+J219</f>
        <v>0</v>
      </c>
      <c r="K220" s="119">
        <f>K218+K219</f>
        <v>315000</v>
      </c>
      <c r="L220" s="909"/>
    </row>
    <row r="221" spans="1:12" s="54" customFormat="1" ht="12.75" hidden="1">
      <c r="A221" s="910">
        <v>5</v>
      </c>
      <c r="B221" s="913"/>
      <c r="C221" s="913" t="s">
        <v>21</v>
      </c>
      <c r="D221" s="907" t="s">
        <v>311</v>
      </c>
      <c r="E221" s="910" t="s">
        <v>312</v>
      </c>
      <c r="F221" s="118" t="s">
        <v>13</v>
      </c>
      <c r="G221" s="119">
        <v>500000</v>
      </c>
      <c r="H221" s="125">
        <v>0</v>
      </c>
      <c r="I221" s="119">
        <f t="shared" si="16"/>
        <v>200000</v>
      </c>
      <c r="J221" s="119">
        <v>200000</v>
      </c>
      <c r="K221" s="119">
        <v>0</v>
      </c>
      <c r="L221" s="907" t="s">
        <v>304</v>
      </c>
    </row>
    <row r="222" spans="1:12" s="54" customFormat="1" ht="12.75" hidden="1">
      <c r="A222" s="911"/>
      <c r="B222" s="914"/>
      <c r="C222" s="914"/>
      <c r="D222" s="908"/>
      <c r="E222" s="911"/>
      <c r="F222" s="118" t="s">
        <v>14</v>
      </c>
      <c r="G222" s="119"/>
      <c r="H222" s="125"/>
      <c r="I222" s="119">
        <f t="shared" si="16"/>
        <v>0</v>
      </c>
      <c r="J222" s="119"/>
      <c r="K222" s="119"/>
      <c r="L222" s="908"/>
    </row>
    <row r="223" spans="1:12" s="54" customFormat="1" ht="12.75" hidden="1">
      <c r="A223" s="912"/>
      <c r="B223" s="915"/>
      <c r="C223" s="915"/>
      <c r="D223" s="909"/>
      <c r="E223" s="912"/>
      <c r="F223" s="118" t="s">
        <v>15</v>
      </c>
      <c r="G223" s="119">
        <f>G221+G222</f>
        <v>500000</v>
      </c>
      <c r="H223" s="119">
        <f>H221+H222</f>
        <v>0</v>
      </c>
      <c r="I223" s="119">
        <f>I221+I222</f>
        <v>200000</v>
      </c>
      <c r="J223" s="119">
        <f>J221+J222</f>
        <v>200000</v>
      </c>
      <c r="K223" s="119">
        <f>K221+K222</f>
        <v>0</v>
      </c>
      <c r="L223" s="909"/>
    </row>
    <row r="224" spans="1:12" s="54" customFormat="1" ht="21.75" customHeight="1">
      <c r="A224" s="910">
        <v>3</v>
      </c>
      <c r="B224" s="913"/>
      <c r="C224" s="913" t="s">
        <v>21</v>
      </c>
      <c r="D224" s="907" t="s">
        <v>313</v>
      </c>
      <c r="E224" s="910" t="s">
        <v>308</v>
      </c>
      <c r="F224" s="118" t="s">
        <v>13</v>
      </c>
      <c r="G224" s="119">
        <v>150000</v>
      </c>
      <c r="H224" s="125">
        <v>0</v>
      </c>
      <c r="I224" s="119">
        <f>J224+K224</f>
        <v>150000</v>
      </c>
      <c r="J224" s="119">
        <v>0</v>
      </c>
      <c r="K224" s="119">
        <v>150000</v>
      </c>
      <c r="L224" s="907" t="s">
        <v>304</v>
      </c>
    </row>
    <row r="225" spans="1:12" s="54" customFormat="1" ht="21.75" customHeight="1">
      <c r="A225" s="911"/>
      <c r="B225" s="914"/>
      <c r="C225" s="914"/>
      <c r="D225" s="908"/>
      <c r="E225" s="911"/>
      <c r="F225" s="118" t="s">
        <v>14</v>
      </c>
      <c r="G225" s="119">
        <v>19000</v>
      </c>
      <c r="H225" s="125"/>
      <c r="I225" s="119">
        <f>J225+K225</f>
        <v>19000</v>
      </c>
      <c r="J225" s="119"/>
      <c r="K225" s="119">
        <v>19000</v>
      </c>
      <c r="L225" s="908"/>
    </row>
    <row r="226" spans="1:12" s="54" customFormat="1" ht="21.75" customHeight="1">
      <c r="A226" s="912"/>
      <c r="B226" s="915"/>
      <c r="C226" s="915"/>
      <c r="D226" s="909"/>
      <c r="E226" s="912"/>
      <c r="F226" s="118" t="s">
        <v>15</v>
      </c>
      <c r="G226" s="119">
        <f>G224+G225</f>
        <v>169000</v>
      </c>
      <c r="H226" s="119">
        <f>H224+H225</f>
        <v>0</v>
      </c>
      <c r="I226" s="119">
        <f>I224+I225</f>
        <v>169000</v>
      </c>
      <c r="J226" s="119">
        <f>J224+J225</f>
        <v>0</v>
      </c>
      <c r="K226" s="119">
        <f>K224+K225</f>
        <v>169000</v>
      </c>
      <c r="L226" s="909"/>
    </row>
    <row r="227" spans="1:12" s="54" customFormat="1" ht="30" customHeight="1" hidden="1">
      <c r="A227" s="910">
        <v>7</v>
      </c>
      <c r="B227" s="913"/>
      <c r="C227" s="913" t="s">
        <v>78</v>
      </c>
      <c r="D227" s="907" t="s">
        <v>314</v>
      </c>
      <c r="E227" s="910" t="s">
        <v>315</v>
      </c>
      <c r="F227" s="118" t="s">
        <v>13</v>
      </c>
      <c r="G227" s="119">
        <v>19707653</v>
      </c>
      <c r="H227" s="125">
        <f>907653+5600000</f>
        <v>6507653</v>
      </c>
      <c r="I227" s="119">
        <f t="shared" si="16"/>
        <v>4800000</v>
      </c>
      <c r="J227" s="119">
        <v>4800000</v>
      </c>
      <c r="K227" s="119">
        <v>0</v>
      </c>
      <c r="L227" s="907" t="s">
        <v>239</v>
      </c>
    </row>
    <row r="228" spans="1:12" s="54" customFormat="1" ht="30" customHeight="1" hidden="1">
      <c r="A228" s="911"/>
      <c r="B228" s="914"/>
      <c r="C228" s="914"/>
      <c r="D228" s="908"/>
      <c r="E228" s="911"/>
      <c r="F228" s="118" t="s">
        <v>14</v>
      </c>
      <c r="G228" s="119"/>
      <c r="H228" s="125"/>
      <c r="I228" s="119">
        <f t="shared" si="16"/>
        <v>0</v>
      </c>
      <c r="J228" s="119"/>
      <c r="K228" s="119"/>
      <c r="L228" s="908"/>
    </row>
    <row r="229" spans="1:12" s="54" customFormat="1" ht="30" customHeight="1" hidden="1">
      <c r="A229" s="912"/>
      <c r="B229" s="915"/>
      <c r="C229" s="915"/>
      <c r="D229" s="909"/>
      <c r="E229" s="912"/>
      <c r="F229" s="118" t="s">
        <v>15</v>
      </c>
      <c r="G229" s="119">
        <f>G227+G228</f>
        <v>19707653</v>
      </c>
      <c r="H229" s="119">
        <f>H227+H228</f>
        <v>6507653</v>
      </c>
      <c r="I229" s="119">
        <f>I227+I228</f>
        <v>4800000</v>
      </c>
      <c r="J229" s="119">
        <f>J227+J228</f>
        <v>4800000</v>
      </c>
      <c r="K229" s="119">
        <f>K227+K228</f>
        <v>0</v>
      </c>
      <c r="L229" s="909"/>
    </row>
    <row r="230" spans="1:12" s="54" customFormat="1" ht="17.25" customHeight="1">
      <c r="A230" s="910">
        <v>4</v>
      </c>
      <c r="B230" s="913"/>
      <c r="C230" s="913" t="s">
        <v>78</v>
      </c>
      <c r="D230" s="907" t="s">
        <v>316</v>
      </c>
      <c r="E230" s="910" t="s">
        <v>308</v>
      </c>
      <c r="F230" s="118" t="s">
        <v>13</v>
      </c>
      <c r="G230" s="119">
        <v>1750000</v>
      </c>
      <c r="H230" s="125">
        <v>0</v>
      </c>
      <c r="I230" s="119">
        <f>J230+K230</f>
        <v>1750000</v>
      </c>
      <c r="J230" s="119">
        <v>1750000</v>
      </c>
      <c r="K230" s="119">
        <v>0</v>
      </c>
      <c r="L230" s="907" t="s">
        <v>239</v>
      </c>
    </row>
    <row r="231" spans="1:12" s="54" customFormat="1" ht="17.25" customHeight="1">
      <c r="A231" s="911"/>
      <c r="B231" s="914"/>
      <c r="C231" s="914"/>
      <c r="D231" s="908"/>
      <c r="E231" s="911"/>
      <c r="F231" s="118" t="s">
        <v>14</v>
      </c>
      <c r="G231" s="119">
        <v>-289987</v>
      </c>
      <c r="H231" s="125"/>
      <c r="I231" s="119">
        <f>J231+K231</f>
        <v>-289987</v>
      </c>
      <c r="J231" s="119">
        <v>-289987</v>
      </c>
      <c r="K231" s="119"/>
      <c r="L231" s="908"/>
    </row>
    <row r="232" spans="1:12" s="54" customFormat="1" ht="17.25" customHeight="1">
      <c r="A232" s="912"/>
      <c r="B232" s="915"/>
      <c r="C232" s="915"/>
      <c r="D232" s="909"/>
      <c r="E232" s="912"/>
      <c r="F232" s="118" t="s">
        <v>15</v>
      </c>
      <c r="G232" s="119">
        <f>G230+G231</f>
        <v>1460013</v>
      </c>
      <c r="H232" s="119">
        <f>H230+H231</f>
        <v>0</v>
      </c>
      <c r="I232" s="119">
        <f>I230+I231</f>
        <v>1460013</v>
      </c>
      <c r="J232" s="119">
        <f>J230+J231</f>
        <v>1460013</v>
      </c>
      <c r="K232" s="119">
        <f>K230+K231</f>
        <v>0</v>
      </c>
      <c r="L232" s="909"/>
    </row>
    <row r="233" spans="1:12" s="54" customFormat="1" ht="24" customHeight="1" hidden="1">
      <c r="A233" s="910">
        <v>9</v>
      </c>
      <c r="B233" s="913"/>
      <c r="C233" s="913" t="s">
        <v>45</v>
      </c>
      <c r="D233" s="907" t="s">
        <v>317</v>
      </c>
      <c r="E233" s="910" t="s">
        <v>306</v>
      </c>
      <c r="F233" s="118" t="s">
        <v>13</v>
      </c>
      <c r="G233" s="119">
        <v>150000</v>
      </c>
      <c r="H233" s="125">
        <v>0</v>
      </c>
      <c r="I233" s="119">
        <f t="shared" si="16"/>
        <v>150000</v>
      </c>
      <c r="J233" s="119">
        <v>150000</v>
      </c>
      <c r="K233" s="119">
        <v>0</v>
      </c>
      <c r="L233" s="907" t="s">
        <v>239</v>
      </c>
    </row>
    <row r="234" spans="1:12" s="54" customFormat="1" ht="24" customHeight="1" hidden="1">
      <c r="A234" s="911"/>
      <c r="B234" s="914"/>
      <c r="C234" s="914"/>
      <c r="D234" s="908"/>
      <c r="E234" s="911"/>
      <c r="F234" s="118" t="s">
        <v>14</v>
      </c>
      <c r="G234" s="119"/>
      <c r="H234" s="125"/>
      <c r="I234" s="119">
        <f t="shared" si="16"/>
        <v>0</v>
      </c>
      <c r="J234" s="119"/>
      <c r="K234" s="119"/>
      <c r="L234" s="908"/>
    </row>
    <row r="235" spans="1:12" s="54" customFormat="1" ht="24" customHeight="1" hidden="1">
      <c r="A235" s="912"/>
      <c r="B235" s="915"/>
      <c r="C235" s="915"/>
      <c r="D235" s="909"/>
      <c r="E235" s="912"/>
      <c r="F235" s="118" t="s">
        <v>15</v>
      </c>
      <c r="G235" s="119">
        <f>G233+G234</f>
        <v>150000</v>
      </c>
      <c r="H235" s="119">
        <f>H233+H234</f>
        <v>0</v>
      </c>
      <c r="I235" s="119">
        <f>I233+I234</f>
        <v>150000</v>
      </c>
      <c r="J235" s="119">
        <f>J233+J234</f>
        <v>150000</v>
      </c>
      <c r="K235" s="119">
        <f>K233+K234</f>
        <v>0</v>
      </c>
      <c r="L235" s="909"/>
    </row>
    <row r="236" spans="1:12" s="117" customFormat="1" ht="12.75" hidden="1">
      <c r="A236" s="920"/>
      <c r="B236" s="923" t="s">
        <v>22</v>
      </c>
      <c r="C236" s="923"/>
      <c r="D236" s="929" t="s">
        <v>23</v>
      </c>
      <c r="E236" s="920" t="s">
        <v>75</v>
      </c>
      <c r="F236" s="115" t="s">
        <v>13</v>
      </c>
      <c r="G236" s="116">
        <f aca="true" t="shared" si="17" ref="G236:K237">G239+G242</f>
        <v>4169600</v>
      </c>
      <c r="H236" s="116">
        <f t="shared" si="17"/>
        <v>2951700</v>
      </c>
      <c r="I236" s="116">
        <f t="shared" si="17"/>
        <v>972640</v>
      </c>
      <c r="J236" s="116">
        <f t="shared" si="17"/>
        <v>972640</v>
      </c>
      <c r="K236" s="116">
        <f t="shared" si="17"/>
        <v>0</v>
      </c>
      <c r="L236" s="920" t="s">
        <v>75</v>
      </c>
    </row>
    <row r="237" spans="1:12" s="117" customFormat="1" ht="12.75" hidden="1">
      <c r="A237" s="921"/>
      <c r="B237" s="924"/>
      <c r="C237" s="924"/>
      <c r="D237" s="930"/>
      <c r="E237" s="921"/>
      <c r="F237" s="115" t="s">
        <v>14</v>
      </c>
      <c r="G237" s="116">
        <f t="shared" si="17"/>
        <v>0</v>
      </c>
      <c r="H237" s="116">
        <f t="shared" si="17"/>
        <v>0</v>
      </c>
      <c r="I237" s="116">
        <f t="shared" si="17"/>
        <v>0</v>
      </c>
      <c r="J237" s="116">
        <f t="shared" si="17"/>
        <v>0</v>
      </c>
      <c r="K237" s="116">
        <f t="shared" si="17"/>
        <v>0</v>
      </c>
      <c r="L237" s="921"/>
    </row>
    <row r="238" spans="1:12" s="117" customFormat="1" ht="12.75" hidden="1">
      <c r="A238" s="922"/>
      <c r="B238" s="925"/>
      <c r="C238" s="925"/>
      <c r="D238" s="931"/>
      <c r="E238" s="922"/>
      <c r="F238" s="115" t="s">
        <v>15</v>
      </c>
      <c r="G238" s="116">
        <f>G236+G237</f>
        <v>4169600</v>
      </c>
      <c r="H238" s="116">
        <f>H236+H237</f>
        <v>2951700</v>
      </c>
      <c r="I238" s="116">
        <f>I236+I237</f>
        <v>972640</v>
      </c>
      <c r="J238" s="116">
        <f>J236+J237</f>
        <v>972640</v>
      </c>
      <c r="K238" s="116">
        <f>K236+K237</f>
        <v>0</v>
      </c>
      <c r="L238" s="922"/>
    </row>
    <row r="239" spans="1:12" s="54" customFormat="1" ht="12.75" hidden="1">
      <c r="A239" s="910">
        <v>10</v>
      </c>
      <c r="B239" s="913"/>
      <c r="C239" s="913" t="s">
        <v>24</v>
      </c>
      <c r="D239" s="907" t="s">
        <v>318</v>
      </c>
      <c r="E239" s="910" t="s">
        <v>319</v>
      </c>
      <c r="F239" s="118" t="s">
        <v>13</v>
      </c>
      <c r="G239" s="119">
        <v>339600</v>
      </c>
      <c r="H239" s="125">
        <f>3780+22640+22640+22640</f>
        <v>71700</v>
      </c>
      <c r="I239" s="119">
        <f>J239+K239</f>
        <v>22640</v>
      </c>
      <c r="J239" s="119">
        <v>22640</v>
      </c>
      <c r="K239" s="119">
        <v>0</v>
      </c>
      <c r="L239" s="907" t="s">
        <v>239</v>
      </c>
    </row>
    <row r="240" spans="1:12" s="54" customFormat="1" ht="12.75" hidden="1">
      <c r="A240" s="911"/>
      <c r="B240" s="914"/>
      <c r="C240" s="914"/>
      <c r="D240" s="908"/>
      <c r="E240" s="911"/>
      <c r="F240" s="118" t="s">
        <v>14</v>
      </c>
      <c r="G240" s="119"/>
      <c r="H240" s="125"/>
      <c r="I240" s="119">
        <f>J240+K240</f>
        <v>0</v>
      </c>
      <c r="J240" s="119"/>
      <c r="K240" s="119"/>
      <c r="L240" s="908"/>
    </row>
    <row r="241" spans="1:12" s="54" customFormat="1" ht="12.75" hidden="1">
      <c r="A241" s="912"/>
      <c r="B241" s="915"/>
      <c r="C241" s="915"/>
      <c r="D241" s="909"/>
      <c r="E241" s="912"/>
      <c r="F241" s="118" t="s">
        <v>15</v>
      </c>
      <c r="G241" s="119">
        <f>G239+G240</f>
        <v>339600</v>
      </c>
      <c r="H241" s="119">
        <f>H239+H240</f>
        <v>71700</v>
      </c>
      <c r="I241" s="119">
        <f>I239+I240</f>
        <v>22640</v>
      </c>
      <c r="J241" s="119">
        <f>J239+J240</f>
        <v>22640</v>
      </c>
      <c r="K241" s="119">
        <f>K239+K240</f>
        <v>0</v>
      </c>
      <c r="L241" s="909"/>
    </row>
    <row r="242" spans="1:12" s="54" customFormat="1" ht="12.75" hidden="1">
      <c r="A242" s="910">
        <v>11</v>
      </c>
      <c r="B242" s="913"/>
      <c r="C242" s="913" t="s">
        <v>24</v>
      </c>
      <c r="D242" s="907" t="s">
        <v>320</v>
      </c>
      <c r="E242" s="910" t="s">
        <v>306</v>
      </c>
      <c r="F242" s="118" t="s">
        <v>13</v>
      </c>
      <c r="G242" s="119">
        <v>3830000</v>
      </c>
      <c r="H242" s="125">
        <v>2880000</v>
      </c>
      <c r="I242" s="119">
        <f>J242+K242</f>
        <v>950000</v>
      </c>
      <c r="J242" s="119">
        <v>950000</v>
      </c>
      <c r="K242" s="119">
        <v>0</v>
      </c>
      <c r="L242" s="907" t="s">
        <v>239</v>
      </c>
    </row>
    <row r="243" spans="1:12" s="54" customFormat="1" ht="12.75" hidden="1">
      <c r="A243" s="911"/>
      <c r="B243" s="914"/>
      <c r="C243" s="914"/>
      <c r="D243" s="908"/>
      <c r="E243" s="911"/>
      <c r="F243" s="118" t="s">
        <v>14</v>
      </c>
      <c r="G243" s="119"/>
      <c r="H243" s="125"/>
      <c r="I243" s="119">
        <f>J243+K243</f>
        <v>0</v>
      </c>
      <c r="J243" s="119"/>
      <c r="K243" s="119"/>
      <c r="L243" s="908"/>
    </row>
    <row r="244" spans="1:12" s="54" customFormat="1" ht="12.75" hidden="1">
      <c r="A244" s="912"/>
      <c r="B244" s="915"/>
      <c r="C244" s="915"/>
      <c r="D244" s="909"/>
      <c r="E244" s="912"/>
      <c r="F244" s="118" t="s">
        <v>15</v>
      </c>
      <c r="G244" s="119">
        <f>G242+G243</f>
        <v>3830000</v>
      </c>
      <c r="H244" s="119">
        <f>H242+H243</f>
        <v>2880000</v>
      </c>
      <c r="I244" s="119">
        <f>I242+I243</f>
        <v>950000</v>
      </c>
      <c r="J244" s="119">
        <f>J242+J243</f>
        <v>950000</v>
      </c>
      <c r="K244" s="119">
        <f>K242+K243</f>
        <v>0</v>
      </c>
      <c r="L244" s="909"/>
    </row>
    <row r="245" spans="1:12" s="117" customFormat="1" ht="12" customHeight="1">
      <c r="A245" s="920"/>
      <c r="B245" s="923" t="s">
        <v>70</v>
      </c>
      <c r="C245" s="923"/>
      <c r="D245" s="929" t="s">
        <v>71</v>
      </c>
      <c r="E245" s="920" t="s">
        <v>75</v>
      </c>
      <c r="F245" s="115" t="s">
        <v>13</v>
      </c>
      <c r="G245" s="126">
        <f aca="true" t="shared" si="18" ref="G245:K246">G248</f>
        <v>914225</v>
      </c>
      <c r="H245" s="126">
        <f t="shared" si="18"/>
        <v>132653</v>
      </c>
      <c r="I245" s="126">
        <f t="shared" si="18"/>
        <v>781572</v>
      </c>
      <c r="J245" s="126">
        <f t="shared" si="18"/>
        <v>781572</v>
      </c>
      <c r="K245" s="126">
        <f t="shared" si="18"/>
        <v>0</v>
      </c>
      <c r="L245" s="932" t="s">
        <v>75</v>
      </c>
    </row>
    <row r="246" spans="1:12" s="117" customFormat="1" ht="12" customHeight="1">
      <c r="A246" s="921"/>
      <c r="B246" s="924"/>
      <c r="C246" s="924"/>
      <c r="D246" s="930"/>
      <c r="E246" s="921"/>
      <c r="F246" s="115" t="s">
        <v>14</v>
      </c>
      <c r="G246" s="126">
        <f t="shared" si="18"/>
        <v>0</v>
      </c>
      <c r="H246" s="126">
        <f t="shared" si="18"/>
        <v>-18091</v>
      </c>
      <c r="I246" s="126">
        <f t="shared" si="18"/>
        <v>-238400</v>
      </c>
      <c r="J246" s="126">
        <f t="shared" si="18"/>
        <v>-238400</v>
      </c>
      <c r="K246" s="126">
        <f t="shared" si="18"/>
        <v>0</v>
      </c>
      <c r="L246" s="933"/>
    </row>
    <row r="247" spans="1:12" s="117" customFormat="1" ht="12" customHeight="1">
      <c r="A247" s="922"/>
      <c r="B247" s="925"/>
      <c r="C247" s="925"/>
      <c r="D247" s="931"/>
      <c r="E247" s="922"/>
      <c r="F247" s="115" t="s">
        <v>15</v>
      </c>
      <c r="G247" s="126">
        <f>G245+G246</f>
        <v>914225</v>
      </c>
      <c r="H247" s="126">
        <f>H245+H246</f>
        <v>114562</v>
      </c>
      <c r="I247" s="126">
        <f>I245+I246</f>
        <v>543172</v>
      </c>
      <c r="J247" s="126">
        <f>J245+J246</f>
        <v>543172</v>
      </c>
      <c r="K247" s="126">
        <f>K245+K246</f>
        <v>0</v>
      </c>
      <c r="L247" s="934"/>
    </row>
    <row r="248" spans="1:12" s="54" customFormat="1" ht="12" customHeight="1">
      <c r="A248" s="910">
        <v>5</v>
      </c>
      <c r="B248" s="913"/>
      <c r="C248" s="913" t="s">
        <v>72</v>
      </c>
      <c r="D248" s="907" t="s">
        <v>321</v>
      </c>
      <c r="E248" s="910" t="s">
        <v>369</v>
      </c>
      <c r="F248" s="118" t="s">
        <v>13</v>
      </c>
      <c r="G248" s="119">
        <v>914225</v>
      </c>
      <c r="H248" s="125">
        <f>17553+115100</f>
        <v>132653</v>
      </c>
      <c r="I248" s="119">
        <f>J248+K248</f>
        <v>781572</v>
      </c>
      <c r="J248" s="119">
        <v>781572</v>
      </c>
      <c r="K248" s="119">
        <v>0</v>
      </c>
      <c r="L248" s="907" t="s">
        <v>239</v>
      </c>
    </row>
    <row r="249" spans="1:12" s="54" customFormat="1" ht="12" customHeight="1">
      <c r="A249" s="911"/>
      <c r="B249" s="914"/>
      <c r="C249" s="914"/>
      <c r="D249" s="908"/>
      <c r="E249" s="911"/>
      <c r="F249" s="118" t="s">
        <v>14</v>
      </c>
      <c r="G249" s="119"/>
      <c r="H249" s="125">
        <v>-18091</v>
      </c>
      <c r="I249" s="119">
        <f>J249+K249</f>
        <v>-238400</v>
      </c>
      <c r="J249" s="119">
        <v>-238400</v>
      </c>
      <c r="K249" s="119"/>
      <c r="L249" s="908"/>
    </row>
    <row r="250" spans="1:12" s="54" customFormat="1" ht="12" customHeight="1">
      <c r="A250" s="912"/>
      <c r="B250" s="915"/>
      <c r="C250" s="915"/>
      <c r="D250" s="909"/>
      <c r="E250" s="912"/>
      <c r="F250" s="118" t="s">
        <v>15</v>
      </c>
      <c r="G250" s="119">
        <f>G248+G249</f>
        <v>914225</v>
      </c>
      <c r="H250" s="119">
        <f>H248+H249</f>
        <v>114562</v>
      </c>
      <c r="I250" s="119">
        <f>I248+I249</f>
        <v>543172</v>
      </c>
      <c r="J250" s="119">
        <f>J248+J249</f>
        <v>543172</v>
      </c>
      <c r="K250" s="119">
        <f>K248+K249</f>
        <v>0</v>
      </c>
      <c r="L250" s="909"/>
    </row>
    <row r="251" spans="1:12" s="117" customFormat="1" ht="12.75" hidden="1">
      <c r="A251" s="920"/>
      <c r="B251" s="923" t="s">
        <v>206</v>
      </c>
      <c r="C251" s="923"/>
      <c r="D251" s="929" t="s">
        <v>207</v>
      </c>
      <c r="E251" s="920" t="s">
        <v>75</v>
      </c>
      <c r="F251" s="115" t="s">
        <v>13</v>
      </c>
      <c r="G251" s="116">
        <f aca="true" t="shared" si="19" ref="G251:K252">G254</f>
        <v>9106050</v>
      </c>
      <c r="H251" s="116">
        <f t="shared" si="19"/>
        <v>245770</v>
      </c>
      <c r="I251" s="116">
        <f t="shared" si="19"/>
        <v>3541050</v>
      </c>
      <c r="J251" s="116">
        <f t="shared" si="19"/>
        <v>3541050</v>
      </c>
      <c r="K251" s="116">
        <f t="shared" si="19"/>
        <v>0</v>
      </c>
      <c r="L251" s="920" t="s">
        <v>75</v>
      </c>
    </row>
    <row r="252" spans="1:12" s="117" customFormat="1" ht="12.75" hidden="1">
      <c r="A252" s="921"/>
      <c r="B252" s="924"/>
      <c r="C252" s="924"/>
      <c r="D252" s="930"/>
      <c r="E252" s="921"/>
      <c r="F252" s="115" t="s">
        <v>14</v>
      </c>
      <c r="G252" s="116">
        <f t="shared" si="19"/>
        <v>0</v>
      </c>
      <c r="H252" s="116">
        <f t="shared" si="19"/>
        <v>0</v>
      </c>
      <c r="I252" s="116">
        <f t="shared" si="19"/>
        <v>0</v>
      </c>
      <c r="J252" s="116">
        <f t="shared" si="19"/>
        <v>0</v>
      </c>
      <c r="K252" s="116">
        <f t="shared" si="19"/>
        <v>0</v>
      </c>
      <c r="L252" s="921"/>
    </row>
    <row r="253" spans="1:12" s="117" customFormat="1" ht="12.75" hidden="1">
      <c r="A253" s="922"/>
      <c r="B253" s="925"/>
      <c r="C253" s="925"/>
      <c r="D253" s="931"/>
      <c r="E253" s="922"/>
      <c r="F253" s="115" t="s">
        <v>15</v>
      </c>
      <c r="G253" s="116">
        <f>G251+G252</f>
        <v>9106050</v>
      </c>
      <c r="H253" s="116">
        <f>H251+H252</f>
        <v>245770</v>
      </c>
      <c r="I253" s="116">
        <f>I251+I252</f>
        <v>3541050</v>
      </c>
      <c r="J253" s="116">
        <f>J251+J252</f>
        <v>3541050</v>
      </c>
      <c r="K253" s="116">
        <f>K251+K252</f>
        <v>0</v>
      </c>
      <c r="L253" s="922"/>
    </row>
    <row r="254" spans="1:12" s="54" customFormat="1" ht="12.75" hidden="1">
      <c r="A254" s="910">
        <v>13</v>
      </c>
      <c r="B254" s="913"/>
      <c r="C254" s="913" t="s">
        <v>210</v>
      </c>
      <c r="D254" s="907" t="s">
        <v>322</v>
      </c>
      <c r="E254" s="910" t="s">
        <v>323</v>
      </c>
      <c r="F254" s="118" t="s">
        <v>13</v>
      </c>
      <c r="G254" s="119">
        <v>9106050</v>
      </c>
      <c r="H254" s="125">
        <f>15000+230770</f>
        <v>245770</v>
      </c>
      <c r="I254" s="119">
        <f>J254+K254</f>
        <v>3541050</v>
      </c>
      <c r="J254" s="119">
        <v>3541050</v>
      </c>
      <c r="K254" s="119">
        <v>0</v>
      </c>
      <c r="L254" s="907" t="s">
        <v>239</v>
      </c>
    </row>
    <row r="255" spans="1:12" s="54" customFormat="1" ht="12.75" hidden="1">
      <c r="A255" s="911"/>
      <c r="B255" s="914"/>
      <c r="C255" s="914"/>
      <c r="D255" s="908"/>
      <c r="E255" s="911"/>
      <c r="F255" s="118" t="s">
        <v>14</v>
      </c>
      <c r="G255" s="119"/>
      <c r="H255" s="125"/>
      <c r="I255" s="119">
        <f>J255+K255</f>
        <v>0</v>
      </c>
      <c r="J255" s="119"/>
      <c r="K255" s="119"/>
      <c r="L255" s="908"/>
    </row>
    <row r="256" spans="1:12" s="54" customFormat="1" ht="12.75" hidden="1">
      <c r="A256" s="912"/>
      <c r="B256" s="915"/>
      <c r="C256" s="915"/>
      <c r="D256" s="909"/>
      <c r="E256" s="912"/>
      <c r="F256" s="118" t="s">
        <v>15</v>
      </c>
      <c r="G256" s="119">
        <f>G254+G255</f>
        <v>9106050</v>
      </c>
      <c r="H256" s="119">
        <f>H254+H255</f>
        <v>245770</v>
      </c>
      <c r="I256" s="119">
        <f>I254+I255</f>
        <v>3541050</v>
      </c>
      <c r="J256" s="119">
        <f>J254+J255</f>
        <v>3541050</v>
      </c>
      <c r="K256" s="119">
        <f>K254+K255</f>
        <v>0</v>
      </c>
      <c r="L256" s="909"/>
    </row>
    <row r="257" spans="1:12" s="117" customFormat="1" ht="12.75" hidden="1">
      <c r="A257" s="920"/>
      <c r="B257" s="923" t="s">
        <v>28</v>
      </c>
      <c r="C257" s="923"/>
      <c r="D257" s="929" t="s">
        <v>29</v>
      </c>
      <c r="E257" s="920" t="s">
        <v>75</v>
      </c>
      <c r="F257" s="115" t="s">
        <v>13</v>
      </c>
      <c r="G257" s="116">
        <f aca="true" t="shared" si="20" ref="G257:K258">G260</f>
        <v>3099045</v>
      </c>
      <c r="H257" s="116">
        <f t="shared" si="20"/>
        <v>2849045</v>
      </c>
      <c r="I257" s="116">
        <f t="shared" si="20"/>
        <v>250000</v>
      </c>
      <c r="J257" s="116">
        <f t="shared" si="20"/>
        <v>250000</v>
      </c>
      <c r="K257" s="116">
        <f t="shared" si="20"/>
        <v>0</v>
      </c>
      <c r="L257" s="920" t="s">
        <v>75</v>
      </c>
    </row>
    <row r="258" spans="1:12" s="117" customFormat="1" ht="12.75" hidden="1">
      <c r="A258" s="921"/>
      <c r="B258" s="924"/>
      <c r="C258" s="924"/>
      <c r="D258" s="930"/>
      <c r="E258" s="921"/>
      <c r="F258" s="115" t="s">
        <v>14</v>
      </c>
      <c r="G258" s="116">
        <f t="shared" si="20"/>
        <v>0</v>
      </c>
      <c r="H258" s="116">
        <f t="shared" si="20"/>
        <v>0</v>
      </c>
      <c r="I258" s="116">
        <f t="shared" si="20"/>
        <v>0</v>
      </c>
      <c r="J258" s="116">
        <f t="shared" si="20"/>
        <v>0</v>
      </c>
      <c r="K258" s="116">
        <f t="shared" si="20"/>
        <v>0</v>
      </c>
      <c r="L258" s="921"/>
    </row>
    <row r="259" spans="1:12" s="117" customFormat="1" ht="12.75" hidden="1">
      <c r="A259" s="922"/>
      <c r="B259" s="925"/>
      <c r="C259" s="925"/>
      <c r="D259" s="931"/>
      <c r="E259" s="922"/>
      <c r="F259" s="115" t="s">
        <v>15</v>
      </c>
      <c r="G259" s="116">
        <f>G257+G258</f>
        <v>3099045</v>
      </c>
      <c r="H259" s="116">
        <f>H257+H258</f>
        <v>2849045</v>
      </c>
      <c r="I259" s="116">
        <f>I257+I258</f>
        <v>250000</v>
      </c>
      <c r="J259" s="116">
        <f>J257+J258</f>
        <v>250000</v>
      </c>
      <c r="K259" s="116">
        <f>K257+K258</f>
        <v>0</v>
      </c>
      <c r="L259" s="922"/>
    </row>
    <row r="260" spans="1:12" s="54" customFormat="1" ht="12.75" hidden="1">
      <c r="A260" s="910">
        <v>2</v>
      </c>
      <c r="B260" s="913"/>
      <c r="C260" s="913" t="s">
        <v>30</v>
      </c>
      <c r="D260" s="907" t="s">
        <v>324</v>
      </c>
      <c r="E260" s="910" t="s">
        <v>325</v>
      </c>
      <c r="F260" s="118" t="s">
        <v>13</v>
      </c>
      <c r="G260" s="119">
        <v>3099045</v>
      </c>
      <c r="H260" s="125">
        <f>849330+476748+406397+4428+29624+1082518</f>
        <v>2849045</v>
      </c>
      <c r="I260" s="119">
        <f>J260+K260</f>
        <v>250000</v>
      </c>
      <c r="J260" s="119">
        <v>250000</v>
      </c>
      <c r="K260" s="119">
        <v>0</v>
      </c>
      <c r="L260" s="907" t="s">
        <v>239</v>
      </c>
    </row>
    <row r="261" spans="1:12" s="54" customFormat="1" ht="12.75" hidden="1">
      <c r="A261" s="911"/>
      <c r="B261" s="914"/>
      <c r="C261" s="914"/>
      <c r="D261" s="908"/>
      <c r="E261" s="911"/>
      <c r="F261" s="118" t="s">
        <v>14</v>
      </c>
      <c r="G261" s="119"/>
      <c r="H261" s="125"/>
      <c r="I261" s="119">
        <f>J261+K261</f>
        <v>0</v>
      </c>
      <c r="J261" s="119"/>
      <c r="K261" s="119"/>
      <c r="L261" s="908"/>
    </row>
    <row r="262" spans="1:12" s="54" customFormat="1" ht="12.75" hidden="1">
      <c r="A262" s="912"/>
      <c r="B262" s="915"/>
      <c r="C262" s="915"/>
      <c r="D262" s="909"/>
      <c r="E262" s="912"/>
      <c r="F262" s="118" t="s">
        <v>15</v>
      </c>
      <c r="G262" s="119">
        <f>G260+G261</f>
        <v>3099045</v>
      </c>
      <c r="H262" s="119">
        <f>H260+H261</f>
        <v>2849045</v>
      </c>
      <c r="I262" s="119">
        <f>I260+I261</f>
        <v>250000</v>
      </c>
      <c r="J262" s="119">
        <f>J260+J261</f>
        <v>250000</v>
      </c>
      <c r="K262" s="119">
        <f>K260+K261</f>
        <v>0</v>
      </c>
      <c r="L262" s="909"/>
    </row>
    <row r="263" spans="1:12" s="117" customFormat="1" ht="12.75" hidden="1">
      <c r="A263" s="920"/>
      <c r="B263" s="923" t="s">
        <v>31</v>
      </c>
      <c r="C263" s="923"/>
      <c r="D263" s="929" t="s">
        <v>32</v>
      </c>
      <c r="E263" s="920" t="s">
        <v>75</v>
      </c>
      <c r="F263" s="115" t="s">
        <v>13</v>
      </c>
      <c r="G263" s="116">
        <f aca="true" t="shared" si="21" ref="G263:K264">G266</f>
        <v>7500000</v>
      </c>
      <c r="H263" s="116">
        <f t="shared" si="21"/>
        <v>0</v>
      </c>
      <c r="I263" s="116">
        <f t="shared" si="21"/>
        <v>750000</v>
      </c>
      <c r="J263" s="116">
        <f t="shared" si="21"/>
        <v>750000</v>
      </c>
      <c r="K263" s="116">
        <f t="shared" si="21"/>
        <v>0</v>
      </c>
      <c r="L263" s="920" t="s">
        <v>75</v>
      </c>
    </row>
    <row r="264" spans="1:12" s="117" customFormat="1" ht="12.75" hidden="1">
      <c r="A264" s="921"/>
      <c r="B264" s="924"/>
      <c r="C264" s="924"/>
      <c r="D264" s="930"/>
      <c r="E264" s="921"/>
      <c r="F264" s="115" t="s">
        <v>14</v>
      </c>
      <c r="G264" s="116">
        <f t="shared" si="21"/>
        <v>0</v>
      </c>
      <c r="H264" s="116">
        <f t="shared" si="21"/>
        <v>0</v>
      </c>
      <c r="I264" s="116">
        <f t="shared" si="21"/>
        <v>0</v>
      </c>
      <c r="J264" s="116">
        <f t="shared" si="21"/>
        <v>0</v>
      </c>
      <c r="K264" s="116">
        <f t="shared" si="21"/>
        <v>0</v>
      </c>
      <c r="L264" s="921"/>
    </row>
    <row r="265" spans="1:12" s="117" customFormat="1" ht="12.75" hidden="1">
      <c r="A265" s="922"/>
      <c r="B265" s="925"/>
      <c r="C265" s="925"/>
      <c r="D265" s="931"/>
      <c r="E265" s="922"/>
      <c r="F265" s="115" t="s">
        <v>15</v>
      </c>
      <c r="G265" s="116">
        <f>G263+G264</f>
        <v>7500000</v>
      </c>
      <c r="H265" s="116">
        <f>H263+H264</f>
        <v>0</v>
      </c>
      <c r="I265" s="116">
        <f>I263+I264</f>
        <v>750000</v>
      </c>
      <c r="J265" s="116">
        <f>J263+J264</f>
        <v>750000</v>
      </c>
      <c r="K265" s="116">
        <f>K263+K264</f>
        <v>0</v>
      </c>
      <c r="L265" s="922"/>
    </row>
    <row r="266" spans="1:12" s="54" customFormat="1" ht="12.75" hidden="1">
      <c r="A266" s="910">
        <v>15</v>
      </c>
      <c r="B266" s="913"/>
      <c r="C266" s="913" t="s">
        <v>73</v>
      </c>
      <c r="D266" s="907" t="s">
        <v>326</v>
      </c>
      <c r="E266" s="910" t="s">
        <v>327</v>
      </c>
      <c r="F266" s="118" t="s">
        <v>13</v>
      </c>
      <c r="G266" s="119">
        <v>7500000</v>
      </c>
      <c r="H266" s="125">
        <v>0</v>
      </c>
      <c r="I266" s="119">
        <f>J266+K266</f>
        <v>750000</v>
      </c>
      <c r="J266" s="119">
        <v>750000</v>
      </c>
      <c r="K266" s="119">
        <v>0</v>
      </c>
      <c r="L266" s="907" t="s">
        <v>239</v>
      </c>
    </row>
    <row r="267" spans="1:12" s="54" customFormat="1" ht="12.75" hidden="1">
      <c r="A267" s="911"/>
      <c r="B267" s="914"/>
      <c r="C267" s="914"/>
      <c r="D267" s="908"/>
      <c r="E267" s="911"/>
      <c r="F267" s="118" t="s">
        <v>14</v>
      </c>
      <c r="G267" s="119"/>
      <c r="H267" s="125"/>
      <c r="I267" s="119">
        <f>J267+K267</f>
        <v>0</v>
      </c>
      <c r="J267" s="119"/>
      <c r="K267" s="119"/>
      <c r="L267" s="908"/>
    </row>
    <row r="268" spans="1:12" s="54" customFormat="1" ht="12.75" hidden="1">
      <c r="A268" s="912"/>
      <c r="B268" s="915"/>
      <c r="C268" s="915"/>
      <c r="D268" s="909"/>
      <c r="E268" s="912"/>
      <c r="F268" s="118" t="s">
        <v>15</v>
      </c>
      <c r="G268" s="119">
        <f>G266+G267</f>
        <v>7500000</v>
      </c>
      <c r="H268" s="119">
        <f>H266+H267</f>
        <v>0</v>
      </c>
      <c r="I268" s="119">
        <f>I266+I267</f>
        <v>750000</v>
      </c>
      <c r="J268" s="119">
        <f>J266+J267</f>
        <v>750000</v>
      </c>
      <c r="K268" s="119">
        <f>K266+K267</f>
        <v>0</v>
      </c>
      <c r="L268" s="909"/>
    </row>
    <row r="269" spans="1:12" s="117" customFormat="1" ht="12.75" hidden="1">
      <c r="A269" s="920"/>
      <c r="B269" s="923" t="s">
        <v>34</v>
      </c>
      <c r="C269" s="923"/>
      <c r="D269" s="926" t="s">
        <v>35</v>
      </c>
      <c r="E269" s="920" t="s">
        <v>75</v>
      </c>
      <c r="F269" s="115" t="s">
        <v>13</v>
      </c>
      <c r="G269" s="116">
        <f aca="true" t="shared" si="22" ref="G269:K270">G272</f>
        <v>1144880</v>
      </c>
      <c r="H269" s="116">
        <f t="shared" si="22"/>
        <v>1120668</v>
      </c>
      <c r="I269" s="116">
        <f t="shared" si="22"/>
        <v>24212</v>
      </c>
      <c r="J269" s="116">
        <f t="shared" si="22"/>
        <v>24212</v>
      </c>
      <c r="K269" s="116">
        <f t="shared" si="22"/>
        <v>0</v>
      </c>
      <c r="L269" s="920" t="s">
        <v>75</v>
      </c>
    </row>
    <row r="270" spans="1:12" s="117" customFormat="1" ht="12.75" hidden="1">
      <c r="A270" s="921"/>
      <c r="B270" s="924"/>
      <c r="C270" s="924"/>
      <c r="D270" s="927"/>
      <c r="E270" s="921"/>
      <c r="F270" s="115" t="s">
        <v>14</v>
      </c>
      <c r="G270" s="116">
        <f t="shared" si="22"/>
        <v>0</v>
      </c>
      <c r="H270" s="116">
        <f t="shared" si="22"/>
        <v>0</v>
      </c>
      <c r="I270" s="116">
        <f t="shared" si="22"/>
        <v>0</v>
      </c>
      <c r="J270" s="116">
        <f t="shared" si="22"/>
        <v>0</v>
      </c>
      <c r="K270" s="116">
        <f t="shared" si="22"/>
        <v>0</v>
      </c>
      <c r="L270" s="921"/>
    </row>
    <row r="271" spans="1:12" s="117" customFormat="1" ht="12.75" hidden="1">
      <c r="A271" s="922"/>
      <c r="B271" s="925"/>
      <c r="C271" s="925"/>
      <c r="D271" s="928"/>
      <c r="E271" s="922"/>
      <c r="F271" s="115" t="s">
        <v>15</v>
      </c>
      <c r="G271" s="116">
        <f>G269+G270</f>
        <v>1144880</v>
      </c>
      <c r="H271" s="116">
        <f>H269+H270</f>
        <v>1120668</v>
      </c>
      <c r="I271" s="116">
        <f>I269+I270</f>
        <v>24212</v>
      </c>
      <c r="J271" s="116">
        <f>J269+J270</f>
        <v>24212</v>
      </c>
      <c r="K271" s="116">
        <f>K269+K270</f>
        <v>0</v>
      </c>
      <c r="L271" s="922"/>
    </row>
    <row r="272" spans="1:12" s="54" customFormat="1" ht="12.75" hidden="1">
      <c r="A272" s="910">
        <v>16</v>
      </c>
      <c r="B272" s="913"/>
      <c r="C272" s="913" t="s">
        <v>328</v>
      </c>
      <c r="D272" s="907" t="s">
        <v>329</v>
      </c>
      <c r="E272" s="910" t="s">
        <v>330</v>
      </c>
      <c r="F272" s="118" t="s">
        <v>13</v>
      </c>
      <c r="G272" s="119">
        <v>1144880</v>
      </c>
      <c r="H272" s="125">
        <f>262284+286128+286128+286128</f>
        <v>1120668</v>
      </c>
      <c r="I272" s="119">
        <f>J272+K272</f>
        <v>24212</v>
      </c>
      <c r="J272" s="119">
        <v>24212</v>
      </c>
      <c r="K272" s="119">
        <v>0</v>
      </c>
      <c r="L272" s="907" t="s">
        <v>331</v>
      </c>
    </row>
    <row r="273" spans="1:12" s="54" customFormat="1" ht="12.75" hidden="1">
      <c r="A273" s="911"/>
      <c r="B273" s="914"/>
      <c r="C273" s="914"/>
      <c r="D273" s="908"/>
      <c r="E273" s="911"/>
      <c r="F273" s="118" t="s">
        <v>14</v>
      </c>
      <c r="G273" s="119"/>
      <c r="H273" s="125"/>
      <c r="I273" s="119">
        <f>J273+K273</f>
        <v>0</v>
      </c>
      <c r="J273" s="119"/>
      <c r="K273" s="119"/>
      <c r="L273" s="908"/>
    </row>
    <row r="274" spans="1:12" s="54" customFormat="1" ht="12.75" hidden="1">
      <c r="A274" s="912"/>
      <c r="B274" s="915"/>
      <c r="C274" s="915"/>
      <c r="D274" s="909"/>
      <c r="E274" s="912"/>
      <c r="F274" s="118" t="s">
        <v>15</v>
      </c>
      <c r="G274" s="119">
        <f>G272+G273</f>
        <v>1144880</v>
      </c>
      <c r="H274" s="119">
        <f>H272+H273</f>
        <v>1120668</v>
      </c>
      <c r="I274" s="119">
        <f>I272+I273</f>
        <v>24212</v>
      </c>
      <c r="J274" s="119">
        <f>J272+J273</f>
        <v>24212</v>
      </c>
      <c r="K274" s="119">
        <f>K272+K273</f>
        <v>0</v>
      </c>
      <c r="L274" s="909"/>
    </row>
    <row r="275" spans="1:12" s="117" customFormat="1" ht="12" customHeight="1">
      <c r="A275" s="920"/>
      <c r="B275" s="923" t="s">
        <v>222</v>
      </c>
      <c r="C275" s="923"/>
      <c r="D275" s="926" t="s">
        <v>39</v>
      </c>
      <c r="E275" s="920" t="s">
        <v>75</v>
      </c>
      <c r="F275" s="115" t="s">
        <v>13</v>
      </c>
      <c r="G275" s="116">
        <f aca="true" t="shared" si="23" ref="G275:K276">G278+G281+G284+G287+G290+G299+G293+G296</f>
        <v>29689002</v>
      </c>
      <c r="H275" s="116">
        <f t="shared" si="23"/>
        <v>10893750</v>
      </c>
      <c r="I275" s="116">
        <f t="shared" si="23"/>
        <v>9992550</v>
      </c>
      <c r="J275" s="116">
        <f t="shared" si="23"/>
        <v>9992550</v>
      </c>
      <c r="K275" s="116">
        <f t="shared" si="23"/>
        <v>0</v>
      </c>
      <c r="L275" s="920" t="s">
        <v>75</v>
      </c>
    </row>
    <row r="276" spans="1:12" s="117" customFormat="1" ht="12" customHeight="1">
      <c r="A276" s="921"/>
      <c r="B276" s="924"/>
      <c r="C276" s="924"/>
      <c r="D276" s="927"/>
      <c r="E276" s="921"/>
      <c r="F276" s="115" t="s">
        <v>14</v>
      </c>
      <c r="G276" s="116">
        <f t="shared" si="23"/>
        <v>15418</v>
      </c>
      <c r="H276" s="116">
        <f t="shared" si="23"/>
        <v>-5644</v>
      </c>
      <c r="I276" s="116">
        <f t="shared" si="23"/>
        <v>21062</v>
      </c>
      <c r="J276" s="116">
        <f t="shared" si="23"/>
        <v>21062</v>
      </c>
      <c r="K276" s="116">
        <f t="shared" si="23"/>
        <v>0</v>
      </c>
      <c r="L276" s="921"/>
    </row>
    <row r="277" spans="1:12" s="117" customFormat="1" ht="12" customHeight="1">
      <c r="A277" s="922"/>
      <c r="B277" s="925"/>
      <c r="C277" s="925"/>
      <c r="D277" s="928"/>
      <c r="E277" s="922"/>
      <c r="F277" s="115" t="s">
        <v>15</v>
      </c>
      <c r="G277" s="116">
        <f>G275+G276</f>
        <v>29704420</v>
      </c>
      <c r="H277" s="116">
        <f>H275+H276</f>
        <v>10888106</v>
      </c>
      <c r="I277" s="116">
        <f>I275+I276</f>
        <v>10013612</v>
      </c>
      <c r="J277" s="116">
        <f>J275+J276</f>
        <v>10013612</v>
      </c>
      <c r="K277" s="116">
        <f>K275+K276</f>
        <v>0</v>
      </c>
      <c r="L277" s="922"/>
    </row>
    <row r="278" spans="1:12" s="54" customFormat="1" ht="24" customHeight="1" hidden="1">
      <c r="A278" s="910">
        <v>17</v>
      </c>
      <c r="B278" s="913"/>
      <c r="C278" s="913" t="s">
        <v>267</v>
      </c>
      <c r="D278" s="907" t="s">
        <v>332</v>
      </c>
      <c r="E278" s="910" t="s">
        <v>333</v>
      </c>
      <c r="F278" s="118" t="s">
        <v>13</v>
      </c>
      <c r="G278" s="119">
        <v>9575438</v>
      </c>
      <c r="H278" s="125">
        <f>116783</f>
        <v>116783</v>
      </c>
      <c r="I278" s="119">
        <f aca="true" t="shared" si="24" ref="I278:I300">J278+K278</f>
        <v>1183093</v>
      </c>
      <c r="J278" s="119">
        <v>1183093</v>
      </c>
      <c r="K278" s="119">
        <v>0</v>
      </c>
      <c r="L278" s="907" t="s">
        <v>334</v>
      </c>
    </row>
    <row r="279" spans="1:12" s="54" customFormat="1" ht="24" customHeight="1" hidden="1">
      <c r="A279" s="911"/>
      <c r="B279" s="914"/>
      <c r="C279" s="914"/>
      <c r="D279" s="908"/>
      <c r="E279" s="911"/>
      <c r="F279" s="118" t="s">
        <v>14</v>
      </c>
      <c r="G279" s="119"/>
      <c r="H279" s="125"/>
      <c r="I279" s="119">
        <f t="shared" si="24"/>
        <v>0</v>
      </c>
      <c r="J279" s="119"/>
      <c r="K279" s="119"/>
      <c r="L279" s="908"/>
    </row>
    <row r="280" spans="1:12" s="54" customFormat="1" ht="24" customHeight="1" hidden="1">
      <c r="A280" s="912"/>
      <c r="B280" s="915"/>
      <c r="C280" s="915"/>
      <c r="D280" s="909"/>
      <c r="E280" s="912"/>
      <c r="F280" s="118" t="s">
        <v>15</v>
      </c>
      <c r="G280" s="119">
        <f>G278+G279</f>
        <v>9575438</v>
      </c>
      <c r="H280" s="119">
        <f>H278+H279</f>
        <v>116783</v>
      </c>
      <c r="I280" s="119">
        <f>I278+I279</f>
        <v>1183093</v>
      </c>
      <c r="J280" s="119">
        <f>J278+J279</f>
        <v>1183093</v>
      </c>
      <c r="K280" s="119">
        <f>K278+K279</f>
        <v>0</v>
      </c>
      <c r="L280" s="909"/>
    </row>
    <row r="281" spans="1:12" s="54" customFormat="1" ht="12" customHeight="1">
      <c r="A281" s="910">
        <v>6</v>
      </c>
      <c r="B281" s="913"/>
      <c r="C281" s="913" t="s">
        <v>267</v>
      </c>
      <c r="D281" s="907" t="s">
        <v>335</v>
      </c>
      <c r="E281" s="910" t="s">
        <v>336</v>
      </c>
      <c r="F281" s="118" t="s">
        <v>13</v>
      </c>
      <c r="G281" s="119">
        <v>6867735</v>
      </c>
      <c r="H281" s="125">
        <f>12300+110700+1005427+3024677+2629086</f>
        <v>6782190</v>
      </c>
      <c r="I281" s="119">
        <f t="shared" si="24"/>
        <v>28515</v>
      </c>
      <c r="J281" s="119">
        <v>28515</v>
      </c>
      <c r="K281" s="119">
        <v>0</v>
      </c>
      <c r="L281" s="907" t="s">
        <v>334</v>
      </c>
    </row>
    <row r="282" spans="1:12" s="54" customFormat="1" ht="12" customHeight="1">
      <c r="A282" s="911"/>
      <c r="B282" s="914"/>
      <c r="C282" s="914"/>
      <c r="D282" s="908"/>
      <c r="E282" s="911"/>
      <c r="F282" s="118" t="s">
        <v>14</v>
      </c>
      <c r="G282" s="119">
        <v>15418</v>
      </c>
      <c r="H282" s="125">
        <v>-5644</v>
      </c>
      <c r="I282" s="119">
        <f t="shared" si="24"/>
        <v>21062</v>
      </c>
      <c r="J282" s="119">
        <v>21062</v>
      </c>
      <c r="K282" s="119"/>
      <c r="L282" s="908"/>
    </row>
    <row r="283" spans="1:12" s="54" customFormat="1" ht="12" customHeight="1">
      <c r="A283" s="912"/>
      <c r="B283" s="915"/>
      <c r="C283" s="915"/>
      <c r="D283" s="909"/>
      <c r="E283" s="912"/>
      <c r="F283" s="118" t="s">
        <v>15</v>
      </c>
      <c r="G283" s="119">
        <f>G281+G282</f>
        <v>6883153</v>
      </c>
      <c r="H283" s="119">
        <f>H281+H282</f>
        <v>6776546</v>
      </c>
      <c r="I283" s="119">
        <f>I281+I282</f>
        <v>49577</v>
      </c>
      <c r="J283" s="119">
        <f>J281+J282</f>
        <v>49577</v>
      </c>
      <c r="K283" s="119">
        <f>K281+K282</f>
        <v>0</v>
      </c>
      <c r="L283" s="909"/>
    </row>
    <row r="284" spans="1:12" s="54" customFormat="1" ht="24.75" customHeight="1" hidden="1">
      <c r="A284" s="910">
        <v>19</v>
      </c>
      <c r="B284" s="913"/>
      <c r="C284" s="913" t="s">
        <v>267</v>
      </c>
      <c r="D284" s="907" t="s">
        <v>337</v>
      </c>
      <c r="E284" s="910" t="s">
        <v>312</v>
      </c>
      <c r="F284" s="118" t="s">
        <v>13</v>
      </c>
      <c r="G284" s="119">
        <v>7832943</v>
      </c>
      <c r="H284" s="125">
        <v>548706</v>
      </c>
      <c r="I284" s="119">
        <f t="shared" si="24"/>
        <v>6814127</v>
      </c>
      <c r="J284" s="119">
        <v>6814127</v>
      </c>
      <c r="K284" s="119">
        <v>0</v>
      </c>
      <c r="L284" s="907" t="s">
        <v>334</v>
      </c>
    </row>
    <row r="285" spans="1:12" s="54" customFormat="1" ht="24.75" customHeight="1" hidden="1">
      <c r="A285" s="911"/>
      <c r="B285" s="914"/>
      <c r="C285" s="914"/>
      <c r="D285" s="908"/>
      <c r="E285" s="911"/>
      <c r="F285" s="118" t="s">
        <v>14</v>
      </c>
      <c r="G285" s="119"/>
      <c r="H285" s="125"/>
      <c r="I285" s="119">
        <f t="shared" si="24"/>
        <v>0</v>
      </c>
      <c r="J285" s="119"/>
      <c r="K285" s="119"/>
      <c r="L285" s="908"/>
    </row>
    <row r="286" spans="1:12" s="54" customFormat="1" ht="24.75" customHeight="1" hidden="1">
      <c r="A286" s="912"/>
      <c r="B286" s="915"/>
      <c r="C286" s="915"/>
      <c r="D286" s="909"/>
      <c r="E286" s="912"/>
      <c r="F286" s="118" t="s">
        <v>15</v>
      </c>
      <c r="G286" s="119">
        <f>G284+G285</f>
        <v>7832943</v>
      </c>
      <c r="H286" s="119">
        <f>H284+H285</f>
        <v>548706</v>
      </c>
      <c r="I286" s="119">
        <f>I284+I285</f>
        <v>6814127</v>
      </c>
      <c r="J286" s="119">
        <f>J284+J285</f>
        <v>6814127</v>
      </c>
      <c r="K286" s="119">
        <f>K284+K285</f>
        <v>0</v>
      </c>
      <c r="L286" s="909"/>
    </row>
    <row r="287" spans="1:12" s="54" customFormat="1" ht="12.75" hidden="1">
      <c r="A287" s="910">
        <v>20</v>
      </c>
      <c r="B287" s="913"/>
      <c r="C287" s="913" t="s">
        <v>267</v>
      </c>
      <c r="D287" s="907" t="s">
        <v>338</v>
      </c>
      <c r="E287" s="910" t="s">
        <v>308</v>
      </c>
      <c r="F287" s="118" t="s">
        <v>13</v>
      </c>
      <c r="G287" s="119">
        <v>928774</v>
      </c>
      <c r="H287" s="125">
        <v>67200</v>
      </c>
      <c r="I287" s="119">
        <f t="shared" si="24"/>
        <v>861574</v>
      </c>
      <c r="J287" s="119">
        <v>861574</v>
      </c>
      <c r="K287" s="119">
        <v>0</v>
      </c>
      <c r="L287" s="907" t="s">
        <v>269</v>
      </c>
    </row>
    <row r="288" spans="1:12" s="54" customFormat="1" ht="12.75" hidden="1">
      <c r="A288" s="911"/>
      <c r="B288" s="914"/>
      <c r="C288" s="914"/>
      <c r="D288" s="908"/>
      <c r="E288" s="911"/>
      <c r="F288" s="118" t="s">
        <v>14</v>
      </c>
      <c r="G288" s="119"/>
      <c r="H288" s="125"/>
      <c r="I288" s="119">
        <f t="shared" si="24"/>
        <v>0</v>
      </c>
      <c r="J288" s="119"/>
      <c r="K288" s="119"/>
      <c r="L288" s="908"/>
    </row>
    <row r="289" spans="1:12" s="54" customFormat="1" ht="12.75" hidden="1">
      <c r="A289" s="912"/>
      <c r="B289" s="915"/>
      <c r="C289" s="915"/>
      <c r="D289" s="909"/>
      <c r="E289" s="912"/>
      <c r="F289" s="118" t="s">
        <v>15</v>
      </c>
      <c r="G289" s="119">
        <f>G287+G288</f>
        <v>928774</v>
      </c>
      <c r="H289" s="119">
        <f>H287+H288</f>
        <v>67200</v>
      </c>
      <c r="I289" s="119">
        <f>I287+I288</f>
        <v>861574</v>
      </c>
      <c r="J289" s="119">
        <f>J287+J288</f>
        <v>861574</v>
      </c>
      <c r="K289" s="119">
        <f>K287+K288</f>
        <v>0</v>
      </c>
      <c r="L289" s="909"/>
    </row>
    <row r="290" spans="1:12" s="54" customFormat="1" ht="12.75" hidden="1">
      <c r="A290" s="910">
        <v>21</v>
      </c>
      <c r="B290" s="913"/>
      <c r="C290" s="913" t="s">
        <v>273</v>
      </c>
      <c r="D290" s="974" t="s">
        <v>339</v>
      </c>
      <c r="E290" s="910" t="s">
        <v>308</v>
      </c>
      <c r="F290" s="118" t="s">
        <v>13</v>
      </c>
      <c r="G290" s="119">
        <v>150460</v>
      </c>
      <c r="H290" s="125">
        <v>60780</v>
      </c>
      <c r="I290" s="119">
        <f t="shared" si="24"/>
        <v>89680</v>
      </c>
      <c r="J290" s="119">
        <v>89680</v>
      </c>
      <c r="K290" s="119">
        <v>0</v>
      </c>
      <c r="L290" s="907" t="s">
        <v>274</v>
      </c>
    </row>
    <row r="291" spans="1:12" s="54" customFormat="1" ht="12.75" hidden="1">
      <c r="A291" s="911"/>
      <c r="B291" s="914"/>
      <c r="C291" s="914"/>
      <c r="D291" s="975"/>
      <c r="E291" s="911"/>
      <c r="F291" s="118" t="s">
        <v>14</v>
      </c>
      <c r="G291" s="119"/>
      <c r="H291" s="125"/>
      <c r="I291" s="119">
        <f t="shared" si="24"/>
        <v>0</v>
      </c>
      <c r="J291" s="119"/>
      <c r="K291" s="119"/>
      <c r="L291" s="908"/>
    </row>
    <row r="292" spans="1:12" s="54" customFormat="1" ht="12.75" hidden="1">
      <c r="A292" s="912"/>
      <c r="B292" s="915"/>
      <c r="C292" s="915"/>
      <c r="D292" s="976"/>
      <c r="E292" s="912"/>
      <c r="F292" s="118" t="s">
        <v>15</v>
      </c>
      <c r="G292" s="119">
        <f>G290+G291</f>
        <v>150460</v>
      </c>
      <c r="H292" s="119">
        <f>H290+H291</f>
        <v>60780</v>
      </c>
      <c r="I292" s="119">
        <f>I290+I291</f>
        <v>89680</v>
      </c>
      <c r="J292" s="119">
        <f>J290+J291</f>
        <v>89680</v>
      </c>
      <c r="K292" s="119">
        <f>K290+K291</f>
        <v>0</v>
      </c>
      <c r="L292" s="909"/>
    </row>
    <row r="293" spans="1:12" s="54" customFormat="1" ht="12.75" hidden="1">
      <c r="A293" s="910">
        <v>3</v>
      </c>
      <c r="B293" s="913"/>
      <c r="C293" s="913" t="s">
        <v>340</v>
      </c>
      <c r="D293" s="974" t="s">
        <v>341</v>
      </c>
      <c r="E293" s="910" t="s">
        <v>302</v>
      </c>
      <c r="F293" s="118" t="s">
        <v>13</v>
      </c>
      <c r="G293" s="119">
        <v>2494756</v>
      </c>
      <c r="H293" s="125">
        <v>2365544</v>
      </c>
      <c r="I293" s="119">
        <f>J293+K293</f>
        <v>129212</v>
      </c>
      <c r="J293" s="119">
        <v>129212</v>
      </c>
      <c r="K293" s="119">
        <v>0</v>
      </c>
      <c r="L293" s="907" t="s">
        <v>342</v>
      </c>
    </row>
    <row r="294" spans="1:12" s="54" customFormat="1" ht="12.75" hidden="1">
      <c r="A294" s="911"/>
      <c r="B294" s="914"/>
      <c r="C294" s="914"/>
      <c r="D294" s="975"/>
      <c r="E294" s="911"/>
      <c r="F294" s="118" t="s">
        <v>14</v>
      </c>
      <c r="G294" s="119"/>
      <c r="H294" s="125"/>
      <c r="I294" s="119">
        <f>J294+K294</f>
        <v>0</v>
      </c>
      <c r="J294" s="119"/>
      <c r="K294" s="119"/>
      <c r="L294" s="908"/>
    </row>
    <row r="295" spans="1:12" s="54" customFormat="1" ht="12.75" hidden="1">
      <c r="A295" s="912"/>
      <c r="B295" s="915"/>
      <c r="C295" s="915"/>
      <c r="D295" s="976"/>
      <c r="E295" s="912"/>
      <c r="F295" s="118" t="s">
        <v>15</v>
      </c>
      <c r="G295" s="119">
        <f>G293+G294</f>
        <v>2494756</v>
      </c>
      <c r="H295" s="119">
        <f>H293+H294</f>
        <v>2365544</v>
      </c>
      <c r="I295" s="119">
        <f>I293+I294</f>
        <v>129212</v>
      </c>
      <c r="J295" s="119">
        <f>J293+J294</f>
        <v>129212</v>
      </c>
      <c r="K295" s="119">
        <f>K293+K294</f>
        <v>0</v>
      </c>
      <c r="L295" s="909"/>
    </row>
    <row r="296" spans="1:12" s="54" customFormat="1" ht="12.75" hidden="1">
      <c r="A296" s="910">
        <v>4</v>
      </c>
      <c r="B296" s="913"/>
      <c r="C296" s="913" t="s">
        <v>340</v>
      </c>
      <c r="D296" s="974" t="s">
        <v>343</v>
      </c>
      <c r="E296" s="910" t="s">
        <v>302</v>
      </c>
      <c r="F296" s="118" t="s">
        <v>13</v>
      </c>
      <c r="G296" s="119">
        <v>1406647</v>
      </c>
      <c r="H296" s="125">
        <v>906647</v>
      </c>
      <c r="I296" s="119">
        <f>J296+K296</f>
        <v>500000</v>
      </c>
      <c r="J296" s="119">
        <v>500000</v>
      </c>
      <c r="K296" s="119">
        <v>0</v>
      </c>
      <c r="L296" s="907" t="s">
        <v>342</v>
      </c>
    </row>
    <row r="297" spans="1:12" s="54" customFormat="1" ht="12.75" hidden="1">
      <c r="A297" s="911"/>
      <c r="B297" s="914"/>
      <c r="C297" s="914"/>
      <c r="D297" s="975"/>
      <c r="E297" s="911"/>
      <c r="F297" s="118" t="s">
        <v>14</v>
      </c>
      <c r="G297" s="119"/>
      <c r="H297" s="125"/>
      <c r="I297" s="119">
        <f>J297+K297</f>
        <v>0</v>
      </c>
      <c r="J297" s="119"/>
      <c r="K297" s="119"/>
      <c r="L297" s="908"/>
    </row>
    <row r="298" spans="1:12" s="54" customFormat="1" ht="12.75" hidden="1">
      <c r="A298" s="912"/>
      <c r="B298" s="915"/>
      <c r="C298" s="915"/>
      <c r="D298" s="976"/>
      <c r="E298" s="912"/>
      <c r="F298" s="118" t="s">
        <v>15</v>
      </c>
      <c r="G298" s="119">
        <f>G296+G297</f>
        <v>1406647</v>
      </c>
      <c r="H298" s="119">
        <f>H296+H297</f>
        <v>906647</v>
      </c>
      <c r="I298" s="119">
        <f>I296+I297</f>
        <v>500000</v>
      </c>
      <c r="J298" s="119">
        <f>J296+J297</f>
        <v>500000</v>
      </c>
      <c r="K298" s="119">
        <f>K296+K297</f>
        <v>0</v>
      </c>
      <c r="L298" s="909"/>
    </row>
    <row r="299" spans="1:12" s="54" customFormat="1" ht="12.75" hidden="1">
      <c r="A299" s="910">
        <v>22</v>
      </c>
      <c r="B299" s="913"/>
      <c r="C299" s="913" t="s">
        <v>284</v>
      </c>
      <c r="D299" s="974" t="s">
        <v>344</v>
      </c>
      <c r="E299" s="910" t="s">
        <v>306</v>
      </c>
      <c r="F299" s="118" t="s">
        <v>13</v>
      </c>
      <c r="G299" s="119">
        <v>432249</v>
      </c>
      <c r="H299" s="125">
        <f>35900+10000</f>
        <v>45900</v>
      </c>
      <c r="I299" s="119">
        <f t="shared" si="24"/>
        <v>386349</v>
      </c>
      <c r="J299" s="119">
        <v>386349</v>
      </c>
      <c r="K299" s="119">
        <v>0</v>
      </c>
      <c r="L299" s="907" t="s">
        <v>290</v>
      </c>
    </row>
    <row r="300" spans="1:12" s="54" customFormat="1" ht="12.75" hidden="1">
      <c r="A300" s="911"/>
      <c r="B300" s="914"/>
      <c r="C300" s="914"/>
      <c r="D300" s="975"/>
      <c r="E300" s="911"/>
      <c r="F300" s="118" t="s">
        <v>14</v>
      </c>
      <c r="G300" s="119"/>
      <c r="H300" s="125"/>
      <c r="I300" s="119">
        <f t="shared" si="24"/>
        <v>0</v>
      </c>
      <c r="J300" s="119"/>
      <c r="K300" s="119"/>
      <c r="L300" s="908"/>
    </row>
    <row r="301" spans="1:12" s="54" customFormat="1" ht="12.75" hidden="1">
      <c r="A301" s="912"/>
      <c r="B301" s="915"/>
      <c r="C301" s="915"/>
      <c r="D301" s="976"/>
      <c r="E301" s="912"/>
      <c r="F301" s="118" t="s">
        <v>15</v>
      </c>
      <c r="G301" s="119">
        <f>G299+G300</f>
        <v>432249</v>
      </c>
      <c r="H301" s="119">
        <f>H299+H300</f>
        <v>45900</v>
      </c>
      <c r="I301" s="119">
        <f>I299+I300</f>
        <v>386349</v>
      </c>
      <c r="J301" s="119">
        <f>J299+J300</f>
        <v>386349</v>
      </c>
      <c r="K301" s="119">
        <f>K299+K300</f>
        <v>0</v>
      </c>
      <c r="L301" s="909"/>
    </row>
    <row r="302" spans="1:12" s="54" customFormat="1" ht="3" customHeight="1">
      <c r="A302" s="118"/>
      <c r="B302" s="120"/>
      <c r="C302" s="120"/>
      <c r="D302" s="121"/>
      <c r="E302" s="118"/>
      <c r="F302" s="118"/>
      <c r="G302" s="119"/>
      <c r="H302" s="125"/>
      <c r="I302" s="119"/>
      <c r="J302" s="119"/>
      <c r="K302" s="119"/>
      <c r="L302" s="123"/>
    </row>
    <row r="303" spans="1:12" s="117" customFormat="1" ht="15" customHeight="1">
      <c r="A303" s="937" t="s">
        <v>298</v>
      </c>
      <c r="B303" s="938"/>
      <c r="C303" s="938"/>
      <c r="D303" s="939"/>
      <c r="E303" s="946" t="s">
        <v>75</v>
      </c>
      <c r="F303" s="108" t="s">
        <v>13</v>
      </c>
      <c r="G303" s="124">
        <f aca="true" t="shared" si="25" ref="G303:K304">G203+G236+G245+G251+G257+G263+G269+G275</f>
        <v>393891529</v>
      </c>
      <c r="H303" s="124">
        <f t="shared" si="25"/>
        <v>117867870</v>
      </c>
      <c r="I303" s="124">
        <f t="shared" si="25"/>
        <v>50321467</v>
      </c>
      <c r="J303" s="124">
        <f t="shared" si="25"/>
        <v>49856467</v>
      </c>
      <c r="K303" s="124">
        <f t="shared" si="25"/>
        <v>465000</v>
      </c>
      <c r="L303" s="952" t="s">
        <v>75</v>
      </c>
    </row>
    <row r="304" spans="1:12" s="117" customFormat="1" ht="15" customHeight="1">
      <c r="A304" s="940"/>
      <c r="B304" s="941"/>
      <c r="C304" s="941"/>
      <c r="D304" s="942"/>
      <c r="E304" s="947"/>
      <c r="F304" s="108" t="s">
        <v>14</v>
      </c>
      <c r="G304" s="124">
        <f t="shared" si="25"/>
        <v>10082187</v>
      </c>
      <c r="H304" s="124">
        <f t="shared" si="25"/>
        <v>-849865</v>
      </c>
      <c r="I304" s="124">
        <f t="shared" si="25"/>
        <v>10675561</v>
      </c>
      <c r="J304" s="124">
        <f t="shared" si="25"/>
        <v>10656561</v>
      </c>
      <c r="K304" s="124">
        <f t="shared" si="25"/>
        <v>19000</v>
      </c>
      <c r="L304" s="953"/>
    </row>
    <row r="305" spans="1:12" s="117" customFormat="1" ht="15" customHeight="1">
      <c r="A305" s="943"/>
      <c r="B305" s="944"/>
      <c r="C305" s="944"/>
      <c r="D305" s="945"/>
      <c r="E305" s="948"/>
      <c r="F305" s="108" t="s">
        <v>15</v>
      </c>
      <c r="G305" s="124">
        <f>G303+G304</f>
        <v>403973716</v>
      </c>
      <c r="H305" s="124">
        <f>H303+H304</f>
        <v>117018005</v>
      </c>
      <c r="I305" s="124">
        <f>I303+I304</f>
        <v>60997028</v>
      </c>
      <c r="J305" s="124">
        <f>J303+J304</f>
        <v>60513028</v>
      </c>
      <c r="K305" s="124">
        <f>K303+K304</f>
        <v>484000</v>
      </c>
      <c r="L305" s="954"/>
    </row>
    <row r="306" spans="1:12" s="54" customFormat="1" ht="3" customHeight="1">
      <c r="A306" s="977"/>
      <c r="B306" s="977"/>
      <c r="C306" s="977"/>
      <c r="D306" s="977"/>
      <c r="E306" s="977"/>
      <c r="F306" s="977"/>
      <c r="G306" s="977"/>
      <c r="H306" s="977"/>
      <c r="I306" s="977"/>
      <c r="J306" s="977"/>
      <c r="K306" s="977"/>
      <c r="L306" s="977"/>
    </row>
    <row r="307" spans="1:12" s="127" customFormat="1" ht="18" customHeight="1">
      <c r="A307" s="108" t="s">
        <v>345</v>
      </c>
      <c r="B307" s="936" t="s">
        <v>346</v>
      </c>
      <c r="C307" s="936"/>
      <c r="D307" s="936"/>
      <c r="E307" s="936"/>
      <c r="F307" s="936"/>
      <c r="G307" s="936"/>
      <c r="H307" s="936"/>
      <c r="I307" s="936"/>
      <c r="J307" s="936"/>
      <c r="K307" s="936"/>
      <c r="L307" s="936"/>
    </row>
    <row r="308" spans="1:12" s="117" customFormat="1" ht="3" customHeight="1">
      <c r="A308" s="978"/>
      <c r="B308" s="978"/>
      <c r="C308" s="978"/>
      <c r="D308" s="978"/>
      <c r="E308" s="978"/>
      <c r="F308" s="978"/>
      <c r="G308" s="978"/>
      <c r="H308" s="978"/>
      <c r="I308" s="978"/>
      <c r="J308" s="978"/>
      <c r="K308" s="978"/>
      <c r="L308" s="978"/>
    </row>
    <row r="309" spans="1:12" s="117" customFormat="1" ht="12.75">
      <c r="A309" s="920" t="s">
        <v>75</v>
      </c>
      <c r="B309" s="920" t="s">
        <v>75</v>
      </c>
      <c r="C309" s="920" t="s">
        <v>75</v>
      </c>
      <c r="D309" s="920" t="s">
        <v>75</v>
      </c>
      <c r="E309" s="920" t="s">
        <v>75</v>
      </c>
      <c r="F309" s="115" t="s">
        <v>13</v>
      </c>
      <c r="G309" s="920" t="s">
        <v>75</v>
      </c>
      <c r="H309" s="920" t="s">
        <v>75</v>
      </c>
      <c r="I309" s="126">
        <f>J309+K309</f>
        <v>303661454</v>
      </c>
      <c r="J309" s="126">
        <v>42120472</v>
      </c>
      <c r="K309" s="126">
        <v>261540982</v>
      </c>
      <c r="L309" s="920" t="s">
        <v>75</v>
      </c>
    </row>
    <row r="310" spans="1:12" s="117" customFormat="1" ht="12.75">
      <c r="A310" s="921"/>
      <c r="B310" s="921"/>
      <c r="C310" s="921"/>
      <c r="D310" s="921"/>
      <c r="E310" s="921"/>
      <c r="F310" s="115" t="s">
        <v>14</v>
      </c>
      <c r="G310" s="921"/>
      <c r="H310" s="921"/>
      <c r="I310" s="126">
        <f>J310+K310</f>
        <v>-2848235</v>
      </c>
      <c r="J310" s="126">
        <v>304271</v>
      </c>
      <c r="K310" s="126">
        <v>-3152506</v>
      </c>
      <c r="L310" s="921"/>
    </row>
    <row r="311" spans="1:12" s="117" customFormat="1" ht="12.75">
      <c r="A311" s="922"/>
      <c r="B311" s="922"/>
      <c r="C311" s="922"/>
      <c r="D311" s="922"/>
      <c r="E311" s="922"/>
      <c r="F311" s="115" t="s">
        <v>15</v>
      </c>
      <c r="G311" s="922"/>
      <c r="H311" s="922"/>
      <c r="I311" s="126">
        <f>I309+I310</f>
        <v>300813219</v>
      </c>
      <c r="J311" s="126">
        <f>J309+J310</f>
        <v>42424743</v>
      </c>
      <c r="K311" s="126">
        <f>K309+K310</f>
        <v>258388476</v>
      </c>
      <c r="L311" s="922"/>
    </row>
    <row r="312" spans="1:12" s="117" customFormat="1" ht="3" customHeight="1">
      <c r="A312" s="979" t="s">
        <v>347</v>
      </c>
      <c r="B312" s="979"/>
      <c r="C312" s="979"/>
      <c r="D312" s="979"/>
      <c r="E312" s="979"/>
      <c r="F312" s="979"/>
      <c r="G312" s="979"/>
      <c r="H312" s="979"/>
      <c r="I312" s="979"/>
      <c r="J312" s="979"/>
      <c r="K312" s="979"/>
      <c r="L312" s="979"/>
    </row>
    <row r="313" spans="1:12" s="127" customFormat="1" ht="18.75" customHeight="1" hidden="1">
      <c r="A313" s="108" t="s">
        <v>348</v>
      </c>
      <c r="B313" s="936" t="s">
        <v>349</v>
      </c>
      <c r="C313" s="936"/>
      <c r="D313" s="936"/>
      <c r="E313" s="936"/>
      <c r="F313" s="936"/>
      <c r="G313" s="936"/>
      <c r="H313" s="936"/>
      <c r="I313" s="936"/>
      <c r="J313" s="936"/>
      <c r="K313" s="936"/>
      <c r="L313" s="936"/>
    </row>
    <row r="314" spans="1:12" s="117" customFormat="1" ht="6" customHeight="1" hidden="1">
      <c r="A314" s="978"/>
      <c r="B314" s="978"/>
      <c r="C314" s="978"/>
      <c r="D314" s="978"/>
      <c r="E314" s="978"/>
      <c r="F314" s="978"/>
      <c r="G314" s="978"/>
      <c r="H314" s="978"/>
      <c r="I314" s="978"/>
      <c r="J314" s="978"/>
      <c r="K314" s="978"/>
      <c r="L314" s="978"/>
    </row>
    <row r="315" spans="1:12" s="117" customFormat="1" ht="12.75" hidden="1">
      <c r="A315" s="920" t="s">
        <v>75</v>
      </c>
      <c r="B315" s="920" t="s">
        <v>75</v>
      </c>
      <c r="C315" s="920" t="s">
        <v>75</v>
      </c>
      <c r="D315" s="920" t="s">
        <v>75</v>
      </c>
      <c r="E315" s="920" t="s">
        <v>75</v>
      </c>
      <c r="F315" s="115" t="s">
        <v>13</v>
      </c>
      <c r="G315" s="920" t="s">
        <v>75</v>
      </c>
      <c r="H315" s="920" t="s">
        <v>75</v>
      </c>
      <c r="I315" s="126">
        <f>J315+K315</f>
        <v>22286437</v>
      </c>
      <c r="J315" s="126">
        <v>11419095</v>
      </c>
      <c r="K315" s="126">
        <v>10867342</v>
      </c>
      <c r="L315" s="920" t="s">
        <v>75</v>
      </c>
    </row>
    <row r="316" spans="1:12" s="117" customFormat="1" ht="12.75" hidden="1">
      <c r="A316" s="921"/>
      <c r="B316" s="921"/>
      <c r="C316" s="921"/>
      <c r="D316" s="921"/>
      <c r="E316" s="921"/>
      <c r="F316" s="115" t="s">
        <v>14</v>
      </c>
      <c r="G316" s="921"/>
      <c r="H316" s="921"/>
      <c r="I316" s="126">
        <f>J316+K316</f>
        <v>0</v>
      </c>
      <c r="J316" s="126"/>
      <c r="K316" s="126"/>
      <c r="L316" s="921"/>
    </row>
    <row r="317" spans="1:12" s="117" customFormat="1" ht="12.75" hidden="1">
      <c r="A317" s="922"/>
      <c r="B317" s="922"/>
      <c r="C317" s="922"/>
      <c r="D317" s="922"/>
      <c r="E317" s="922"/>
      <c r="F317" s="115" t="s">
        <v>15</v>
      </c>
      <c r="G317" s="922"/>
      <c r="H317" s="922"/>
      <c r="I317" s="126">
        <f>I315+I316</f>
        <v>22286437</v>
      </c>
      <c r="J317" s="126">
        <f>J315+J316</f>
        <v>11419095</v>
      </c>
      <c r="K317" s="126">
        <f>K315+K316</f>
        <v>10867342</v>
      </c>
      <c r="L317" s="922"/>
    </row>
    <row r="318" spans="1:12" s="117" customFormat="1" ht="6" customHeight="1" hidden="1">
      <c r="A318" s="979" t="s">
        <v>347</v>
      </c>
      <c r="B318" s="979"/>
      <c r="C318" s="979"/>
      <c r="D318" s="979"/>
      <c r="E318" s="979"/>
      <c r="F318" s="979"/>
      <c r="G318" s="979"/>
      <c r="H318" s="979"/>
      <c r="I318" s="979"/>
      <c r="J318" s="979"/>
      <c r="K318" s="979"/>
      <c r="L318" s="979"/>
    </row>
    <row r="319" spans="1:12" s="110" customFormat="1" ht="15" customHeight="1">
      <c r="A319" s="980" t="s">
        <v>12</v>
      </c>
      <c r="B319" s="980"/>
      <c r="C319" s="980"/>
      <c r="D319" s="980"/>
      <c r="E319" s="981" t="s">
        <v>75</v>
      </c>
      <c r="F319" s="108" t="s">
        <v>13</v>
      </c>
      <c r="G319" s="981" t="s">
        <v>75</v>
      </c>
      <c r="H319" s="981" t="s">
        <v>75</v>
      </c>
      <c r="I319" s="109">
        <f aca="true" t="shared" si="26" ref="I319:K320">I13</f>
        <v>420661087</v>
      </c>
      <c r="J319" s="109">
        <f t="shared" si="26"/>
        <v>143362409</v>
      </c>
      <c r="K319" s="109">
        <f t="shared" si="26"/>
        <v>277298678</v>
      </c>
      <c r="L319" s="980" t="s">
        <v>75</v>
      </c>
    </row>
    <row r="320" spans="1:12" s="110" customFormat="1" ht="15" customHeight="1">
      <c r="A320" s="980"/>
      <c r="B320" s="980"/>
      <c r="C320" s="980"/>
      <c r="D320" s="980"/>
      <c r="E320" s="981"/>
      <c r="F320" s="108" t="s">
        <v>14</v>
      </c>
      <c r="G320" s="981"/>
      <c r="H320" s="981"/>
      <c r="I320" s="109">
        <f t="shared" si="26"/>
        <v>7870659</v>
      </c>
      <c r="J320" s="109">
        <f t="shared" si="26"/>
        <v>11004165</v>
      </c>
      <c r="K320" s="109">
        <f t="shared" si="26"/>
        <v>-3133506</v>
      </c>
      <c r="L320" s="980"/>
    </row>
    <row r="321" spans="1:12" s="110" customFormat="1" ht="15" customHeight="1">
      <c r="A321" s="980"/>
      <c r="B321" s="980"/>
      <c r="C321" s="980"/>
      <c r="D321" s="980"/>
      <c r="E321" s="981"/>
      <c r="F321" s="108" t="s">
        <v>15</v>
      </c>
      <c r="G321" s="981"/>
      <c r="H321" s="981"/>
      <c r="I321" s="109">
        <f>I319+I320</f>
        <v>428531746</v>
      </c>
      <c r="J321" s="109">
        <f>J319+J320</f>
        <v>154366574</v>
      </c>
      <c r="K321" s="109">
        <f>K319+K320</f>
        <v>274165172</v>
      </c>
      <c r="L321" s="980"/>
    </row>
    <row r="322" ht="2.25" customHeight="1"/>
    <row r="323" spans="1:16" s="3" customFormat="1" ht="12.75">
      <c r="A323" s="84" t="s">
        <v>11</v>
      </c>
      <c r="C323" s="81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</row>
    <row r="324" spans="1:16" s="3" customFormat="1" ht="11.25" customHeight="1">
      <c r="A324" s="84" t="s">
        <v>41</v>
      </c>
      <c r="C324" s="81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5"/>
      <c r="P324" s="53"/>
    </row>
    <row r="325" spans="1:16" s="3" customFormat="1" ht="11.25" customHeight="1">
      <c r="A325" s="84" t="s">
        <v>42</v>
      </c>
      <c r="C325" s="81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</row>
    <row r="326" spans="1:16" s="3" customFormat="1" ht="11.25" customHeight="1">
      <c r="A326" s="84" t="s">
        <v>43</v>
      </c>
      <c r="C326" s="81"/>
      <c r="D326" s="53"/>
      <c r="E326" s="53"/>
      <c r="F326" s="53"/>
      <c r="G326" s="55"/>
      <c r="H326" s="53"/>
      <c r="I326" s="53"/>
      <c r="J326" s="53"/>
      <c r="K326" s="53"/>
      <c r="L326" s="53"/>
      <c r="M326" s="53"/>
      <c r="N326" s="53"/>
      <c r="O326" s="53"/>
      <c r="P326" s="53"/>
    </row>
  </sheetData>
  <sheetProtection password="C25B" sheet="1"/>
  <mergeCells count="672">
    <mergeCell ref="G315:G317"/>
    <mergeCell ref="H315:H317"/>
    <mergeCell ref="L315:L317"/>
    <mergeCell ref="A318:L318"/>
    <mergeCell ref="A319:D321"/>
    <mergeCell ref="E319:E321"/>
    <mergeCell ref="G319:G321"/>
    <mergeCell ref="H319:H321"/>
    <mergeCell ref="L319:L321"/>
    <mergeCell ref="H309:H311"/>
    <mergeCell ref="L309:L311"/>
    <mergeCell ref="A312:L312"/>
    <mergeCell ref="B313:L313"/>
    <mergeCell ref="A314:L314"/>
    <mergeCell ref="A315:A317"/>
    <mergeCell ref="B315:B317"/>
    <mergeCell ref="C315:C317"/>
    <mergeCell ref="D315:D317"/>
    <mergeCell ref="E315:E317"/>
    <mergeCell ref="A309:A311"/>
    <mergeCell ref="B309:B311"/>
    <mergeCell ref="C309:C311"/>
    <mergeCell ref="D309:D311"/>
    <mergeCell ref="E309:E311"/>
    <mergeCell ref="G309:G311"/>
    <mergeCell ref="A303:D305"/>
    <mergeCell ref="E303:E305"/>
    <mergeCell ref="L303:L305"/>
    <mergeCell ref="A306:L306"/>
    <mergeCell ref="B307:L307"/>
    <mergeCell ref="A308:L308"/>
    <mergeCell ref="A299:A301"/>
    <mergeCell ref="B299:B301"/>
    <mergeCell ref="C299:C301"/>
    <mergeCell ref="D299:D301"/>
    <mergeCell ref="E299:E301"/>
    <mergeCell ref="L299:L301"/>
    <mergeCell ref="A296:A298"/>
    <mergeCell ref="B296:B298"/>
    <mergeCell ref="C296:C298"/>
    <mergeCell ref="D296:D298"/>
    <mergeCell ref="E296:E298"/>
    <mergeCell ref="L296:L298"/>
    <mergeCell ref="A293:A295"/>
    <mergeCell ref="B293:B295"/>
    <mergeCell ref="C293:C295"/>
    <mergeCell ref="D293:D295"/>
    <mergeCell ref="E293:E295"/>
    <mergeCell ref="L293:L295"/>
    <mergeCell ref="A290:A292"/>
    <mergeCell ref="B290:B292"/>
    <mergeCell ref="C290:C292"/>
    <mergeCell ref="D290:D292"/>
    <mergeCell ref="E290:E292"/>
    <mergeCell ref="L290:L292"/>
    <mergeCell ref="A287:A289"/>
    <mergeCell ref="B287:B289"/>
    <mergeCell ref="C287:C289"/>
    <mergeCell ref="D287:D289"/>
    <mergeCell ref="E287:E289"/>
    <mergeCell ref="L287:L289"/>
    <mergeCell ref="A284:A286"/>
    <mergeCell ref="B284:B286"/>
    <mergeCell ref="C284:C286"/>
    <mergeCell ref="D284:D286"/>
    <mergeCell ref="E284:E286"/>
    <mergeCell ref="L284:L286"/>
    <mergeCell ref="A281:A283"/>
    <mergeCell ref="B281:B283"/>
    <mergeCell ref="C281:C283"/>
    <mergeCell ref="D281:D283"/>
    <mergeCell ref="E281:E283"/>
    <mergeCell ref="L281:L283"/>
    <mergeCell ref="A278:A280"/>
    <mergeCell ref="B278:B280"/>
    <mergeCell ref="C278:C280"/>
    <mergeCell ref="D278:D280"/>
    <mergeCell ref="E278:E280"/>
    <mergeCell ref="L278:L280"/>
    <mergeCell ref="A275:A277"/>
    <mergeCell ref="B275:B277"/>
    <mergeCell ref="C275:C277"/>
    <mergeCell ref="D275:D277"/>
    <mergeCell ref="E275:E277"/>
    <mergeCell ref="L275:L277"/>
    <mergeCell ref="A272:A274"/>
    <mergeCell ref="B272:B274"/>
    <mergeCell ref="C272:C274"/>
    <mergeCell ref="D272:D274"/>
    <mergeCell ref="E272:E274"/>
    <mergeCell ref="L272:L274"/>
    <mergeCell ref="A7:A10"/>
    <mergeCell ref="B7:B10"/>
    <mergeCell ref="C7:C10"/>
    <mergeCell ref="D7:D10"/>
    <mergeCell ref="E7:E10"/>
    <mergeCell ref="F7:F10"/>
    <mergeCell ref="G7:G10"/>
    <mergeCell ref="H7:H10"/>
    <mergeCell ref="I7:K7"/>
    <mergeCell ref="L7:L10"/>
    <mergeCell ref="I8:I10"/>
    <mergeCell ref="J8:K8"/>
    <mergeCell ref="J9:J10"/>
    <mergeCell ref="K9:K10"/>
    <mergeCell ref="A13:A15"/>
    <mergeCell ref="B13:B15"/>
    <mergeCell ref="C13:C15"/>
    <mergeCell ref="D13:D15"/>
    <mergeCell ref="E13:E15"/>
    <mergeCell ref="G13:G15"/>
    <mergeCell ref="H13:H15"/>
    <mergeCell ref="L13:L15"/>
    <mergeCell ref="B17:L17"/>
    <mergeCell ref="A19:A21"/>
    <mergeCell ref="B19:B21"/>
    <mergeCell ref="C19:C21"/>
    <mergeCell ref="D19:D21"/>
    <mergeCell ref="E19:E21"/>
    <mergeCell ref="H19:H21"/>
    <mergeCell ref="L19:L21"/>
    <mergeCell ref="H25:H27"/>
    <mergeCell ref="L25:L27"/>
    <mergeCell ref="A22:A24"/>
    <mergeCell ref="B22:B24"/>
    <mergeCell ref="C22:C24"/>
    <mergeCell ref="D22:D24"/>
    <mergeCell ref="E22:E24"/>
    <mergeCell ref="H22:H24"/>
    <mergeCell ref="C28:C30"/>
    <mergeCell ref="D28:D30"/>
    <mergeCell ref="E28:E30"/>
    <mergeCell ref="H28:H30"/>
    <mergeCell ref="L22:L24"/>
    <mergeCell ref="A25:A27"/>
    <mergeCell ref="B25:B27"/>
    <mergeCell ref="C25:C27"/>
    <mergeCell ref="D25:D27"/>
    <mergeCell ref="E25:E27"/>
    <mergeCell ref="L28:L30"/>
    <mergeCell ref="A31:A33"/>
    <mergeCell ref="B31:B33"/>
    <mergeCell ref="C31:C33"/>
    <mergeCell ref="D31:D33"/>
    <mergeCell ref="E31:E33"/>
    <mergeCell ref="H31:H33"/>
    <mergeCell ref="L31:L33"/>
    <mergeCell ref="A28:A30"/>
    <mergeCell ref="B28:B30"/>
    <mergeCell ref="H37:H39"/>
    <mergeCell ref="L37:L39"/>
    <mergeCell ref="A34:A36"/>
    <mergeCell ref="B34:B36"/>
    <mergeCell ref="C34:C36"/>
    <mergeCell ref="D34:D36"/>
    <mergeCell ref="E34:E36"/>
    <mergeCell ref="H34:H36"/>
    <mergeCell ref="C40:C42"/>
    <mergeCell ref="D40:D42"/>
    <mergeCell ref="E40:E42"/>
    <mergeCell ref="H40:H42"/>
    <mergeCell ref="L34:L36"/>
    <mergeCell ref="A37:A39"/>
    <mergeCell ref="B37:B39"/>
    <mergeCell ref="C37:C39"/>
    <mergeCell ref="D37:D39"/>
    <mergeCell ref="E37:E39"/>
    <mergeCell ref="L40:L42"/>
    <mergeCell ref="A43:A45"/>
    <mergeCell ref="B43:B45"/>
    <mergeCell ref="C43:C45"/>
    <mergeCell ref="D43:D45"/>
    <mergeCell ref="E43:E45"/>
    <mergeCell ref="H43:H45"/>
    <mergeCell ref="L43:L45"/>
    <mergeCell ref="A40:A42"/>
    <mergeCell ref="B40:B42"/>
    <mergeCell ref="H55:H57"/>
    <mergeCell ref="L55:L57"/>
    <mergeCell ref="A52:A54"/>
    <mergeCell ref="B52:B54"/>
    <mergeCell ref="C52:C54"/>
    <mergeCell ref="D52:D54"/>
    <mergeCell ref="E52:E54"/>
    <mergeCell ref="H52:H54"/>
    <mergeCell ref="C58:C60"/>
    <mergeCell ref="D58:D60"/>
    <mergeCell ref="E58:E60"/>
    <mergeCell ref="H58:H60"/>
    <mergeCell ref="L52:L54"/>
    <mergeCell ref="A55:A57"/>
    <mergeCell ref="B55:B57"/>
    <mergeCell ref="C55:C57"/>
    <mergeCell ref="D55:D57"/>
    <mergeCell ref="E55:E57"/>
    <mergeCell ref="L58:L60"/>
    <mergeCell ref="A61:A63"/>
    <mergeCell ref="B61:B63"/>
    <mergeCell ref="C61:C63"/>
    <mergeCell ref="D61:D63"/>
    <mergeCell ref="E61:E63"/>
    <mergeCell ref="H61:H63"/>
    <mergeCell ref="L61:L63"/>
    <mergeCell ref="A58:A60"/>
    <mergeCell ref="B58:B60"/>
    <mergeCell ref="H67:H69"/>
    <mergeCell ref="L67:L69"/>
    <mergeCell ref="A64:A66"/>
    <mergeCell ref="B64:B66"/>
    <mergeCell ref="C64:C66"/>
    <mergeCell ref="D64:D66"/>
    <mergeCell ref="E64:E66"/>
    <mergeCell ref="H64:H66"/>
    <mergeCell ref="C70:C72"/>
    <mergeCell ref="D70:D72"/>
    <mergeCell ref="E70:E72"/>
    <mergeCell ref="H70:H72"/>
    <mergeCell ref="L64:L66"/>
    <mergeCell ref="A67:A69"/>
    <mergeCell ref="B67:B69"/>
    <mergeCell ref="C67:C69"/>
    <mergeCell ref="D67:D69"/>
    <mergeCell ref="E67:E69"/>
    <mergeCell ref="L70:L72"/>
    <mergeCell ref="A73:A75"/>
    <mergeCell ref="B73:B75"/>
    <mergeCell ref="C73:C75"/>
    <mergeCell ref="D73:D75"/>
    <mergeCell ref="E73:E75"/>
    <mergeCell ref="H73:H75"/>
    <mergeCell ref="L73:L75"/>
    <mergeCell ref="A70:A72"/>
    <mergeCell ref="B70:B72"/>
    <mergeCell ref="H79:H81"/>
    <mergeCell ref="L79:L81"/>
    <mergeCell ref="A76:A78"/>
    <mergeCell ref="B76:B78"/>
    <mergeCell ref="C76:C78"/>
    <mergeCell ref="D76:D78"/>
    <mergeCell ref="E76:E78"/>
    <mergeCell ref="H76:H78"/>
    <mergeCell ref="C82:C84"/>
    <mergeCell ref="D82:D84"/>
    <mergeCell ref="E82:E84"/>
    <mergeCell ref="H82:H84"/>
    <mergeCell ref="L76:L78"/>
    <mergeCell ref="A79:A81"/>
    <mergeCell ref="B79:B81"/>
    <mergeCell ref="C79:C81"/>
    <mergeCell ref="D79:D81"/>
    <mergeCell ref="E79:E81"/>
    <mergeCell ref="L82:L84"/>
    <mergeCell ref="A85:A87"/>
    <mergeCell ref="B85:B87"/>
    <mergeCell ref="C85:C87"/>
    <mergeCell ref="D85:D87"/>
    <mergeCell ref="E85:E87"/>
    <mergeCell ref="H85:H87"/>
    <mergeCell ref="L85:L87"/>
    <mergeCell ref="A82:A84"/>
    <mergeCell ref="B82:B84"/>
    <mergeCell ref="H91:H93"/>
    <mergeCell ref="L91:L93"/>
    <mergeCell ref="A88:A90"/>
    <mergeCell ref="B88:B90"/>
    <mergeCell ref="C88:C90"/>
    <mergeCell ref="D88:D90"/>
    <mergeCell ref="E88:E90"/>
    <mergeCell ref="H88:H90"/>
    <mergeCell ref="C94:C96"/>
    <mergeCell ref="D94:D96"/>
    <mergeCell ref="E94:E96"/>
    <mergeCell ref="H94:H96"/>
    <mergeCell ref="L88:L90"/>
    <mergeCell ref="A91:A93"/>
    <mergeCell ref="B91:B93"/>
    <mergeCell ref="C91:C93"/>
    <mergeCell ref="D91:D93"/>
    <mergeCell ref="E91:E93"/>
    <mergeCell ref="L94:L96"/>
    <mergeCell ref="A97:A99"/>
    <mergeCell ref="B97:B99"/>
    <mergeCell ref="C97:C99"/>
    <mergeCell ref="D97:D99"/>
    <mergeCell ref="E97:E99"/>
    <mergeCell ref="H97:H99"/>
    <mergeCell ref="L97:L99"/>
    <mergeCell ref="A94:A96"/>
    <mergeCell ref="B94:B96"/>
    <mergeCell ref="H103:H105"/>
    <mergeCell ref="L103:L105"/>
    <mergeCell ref="A100:A102"/>
    <mergeCell ref="B100:B102"/>
    <mergeCell ref="C100:C102"/>
    <mergeCell ref="D100:D102"/>
    <mergeCell ref="E100:E102"/>
    <mergeCell ref="H100:H102"/>
    <mergeCell ref="C106:C108"/>
    <mergeCell ref="D106:D108"/>
    <mergeCell ref="E106:E108"/>
    <mergeCell ref="H106:H108"/>
    <mergeCell ref="L100:L102"/>
    <mergeCell ref="A103:A105"/>
    <mergeCell ref="B103:B105"/>
    <mergeCell ref="C103:C105"/>
    <mergeCell ref="D103:D105"/>
    <mergeCell ref="E103:E105"/>
    <mergeCell ref="L106:L108"/>
    <mergeCell ref="A109:A111"/>
    <mergeCell ref="B109:B111"/>
    <mergeCell ref="C109:C111"/>
    <mergeCell ref="D109:D111"/>
    <mergeCell ref="E109:E111"/>
    <mergeCell ref="H109:H111"/>
    <mergeCell ref="L109:L111"/>
    <mergeCell ref="A106:A108"/>
    <mergeCell ref="B106:B108"/>
    <mergeCell ref="H118:H120"/>
    <mergeCell ref="L118:L120"/>
    <mergeCell ref="L115:L117"/>
    <mergeCell ref="A112:A114"/>
    <mergeCell ref="B112:B114"/>
    <mergeCell ref="C112:C114"/>
    <mergeCell ref="D112:D114"/>
    <mergeCell ref="E112:E114"/>
    <mergeCell ref="H112:H114"/>
    <mergeCell ref="C121:C123"/>
    <mergeCell ref="D121:D123"/>
    <mergeCell ref="E121:E123"/>
    <mergeCell ref="H121:H123"/>
    <mergeCell ref="L112:L114"/>
    <mergeCell ref="A118:A120"/>
    <mergeCell ref="B118:B120"/>
    <mergeCell ref="C118:C120"/>
    <mergeCell ref="D118:D120"/>
    <mergeCell ref="E118:E120"/>
    <mergeCell ref="L121:L123"/>
    <mergeCell ref="A124:A126"/>
    <mergeCell ref="B124:B126"/>
    <mergeCell ref="C124:C126"/>
    <mergeCell ref="D124:D126"/>
    <mergeCell ref="E124:E126"/>
    <mergeCell ref="H124:H126"/>
    <mergeCell ref="L124:L126"/>
    <mergeCell ref="A121:A123"/>
    <mergeCell ref="B121:B123"/>
    <mergeCell ref="H130:H132"/>
    <mergeCell ref="L130:L132"/>
    <mergeCell ref="A127:A129"/>
    <mergeCell ref="B127:B129"/>
    <mergeCell ref="C127:C129"/>
    <mergeCell ref="D127:D129"/>
    <mergeCell ref="E127:E129"/>
    <mergeCell ref="H127:H129"/>
    <mergeCell ref="C133:C135"/>
    <mergeCell ref="D133:D135"/>
    <mergeCell ref="E133:E135"/>
    <mergeCell ref="H133:H135"/>
    <mergeCell ref="L127:L129"/>
    <mergeCell ref="A130:A132"/>
    <mergeCell ref="B130:B132"/>
    <mergeCell ref="C130:C132"/>
    <mergeCell ref="D130:D132"/>
    <mergeCell ref="E130:E132"/>
    <mergeCell ref="L133:L135"/>
    <mergeCell ref="A136:A138"/>
    <mergeCell ref="B136:B138"/>
    <mergeCell ref="C136:C138"/>
    <mergeCell ref="D136:D138"/>
    <mergeCell ref="E136:E138"/>
    <mergeCell ref="H136:H138"/>
    <mergeCell ref="L136:L138"/>
    <mergeCell ref="A133:A135"/>
    <mergeCell ref="B133:B135"/>
    <mergeCell ref="H142:H144"/>
    <mergeCell ref="L142:L144"/>
    <mergeCell ref="A139:A141"/>
    <mergeCell ref="B139:B141"/>
    <mergeCell ref="C139:C141"/>
    <mergeCell ref="D139:D141"/>
    <mergeCell ref="E139:E141"/>
    <mergeCell ref="H139:H141"/>
    <mergeCell ref="C145:C147"/>
    <mergeCell ref="D145:D147"/>
    <mergeCell ref="E145:E147"/>
    <mergeCell ref="H145:H147"/>
    <mergeCell ref="L139:L141"/>
    <mergeCell ref="A142:A144"/>
    <mergeCell ref="B142:B144"/>
    <mergeCell ref="C142:C144"/>
    <mergeCell ref="D142:D144"/>
    <mergeCell ref="E142:E144"/>
    <mergeCell ref="L145:L147"/>
    <mergeCell ref="A148:A150"/>
    <mergeCell ref="B148:B150"/>
    <mergeCell ref="C148:C150"/>
    <mergeCell ref="D148:D150"/>
    <mergeCell ref="E148:E150"/>
    <mergeCell ref="H148:H150"/>
    <mergeCell ref="L148:L150"/>
    <mergeCell ref="A145:A147"/>
    <mergeCell ref="B145:B147"/>
    <mergeCell ref="H154:H156"/>
    <mergeCell ref="L154:L156"/>
    <mergeCell ref="A151:A153"/>
    <mergeCell ref="B151:B153"/>
    <mergeCell ref="C151:C153"/>
    <mergeCell ref="D151:D153"/>
    <mergeCell ref="E151:E153"/>
    <mergeCell ref="H151:H153"/>
    <mergeCell ref="C157:C159"/>
    <mergeCell ref="D157:D159"/>
    <mergeCell ref="E157:E159"/>
    <mergeCell ref="H157:H159"/>
    <mergeCell ref="L151:L153"/>
    <mergeCell ref="A154:A156"/>
    <mergeCell ref="B154:B156"/>
    <mergeCell ref="C154:C156"/>
    <mergeCell ref="D154:D156"/>
    <mergeCell ref="E154:E156"/>
    <mergeCell ref="L157:L159"/>
    <mergeCell ref="A160:A162"/>
    <mergeCell ref="B160:B162"/>
    <mergeCell ref="C160:C162"/>
    <mergeCell ref="D160:D162"/>
    <mergeCell ref="E160:E162"/>
    <mergeCell ref="H160:H162"/>
    <mergeCell ref="L160:L162"/>
    <mergeCell ref="A157:A159"/>
    <mergeCell ref="B157:B159"/>
    <mergeCell ref="H169:H171"/>
    <mergeCell ref="L169:L171"/>
    <mergeCell ref="H166:H168"/>
    <mergeCell ref="L166:L168"/>
    <mergeCell ref="A163:A165"/>
    <mergeCell ref="B163:B165"/>
    <mergeCell ref="C163:C165"/>
    <mergeCell ref="D163:D165"/>
    <mergeCell ref="E163:E165"/>
    <mergeCell ref="H163:H165"/>
    <mergeCell ref="C172:C174"/>
    <mergeCell ref="D172:D174"/>
    <mergeCell ref="E172:E174"/>
    <mergeCell ref="H172:H174"/>
    <mergeCell ref="L163:L165"/>
    <mergeCell ref="A169:A171"/>
    <mergeCell ref="B169:B171"/>
    <mergeCell ref="C169:C171"/>
    <mergeCell ref="D169:D171"/>
    <mergeCell ref="E169:E171"/>
    <mergeCell ref="L172:L174"/>
    <mergeCell ref="A175:A177"/>
    <mergeCell ref="B175:B177"/>
    <mergeCell ref="C175:C177"/>
    <mergeCell ref="D175:D177"/>
    <mergeCell ref="E175:E177"/>
    <mergeCell ref="H175:H177"/>
    <mergeCell ref="L175:L177"/>
    <mergeCell ref="A172:A174"/>
    <mergeCell ref="B172:B174"/>
    <mergeCell ref="A178:A180"/>
    <mergeCell ref="B178:B180"/>
    <mergeCell ref="C178:C180"/>
    <mergeCell ref="D178:D180"/>
    <mergeCell ref="E178:E180"/>
    <mergeCell ref="H178:H180"/>
    <mergeCell ref="L178:L180"/>
    <mergeCell ref="A184:A186"/>
    <mergeCell ref="B184:B186"/>
    <mergeCell ref="C184:C186"/>
    <mergeCell ref="D184:D186"/>
    <mergeCell ref="E184:E186"/>
    <mergeCell ref="H184:H186"/>
    <mergeCell ref="L184:L186"/>
    <mergeCell ref="A181:A183"/>
    <mergeCell ref="B181:B183"/>
    <mergeCell ref="A187:A189"/>
    <mergeCell ref="B187:B189"/>
    <mergeCell ref="C187:C189"/>
    <mergeCell ref="D187:D189"/>
    <mergeCell ref="E187:E189"/>
    <mergeCell ref="H187:H189"/>
    <mergeCell ref="E193:E195"/>
    <mergeCell ref="H193:H195"/>
    <mergeCell ref="L187:L189"/>
    <mergeCell ref="A190:A192"/>
    <mergeCell ref="B190:B192"/>
    <mergeCell ref="C190:C192"/>
    <mergeCell ref="D190:D192"/>
    <mergeCell ref="E190:E192"/>
    <mergeCell ref="H190:H192"/>
    <mergeCell ref="L190:L192"/>
    <mergeCell ref="L193:L195"/>
    <mergeCell ref="A197:D199"/>
    <mergeCell ref="E197:E199"/>
    <mergeCell ref="H197:H199"/>
    <mergeCell ref="L197:L199"/>
    <mergeCell ref="A200:L200"/>
    <mergeCell ref="A193:A195"/>
    <mergeCell ref="B193:B195"/>
    <mergeCell ref="C193:C195"/>
    <mergeCell ref="D193:D195"/>
    <mergeCell ref="B201:L201"/>
    <mergeCell ref="A203:A205"/>
    <mergeCell ref="B203:B205"/>
    <mergeCell ref="C203:C205"/>
    <mergeCell ref="D203:D205"/>
    <mergeCell ref="E203:E205"/>
    <mergeCell ref="L203:L205"/>
    <mergeCell ref="A206:A208"/>
    <mergeCell ref="B206:B208"/>
    <mergeCell ref="C206:C208"/>
    <mergeCell ref="D206:D208"/>
    <mergeCell ref="E206:E208"/>
    <mergeCell ref="L206:L208"/>
    <mergeCell ref="A209:A211"/>
    <mergeCell ref="B209:B211"/>
    <mergeCell ref="C209:C211"/>
    <mergeCell ref="D209:D211"/>
    <mergeCell ref="E209:E211"/>
    <mergeCell ref="L209:L211"/>
    <mergeCell ref="A212:A214"/>
    <mergeCell ref="B212:B214"/>
    <mergeCell ref="C212:C214"/>
    <mergeCell ref="D212:D214"/>
    <mergeCell ref="E212:E214"/>
    <mergeCell ref="L212:L214"/>
    <mergeCell ref="A215:A217"/>
    <mergeCell ref="B215:B217"/>
    <mergeCell ref="C215:C217"/>
    <mergeCell ref="D215:D217"/>
    <mergeCell ref="E215:E217"/>
    <mergeCell ref="L215:L217"/>
    <mergeCell ref="A218:A220"/>
    <mergeCell ref="B218:B220"/>
    <mergeCell ref="C218:C220"/>
    <mergeCell ref="D218:D220"/>
    <mergeCell ref="E218:E220"/>
    <mergeCell ref="L218:L220"/>
    <mergeCell ref="A221:A223"/>
    <mergeCell ref="B221:B223"/>
    <mergeCell ref="C221:C223"/>
    <mergeCell ref="D221:D223"/>
    <mergeCell ref="E221:E223"/>
    <mergeCell ref="L221:L223"/>
    <mergeCell ref="A224:A226"/>
    <mergeCell ref="B224:B226"/>
    <mergeCell ref="C224:C226"/>
    <mergeCell ref="D224:D226"/>
    <mergeCell ref="E224:E226"/>
    <mergeCell ref="L224:L226"/>
    <mergeCell ref="A5:L5"/>
    <mergeCell ref="A227:A229"/>
    <mergeCell ref="B227:B229"/>
    <mergeCell ref="C227:C229"/>
    <mergeCell ref="D227:D229"/>
    <mergeCell ref="E227:E229"/>
    <mergeCell ref="L227:L229"/>
    <mergeCell ref="A46:A48"/>
    <mergeCell ref="B46:B48"/>
    <mergeCell ref="C46:C48"/>
    <mergeCell ref="A230:A232"/>
    <mergeCell ref="B230:B232"/>
    <mergeCell ref="C230:C232"/>
    <mergeCell ref="D230:D232"/>
    <mergeCell ref="E230:E232"/>
    <mergeCell ref="L230:L232"/>
    <mergeCell ref="A233:A235"/>
    <mergeCell ref="B233:B235"/>
    <mergeCell ref="C233:C235"/>
    <mergeCell ref="D233:D235"/>
    <mergeCell ref="E233:E235"/>
    <mergeCell ref="L233:L235"/>
    <mergeCell ref="A236:A238"/>
    <mergeCell ref="B236:B238"/>
    <mergeCell ref="C236:C238"/>
    <mergeCell ref="D236:D238"/>
    <mergeCell ref="E236:E238"/>
    <mergeCell ref="L236:L238"/>
    <mergeCell ref="A239:A241"/>
    <mergeCell ref="B239:B241"/>
    <mergeCell ref="C239:C241"/>
    <mergeCell ref="D239:D241"/>
    <mergeCell ref="E239:E241"/>
    <mergeCell ref="L239:L241"/>
    <mergeCell ref="A242:A244"/>
    <mergeCell ref="B242:B244"/>
    <mergeCell ref="C242:C244"/>
    <mergeCell ref="D242:D244"/>
    <mergeCell ref="E242:E244"/>
    <mergeCell ref="L242:L244"/>
    <mergeCell ref="A245:A247"/>
    <mergeCell ref="B245:B247"/>
    <mergeCell ref="C245:C247"/>
    <mergeCell ref="D245:D247"/>
    <mergeCell ref="E245:E247"/>
    <mergeCell ref="L245:L247"/>
    <mergeCell ref="A248:A250"/>
    <mergeCell ref="B248:B250"/>
    <mergeCell ref="C248:C250"/>
    <mergeCell ref="D248:D250"/>
    <mergeCell ref="E248:E250"/>
    <mergeCell ref="L248:L250"/>
    <mergeCell ref="A251:A253"/>
    <mergeCell ref="B251:B253"/>
    <mergeCell ref="C251:C253"/>
    <mergeCell ref="D251:D253"/>
    <mergeCell ref="E251:E253"/>
    <mergeCell ref="L251:L253"/>
    <mergeCell ref="A254:A256"/>
    <mergeCell ref="B254:B256"/>
    <mergeCell ref="C254:C256"/>
    <mergeCell ref="D254:D256"/>
    <mergeCell ref="E254:E256"/>
    <mergeCell ref="L254:L256"/>
    <mergeCell ref="A257:A259"/>
    <mergeCell ref="B257:B259"/>
    <mergeCell ref="C257:C259"/>
    <mergeCell ref="D257:D259"/>
    <mergeCell ref="E257:E259"/>
    <mergeCell ref="L257:L259"/>
    <mergeCell ref="A260:A262"/>
    <mergeCell ref="B260:B262"/>
    <mergeCell ref="C260:C262"/>
    <mergeCell ref="D260:D262"/>
    <mergeCell ref="E260:E262"/>
    <mergeCell ref="L260:L262"/>
    <mergeCell ref="A263:A265"/>
    <mergeCell ref="B263:B265"/>
    <mergeCell ref="C263:C265"/>
    <mergeCell ref="D263:D265"/>
    <mergeCell ref="E263:E265"/>
    <mergeCell ref="L263:L265"/>
    <mergeCell ref="A266:A268"/>
    <mergeCell ref="B266:B268"/>
    <mergeCell ref="C266:C268"/>
    <mergeCell ref="D266:D268"/>
    <mergeCell ref="E266:E268"/>
    <mergeCell ref="L266:L268"/>
    <mergeCell ref="A269:A271"/>
    <mergeCell ref="B269:B271"/>
    <mergeCell ref="C269:C271"/>
    <mergeCell ref="D269:D271"/>
    <mergeCell ref="E269:E271"/>
    <mergeCell ref="L269:L271"/>
    <mergeCell ref="D46:D48"/>
    <mergeCell ref="E46:E48"/>
    <mergeCell ref="H46:H48"/>
    <mergeCell ref="L46:L48"/>
    <mergeCell ref="A115:A117"/>
    <mergeCell ref="B115:B117"/>
    <mergeCell ref="C115:C117"/>
    <mergeCell ref="D115:D117"/>
    <mergeCell ref="E115:E117"/>
    <mergeCell ref="H115:H117"/>
    <mergeCell ref="C181:C183"/>
    <mergeCell ref="D181:D183"/>
    <mergeCell ref="E181:E183"/>
    <mergeCell ref="H181:H183"/>
    <mergeCell ref="L181:L183"/>
    <mergeCell ref="A166:A168"/>
    <mergeCell ref="B166:B168"/>
    <mergeCell ref="C166:C168"/>
    <mergeCell ref="D166:D168"/>
    <mergeCell ref="E166:E168"/>
    <mergeCell ref="L49:L51"/>
    <mergeCell ref="A49:A51"/>
    <mergeCell ref="B49:B51"/>
    <mergeCell ref="C49:C51"/>
    <mergeCell ref="D49:D51"/>
    <mergeCell ref="E49:E51"/>
    <mergeCell ref="H49:H51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34"/>
  <sheetViews>
    <sheetView view="pageBreakPreview" zoomScaleNormal="75" zoomScaleSheetLayoutView="100" zoomScalePageLayoutView="0" workbookViewId="0" topLeftCell="A582">
      <selection activeCell="E601" sqref="E601:F603"/>
    </sheetView>
  </sheetViews>
  <sheetFormatPr defaultColWidth="8" defaultRowHeight="14.25"/>
  <cols>
    <col min="1" max="1" width="2.19921875" style="611" customWidth="1"/>
    <col min="2" max="2" width="3.3984375" style="611" customWidth="1"/>
    <col min="3" max="3" width="3.5" style="611" customWidth="1"/>
    <col min="4" max="4" width="5.3984375" style="611" customWidth="1"/>
    <col min="5" max="5" width="9.59765625" style="613" customWidth="1"/>
    <col min="6" max="6" width="49.3984375" style="604" customWidth="1"/>
    <col min="7" max="7" width="2.3984375" style="605" customWidth="1"/>
    <col min="8" max="8" width="12.3984375" style="606" customWidth="1"/>
    <col min="9" max="9" width="12.59765625" style="607" customWidth="1"/>
    <col min="10" max="14" width="12.19921875" style="607" customWidth="1"/>
    <col min="15" max="16384" width="8" style="614" customWidth="1"/>
  </cols>
  <sheetData>
    <row r="1" spans="4:14" s="454" customFormat="1" ht="14.25" customHeight="1">
      <c r="D1" s="455"/>
      <c r="E1" s="456"/>
      <c r="F1" s="457"/>
      <c r="G1" s="456"/>
      <c r="H1" s="458"/>
      <c r="I1" s="457"/>
      <c r="J1" s="457"/>
      <c r="K1" s="457"/>
      <c r="L1" s="1142" t="s">
        <v>1090</v>
      </c>
      <c r="M1" s="1142"/>
      <c r="N1" s="1142"/>
    </row>
    <row r="2" spans="3:14" s="454" customFormat="1" ht="13.5" customHeight="1">
      <c r="C2" s="459" t="s">
        <v>877</v>
      </c>
      <c r="D2" s="459"/>
      <c r="E2" s="456"/>
      <c r="F2" s="457"/>
      <c r="G2" s="456"/>
      <c r="H2" s="458"/>
      <c r="I2" s="457"/>
      <c r="J2" s="460"/>
      <c r="K2" s="460"/>
      <c r="L2" s="457" t="s">
        <v>878</v>
      </c>
      <c r="M2" s="460"/>
      <c r="N2" s="460"/>
    </row>
    <row r="3" spans="4:14" s="454" customFormat="1" ht="8.25" customHeight="1">
      <c r="D3" s="459"/>
      <c r="E3" s="456"/>
      <c r="F3" s="457"/>
      <c r="G3" s="456"/>
      <c r="H3" s="458"/>
      <c r="I3" s="457"/>
      <c r="J3" s="460"/>
      <c r="K3" s="460"/>
      <c r="L3" s="457"/>
      <c r="M3" s="460"/>
      <c r="N3" s="460"/>
    </row>
    <row r="4" spans="1:14" s="454" customFormat="1" ht="30.75" customHeight="1">
      <c r="A4" s="1143" t="s">
        <v>879</v>
      </c>
      <c r="B4" s="1144"/>
      <c r="C4" s="1144"/>
      <c r="D4" s="1144"/>
      <c r="E4" s="1144"/>
      <c r="F4" s="1144"/>
      <c r="G4" s="1144"/>
      <c r="H4" s="1144"/>
      <c r="I4" s="1144"/>
      <c r="J4" s="1144"/>
      <c r="K4" s="1144"/>
      <c r="L4" s="1144"/>
      <c r="M4" s="1144"/>
      <c r="N4" s="1144"/>
    </row>
    <row r="5" spans="1:14" s="454" customFormat="1" ht="9.75" customHeight="1">
      <c r="A5" s="461"/>
      <c r="B5" s="461"/>
      <c r="C5" s="461"/>
      <c r="D5" s="461"/>
      <c r="E5" s="462"/>
      <c r="F5" s="460"/>
      <c r="G5" s="463"/>
      <c r="H5" s="464"/>
      <c r="I5" s="455"/>
      <c r="J5" s="455"/>
      <c r="K5" s="455"/>
      <c r="L5" s="455"/>
      <c r="M5" s="455"/>
      <c r="N5" s="455" t="s">
        <v>0</v>
      </c>
    </row>
    <row r="6" spans="1:14" s="467" customFormat="1" ht="30.75" customHeight="1">
      <c r="A6" s="1145" t="s">
        <v>880</v>
      </c>
      <c r="B6" s="1146"/>
      <c r="C6" s="1145" t="s">
        <v>8</v>
      </c>
      <c r="D6" s="1146"/>
      <c r="E6" s="1145" t="s">
        <v>881</v>
      </c>
      <c r="F6" s="1151"/>
      <c r="G6" s="1154" t="s">
        <v>11</v>
      </c>
      <c r="H6" s="1157" t="s">
        <v>84</v>
      </c>
      <c r="I6" s="1160" t="s">
        <v>882</v>
      </c>
      <c r="J6" s="1161"/>
      <c r="K6" s="1162"/>
      <c r="L6" s="1160" t="s">
        <v>883</v>
      </c>
      <c r="M6" s="1161"/>
      <c r="N6" s="1162"/>
    </row>
    <row r="7" spans="1:14" s="467" customFormat="1" ht="15.75" customHeight="1">
      <c r="A7" s="1147"/>
      <c r="B7" s="1148"/>
      <c r="C7" s="1147"/>
      <c r="D7" s="1148"/>
      <c r="E7" s="1152"/>
      <c r="F7" s="1153"/>
      <c r="G7" s="1155"/>
      <c r="H7" s="1158"/>
      <c r="I7" s="1129" t="s">
        <v>884</v>
      </c>
      <c r="J7" s="465" t="s">
        <v>46</v>
      </c>
      <c r="K7" s="466"/>
      <c r="L7" s="1129" t="s">
        <v>884</v>
      </c>
      <c r="M7" s="465" t="s">
        <v>46</v>
      </c>
      <c r="N7" s="466"/>
    </row>
    <row r="8" spans="1:14" s="467" customFormat="1" ht="15.75" customHeight="1">
      <c r="A8" s="1149"/>
      <c r="B8" s="1150"/>
      <c r="C8" s="1149"/>
      <c r="D8" s="1150"/>
      <c r="E8" s="468" t="s">
        <v>565</v>
      </c>
      <c r="F8" s="469"/>
      <c r="G8" s="1156"/>
      <c r="H8" s="1159"/>
      <c r="I8" s="1130"/>
      <c r="J8" s="466" t="s">
        <v>885</v>
      </c>
      <c r="K8" s="470" t="s">
        <v>886</v>
      </c>
      <c r="L8" s="1130"/>
      <c r="M8" s="466" t="s">
        <v>885</v>
      </c>
      <c r="N8" s="470" t="s">
        <v>886</v>
      </c>
    </row>
    <row r="9" spans="1:14" s="474" customFormat="1" ht="11.25" customHeight="1">
      <c r="A9" s="1131">
        <v>1</v>
      </c>
      <c r="B9" s="1132"/>
      <c r="C9" s="1131">
        <v>2</v>
      </c>
      <c r="D9" s="1132"/>
      <c r="E9" s="471">
        <v>3</v>
      </c>
      <c r="F9" s="471">
        <v>4</v>
      </c>
      <c r="G9" s="472"/>
      <c r="H9" s="471">
        <v>5</v>
      </c>
      <c r="I9" s="473">
        <v>6</v>
      </c>
      <c r="J9" s="473">
        <v>7</v>
      </c>
      <c r="K9" s="473">
        <v>8</v>
      </c>
      <c r="L9" s="473">
        <v>9</v>
      </c>
      <c r="M9" s="473">
        <v>10</v>
      </c>
      <c r="N9" s="473">
        <v>11</v>
      </c>
    </row>
    <row r="10" spans="1:14" s="482" customFormat="1" ht="3.75" customHeight="1">
      <c r="A10" s="475"/>
      <c r="B10" s="476"/>
      <c r="C10" s="476"/>
      <c r="D10" s="476"/>
      <c r="E10" s="477"/>
      <c r="F10" s="477"/>
      <c r="G10" s="478"/>
      <c r="H10" s="479"/>
      <c r="I10" s="480"/>
      <c r="J10" s="480"/>
      <c r="K10" s="480"/>
      <c r="L10" s="480"/>
      <c r="M10" s="480"/>
      <c r="N10" s="481"/>
    </row>
    <row r="11" spans="1:14" s="486" customFormat="1" ht="16.5" customHeight="1">
      <c r="A11" s="1133" t="s">
        <v>12</v>
      </c>
      <c r="B11" s="1134"/>
      <c r="C11" s="1134"/>
      <c r="D11" s="1134"/>
      <c r="E11" s="1134"/>
      <c r="F11" s="1135"/>
      <c r="G11" s="483" t="s">
        <v>13</v>
      </c>
      <c r="H11" s="484">
        <f>I11+L11</f>
        <v>445048222</v>
      </c>
      <c r="I11" s="485">
        <f>J11+K11</f>
        <v>256569317</v>
      </c>
      <c r="J11" s="485">
        <f aca="true" t="shared" si="0" ref="J11:K13">J15+J35+J173</f>
        <v>139484103</v>
      </c>
      <c r="K11" s="485">
        <f t="shared" si="0"/>
        <v>117085214</v>
      </c>
      <c r="L11" s="485">
        <f>M11+N11</f>
        <v>188478905</v>
      </c>
      <c r="M11" s="485">
        <f aca="true" t="shared" si="1" ref="M11:N13">M15+M35+M173</f>
        <v>3205572</v>
      </c>
      <c r="N11" s="485">
        <f t="shared" si="1"/>
        <v>185273333</v>
      </c>
    </row>
    <row r="12" spans="1:14" s="486" customFormat="1" ht="16.5" customHeight="1">
      <c r="A12" s="1136"/>
      <c r="B12" s="1137"/>
      <c r="C12" s="1137"/>
      <c r="D12" s="1137"/>
      <c r="E12" s="1137"/>
      <c r="F12" s="1138"/>
      <c r="G12" s="487" t="s">
        <v>14</v>
      </c>
      <c r="H12" s="484">
        <f>I12+L12</f>
        <v>20261516</v>
      </c>
      <c r="I12" s="485">
        <f>J12+K12</f>
        <v>3770320</v>
      </c>
      <c r="J12" s="485">
        <f t="shared" si="0"/>
        <v>-10093768</v>
      </c>
      <c r="K12" s="485">
        <f t="shared" si="0"/>
        <v>13864088</v>
      </c>
      <c r="L12" s="485">
        <f>M12+N12</f>
        <v>16491196</v>
      </c>
      <c r="M12" s="485">
        <f t="shared" si="1"/>
        <v>-2189</v>
      </c>
      <c r="N12" s="485">
        <f t="shared" si="1"/>
        <v>16493385</v>
      </c>
    </row>
    <row r="13" spans="1:14" s="486" customFormat="1" ht="16.5" customHeight="1">
      <c r="A13" s="1139"/>
      <c r="B13" s="1140"/>
      <c r="C13" s="1140"/>
      <c r="D13" s="1140"/>
      <c r="E13" s="1140"/>
      <c r="F13" s="1141"/>
      <c r="G13" s="488" t="s">
        <v>15</v>
      </c>
      <c r="H13" s="484">
        <f>I13+L13</f>
        <v>465309738</v>
      </c>
      <c r="I13" s="485">
        <f>J13+K13</f>
        <v>260339637</v>
      </c>
      <c r="J13" s="485">
        <f t="shared" si="0"/>
        <v>129390335</v>
      </c>
      <c r="K13" s="485">
        <f t="shared" si="0"/>
        <v>130949302</v>
      </c>
      <c r="L13" s="485">
        <f>M13+N13</f>
        <v>204970101</v>
      </c>
      <c r="M13" s="485">
        <f t="shared" si="1"/>
        <v>3203383</v>
      </c>
      <c r="N13" s="485">
        <f t="shared" si="1"/>
        <v>201766718</v>
      </c>
    </row>
    <row r="14" spans="1:14" s="497" customFormat="1" ht="3.75" customHeight="1">
      <c r="A14" s="489"/>
      <c r="B14" s="490"/>
      <c r="C14" s="490"/>
      <c r="D14" s="490"/>
      <c r="E14" s="491"/>
      <c r="F14" s="492"/>
      <c r="G14" s="493"/>
      <c r="H14" s="494"/>
      <c r="I14" s="495"/>
      <c r="J14" s="495"/>
      <c r="K14" s="495"/>
      <c r="L14" s="495"/>
      <c r="M14" s="495"/>
      <c r="N14" s="496"/>
    </row>
    <row r="15" spans="1:14" s="501" customFormat="1" ht="18" customHeight="1" hidden="1">
      <c r="A15" s="1068" t="s">
        <v>887</v>
      </c>
      <c r="B15" s="1069"/>
      <c r="C15" s="1069"/>
      <c r="D15" s="1069"/>
      <c r="E15" s="1069"/>
      <c r="F15" s="1070"/>
      <c r="G15" s="498" t="s">
        <v>13</v>
      </c>
      <c r="H15" s="499">
        <f>I15+L15</f>
        <v>99222735</v>
      </c>
      <c r="I15" s="500">
        <f>J15+K15</f>
        <v>0</v>
      </c>
      <c r="J15" s="499">
        <f aca="true" t="shared" si="2" ref="J15:K17">J19+J22+J25+J28+J31</f>
        <v>0</v>
      </c>
      <c r="K15" s="499">
        <f t="shared" si="2"/>
        <v>0</v>
      </c>
      <c r="L15" s="499">
        <f>M15+N15</f>
        <v>99222735</v>
      </c>
      <c r="M15" s="499">
        <f aca="true" t="shared" si="3" ref="M15:N17">M19+M22+M25+M28+M31</f>
        <v>0</v>
      </c>
      <c r="N15" s="499">
        <f t="shared" si="3"/>
        <v>99222735</v>
      </c>
    </row>
    <row r="16" spans="1:14" s="501" customFormat="1" ht="18" customHeight="1" hidden="1">
      <c r="A16" s="1122"/>
      <c r="B16" s="1123"/>
      <c r="C16" s="1123"/>
      <c r="D16" s="1123"/>
      <c r="E16" s="1123"/>
      <c r="F16" s="1124"/>
      <c r="G16" s="502" t="s">
        <v>14</v>
      </c>
      <c r="H16" s="499">
        <f>I16+L16</f>
        <v>0</v>
      </c>
      <c r="I16" s="500">
        <f>J16+K16</f>
        <v>0</v>
      </c>
      <c r="J16" s="499">
        <f t="shared" si="2"/>
        <v>0</v>
      </c>
      <c r="K16" s="499">
        <f t="shared" si="2"/>
        <v>0</v>
      </c>
      <c r="L16" s="499">
        <f>M16+N16</f>
        <v>0</v>
      </c>
      <c r="M16" s="499">
        <f t="shared" si="3"/>
        <v>0</v>
      </c>
      <c r="N16" s="499">
        <f t="shared" si="3"/>
        <v>0</v>
      </c>
    </row>
    <row r="17" spans="1:14" s="501" customFormat="1" ht="18" customHeight="1" hidden="1">
      <c r="A17" s="1125"/>
      <c r="B17" s="1126"/>
      <c r="C17" s="1126"/>
      <c r="D17" s="1126"/>
      <c r="E17" s="1126"/>
      <c r="F17" s="1127"/>
      <c r="G17" s="503" t="s">
        <v>15</v>
      </c>
      <c r="H17" s="499">
        <f>I17+L17</f>
        <v>99222735</v>
      </c>
      <c r="I17" s="500">
        <f>J17+K17</f>
        <v>0</v>
      </c>
      <c r="J17" s="499">
        <f t="shared" si="2"/>
        <v>0</v>
      </c>
      <c r="K17" s="499">
        <f t="shared" si="2"/>
        <v>0</v>
      </c>
      <c r="L17" s="499">
        <f>M17+N17</f>
        <v>99222735</v>
      </c>
      <c r="M17" s="499">
        <f t="shared" si="3"/>
        <v>0</v>
      </c>
      <c r="N17" s="499">
        <f t="shared" si="3"/>
        <v>99222735</v>
      </c>
    </row>
    <row r="18" spans="1:14" s="497" customFormat="1" ht="3" customHeight="1" hidden="1">
      <c r="A18" s="504"/>
      <c r="B18" s="505"/>
      <c r="C18" s="505"/>
      <c r="D18" s="505"/>
      <c r="E18" s="506"/>
      <c r="F18" s="506"/>
      <c r="G18" s="507"/>
      <c r="H18" s="508"/>
      <c r="I18" s="509"/>
      <c r="J18" s="509"/>
      <c r="K18" s="509"/>
      <c r="L18" s="509"/>
      <c r="M18" s="509"/>
      <c r="N18" s="510"/>
    </row>
    <row r="19" spans="1:14" s="514" customFormat="1" ht="15" customHeight="1" hidden="1">
      <c r="A19" s="993" t="s">
        <v>19</v>
      </c>
      <c r="B19" s="994"/>
      <c r="C19" s="993" t="s">
        <v>111</v>
      </c>
      <c r="D19" s="994"/>
      <c r="E19" s="995" t="s">
        <v>888</v>
      </c>
      <c r="F19" s="996"/>
      <c r="G19" s="511" t="s">
        <v>13</v>
      </c>
      <c r="H19" s="512">
        <f aca="true" t="shared" si="4" ref="H19:H33">I19+L19</f>
        <v>95149735</v>
      </c>
      <c r="I19" s="513">
        <f aca="true" t="shared" si="5" ref="I19:I33">J19+K19</f>
        <v>0</v>
      </c>
      <c r="J19" s="513">
        <v>0</v>
      </c>
      <c r="K19" s="513">
        <v>0</v>
      </c>
      <c r="L19" s="513">
        <f aca="true" t="shared" si="6" ref="L19:L33">M19+N19</f>
        <v>95149735</v>
      </c>
      <c r="M19" s="513">
        <v>0</v>
      </c>
      <c r="N19" s="513">
        <v>95149735</v>
      </c>
    </row>
    <row r="20" spans="1:14" s="514" customFormat="1" ht="15" customHeight="1" hidden="1">
      <c r="A20" s="1003"/>
      <c r="B20" s="1004"/>
      <c r="C20" s="1003"/>
      <c r="D20" s="1004"/>
      <c r="E20" s="1024"/>
      <c r="F20" s="1025"/>
      <c r="G20" s="515" t="s">
        <v>14</v>
      </c>
      <c r="H20" s="512">
        <f t="shared" si="4"/>
        <v>0</v>
      </c>
      <c r="I20" s="513">
        <f t="shared" si="5"/>
        <v>0</v>
      </c>
      <c r="J20" s="513">
        <v>0</v>
      </c>
      <c r="K20" s="513">
        <v>0</v>
      </c>
      <c r="L20" s="513">
        <f t="shared" si="6"/>
        <v>0</v>
      </c>
      <c r="M20" s="513">
        <v>0</v>
      </c>
      <c r="N20" s="513">
        <v>0</v>
      </c>
    </row>
    <row r="21" spans="1:14" s="514" customFormat="1" ht="15" customHeight="1" hidden="1">
      <c r="A21" s="1003"/>
      <c r="B21" s="1004"/>
      <c r="C21" s="1003"/>
      <c r="D21" s="1004"/>
      <c r="E21" s="1026"/>
      <c r="F21" s="1027"/>
      <c r="G21" s="516" t="s">
        <v>15</v>
      </c>
      <c r="H21" s="512">
        <f t="shared" si="4"/>
        <v>95149735</v>
      </c>
      <c r="I21" s="513">
        <f t="shared" si="5"/>
        <v>0</v>
      </c>
      <c r="J21" s="513">
        <f>J19+J20</f>
        <v>0</v>
      </c>
      <c r="K21" s="513">
        <f>K19+K20</f>
        <v>0</v>
      </c>
      <c r="L21" s="513">
        <f t="shared" si="6"/>
        <v>95149735</v>
      </c>
      <c r="M21" s="513">
        <f>M19+M20</f>
        <v>0</v>
      </c>
      <c r="N21" s="513">
        <f>N19+N20</f>
        <v>95149735</v>
      </c>
    </row>
    <row r="22" spans="1:14" s="514" customFormat="1" ht="15" customHeight="1" hidden="1">
      <c r="A22" s="1003"/>
      <c r="B22" s="1004"/>
      <c r="C22" s="1003"/>
      <c r="D22" s="1004"/>
      <c r="E22" s="995" t="s">
        <v>889</v>
      </c>
      <c r="F22" s="996"/>
      <c r="G22" s="511" t="s">
        <v>13</v>
      </c>
      <c r="H22" s="512">
        <f t="shared" si="4"/>
        <v>547000</v>
      </c>
      <c r="I22" s="513">
        <f t="shared" si="5"/>
        <v>0</v>
      </c>
      <c r="J22" s="513">
        <v>0</v>
      </c>
      <c r="K22" s="513">
        <v>0</v>
      </c>
      <c r="L22" s="513">
        <f t="shared" si="6"/>
        <v>547000</v>
      </c>
      <c r="M22" s="513">
        <v>0</v>
      </c>
      <c r="N22" s="513">
        <v>547000</v>
      </c>
    </row>
    <row r="23" spans="1:14" s="514" customFormat="1" ht="15" customHeight="1" hidden="1">
      <c r="A23" s="1003"/>
      <c r="B23" s="1004"/>
      <c r="C23" s="1003"/>
      <c r="D23" s="1004"/>
      <c r="E23" s="1024"/>
      <c r="F23" s="1025"/>
      <c r="G23" s="515" t="s">
        <v>14</v>
      </c>
      <c r="H23" s="512">
        <f t="shared" si="4"/>
        <v>0</v>
      </c>
      <c r="I23" s="513">
        <f t="shared" si="5"/>
        <v>0</v>
      </c>
      <c r="J23" s="513">
        <v>0</v>
      </c>
      <c r="K23" s="513">
        <v>0</v>
      </c>
      <c r="L23" s="513">
        <f t="shared" si="6"/>
        <v>0</v>
      </c>
      <c r="M23" s="513">
        <v>0</v>
      </c>
      <c r="N23" s="513">
        <v>0</v>
      </c>
    </row>
    <row r="24" spans="1:14" s="514" customFormat="1" ht="15" customHeight="1" hidden="1">
      <c r="A24" s="1003"/>
      <c r="B24" s="1004"/>
      <c r="C24" s="1003"/>
      <c r="D24" s="1004"/>
      <c r="E24" s="1026"/>
      <c r="F24" s="1027"/>
      <c r="G24" s="516" t="s">
        <v>15</v>
      </c>
      <c r="H24" s="512">
        <f t="shared" si="4"/>
        <v>547000</v>
      </c>
      <c r="I24" s="513">
        <f t="shared" si="5"/>
        <v>0</v>
      </c>
      <c r="J24" s="513">
        <f>J22+J23</f>
        <v>0</v>
      </c>
      <c r="K24" s="513">
        <f>K22+K23</f>
        <v>0</v>
      </c>
      <c r="L24" s="513">
        <f t="shared" si="6"/>
        <v>547000</v>
      </c>
      <c r="M24" s="513">
        <f>M22+M23</f>
        <v>0</v>
      </c>
      <c r="N24" s="513">
        <f>N22+N23</f>
        <v>547000</v>
      </c>
    </row>
    <row r="25" spans="1:14" s="514" customFormat="1" ht="15" customHeight="1" hidden="1">
      <c r="A25" s="1003"/>
      <c r="B25" s="1004"/>
      <c r="C25" s="1003"/>
      <c r="D25" s="1004"/>
      <c r="E25" s="995" t="s">
        <v>890</v>
      </c>
      <c r="F25" s="996"/>
      <c r="G25" s="511" t="s">
        <v>13</v>
      </c>
      <c r="H25" s="512">
        <f t="shared" si="4"/>
        <v>1504000</v>
      </c>
      <c r="I25" s="513">
        <f t="shared" si="5"/>
        <v>0</v>
      </c>
      <c r="J25" s="513">
        <v>0</v>
      </c>
      <c r="K25" s="513">
        <v>0</v>
      </c>
      <c r="L25" s="513">
        <f t="shared" si="6"/>
        <v>1504000</v>
      </c>
      <c r="M25" s="513">
        <v>0</v>
      </c>
      <c r="N25" s="513">
        <v>1504000</v>
      </c>
    </row>
    <row r="26" spans="1:14" s="514" customFormat="1" ht="15" customHeight="1" hidden="1">
      <c r="A26" s="1003"/>
      <c r="B26" s="1004"/>
      <c r="C26" s="1003"/>
      <c r="D26" s="1004"/>
      <c r="E26" s="1024"/>
      <c r="F26" s="1025"/>
      <c r="G26" s="515" t="s">
        <v>14</v>
      </c>
      <c r="H26" s="512">
        <f t="shared" si="4"/>
        <v>0</v>
      </c>
      <c r="I26" s="513">
        <f t="shared" si="5"/>
        <v>0</v>
      </c>
      <c r="J26" s="513">
        <v>0</v>
      </c>
      <c r="K26" s="513">
        <v>0</v>
      </c>
      <c r="L26" s="513">
        <f t="shared" si="6"/>
        <v>0</v>
      </c>
      <c r="M26" s="513">
        <v>0</v>
      </c>
      <c r="N26" s="513">
        <v>0</v>
      </c>
    </row>
    <row r="27" spans="1:14" s="514" customFormat="1" ht="15" customHeight="1" hidden="1">
      <c r="A27" s="1003"/>
      <c r="B27" s="1004"/>
      <c r="C27" s="1003"/>
      <c r="D27" s="1004"/>
      <c r="E27" s="1026"/>
      <c r="F27" s="1027"/>
      <c r="G27" s="516" t="s">
        <v>15</v>
      </c>
      <c r="H27" s="512">
        <f t="shared" si="4"/>
        <v>1504000</v>
      </c>
      <c r="I27" s="513">
        <f t="shared" si="5"/>
        <v>0</v>
      </c>
      <c r="J27" s="513">
        <f>J25+J26</f>
        <v>0</v>
      </c>
      <c r="K27" s="513">
        <f>K25+K26</f>
        <v>0</v>
      </c>
      <c r="L27" s="513">
        <f t="shared" si="6"/>
        <v>1504000</v>
      </c>
      <c r="M27" s="513">
        <f>M25+M26</f>
        <v>0</v>
      </c>
      <c r="N27" s="513">
        <f>N25+N26</f>
        <v>1504000</v>
      </c>
    </row>
    <row r="28" spans="1:14" s="514" customFormat="1" ht="15" customHeight="1" hidden="1">
      <c r="A28" s="1003"/>
      <c r="B28" s="1004"/>
      <c r="C28" s="1003"/>
      <c r="D28" s="1004"/>
      <c r="E28" s="995" t="s">
        <v>891</v>
      </c>
      <c r="F28" s="996"/>
      <c r="G28" s="511" t="s">
        <v>13</v>
      </c>
      <c r="H28" s="512">
        <f t="shared" si="4"/>
        <v>621000</v>
      </c>
      <c r="I28" s="513">
        <f t="shared" si="5"/>
        <v>0</v>
      </c>
      <c r="J28" s="513">
        <v>0</v>
      </c>
      <c r="K28" s="513">
        <v>0</v>
      </c>
      <c r="L28" s="513">
        <f t="shared" si="6"/>
        <v>621000</v>
      </c>
      <c r="M28" s="513">
        <v>0</v>
      </c>
      <c r="N28" s="513">
        <v>621000</v>
      </c>
    </row>
    <row r="29" spans="1:14" s="514" customFormat="1" ht="15" customHeight="1" hidden="1">
      <c r="A29" s="1003"/>
      <c r="B29" s="1004"/>
      <c r="C29" s="1003"/>
      <c r="D29" s="1004"/>
      <c r="E29" s="1024"/>
      <c r="F29" s="1025"/>
      <c r="G29" s="515" t="s">
        <v>14</v>
      </c>
      <c r="H29" s="512">
        <f t="shared" si="4"/>
        <v>0</v>
      </c>
      <c r="I29" s="513">
        <f t="shared" si="5"/>
        <v>0</v>
      </c>
      <c r="J29" s="513">
        <v>0</v>
      </c>
      <c r="K29" s="513">
        <v>0</v>
      </c>
      <c r="L29" s="513">
        <f t="shared" si="6"/>
        <v>0</v>
      </c>
      <c r="M29" s="513">
        <v>0</v>
      </c>
      <c r="N29" s="513">
        <v>0</v>
      </c>
    </row>
    <row r="30" spans="1:14" s="514" customFormat="1" ht="15" customHeight="1" hidden="1">
      <c r="A30" s="1003"/>
      <c r="B30" s="1004"/>
      <c r="C30" s="1003"/>
      <c r="D30" s="1004"/>
      <c r="E30" s="1026"/>
      <c r="F30" s="1027"/>
      <c r="G30" s="516" t="s">
        <v>15</v>
      </c>
      <c r="H30" s="512">
        <f t="shared" si="4"/>
        <v>621000</v>
      </c>
      <c r="I30" s="513">
        <f t="shared" si="5"/>
        <v>0</v>
      </c>
      <c r="J30" s="513">
        <f>J28+J29</f>
        <v>0</v>
      </c>
      <c r="K30" s="513">
        <f>K28+K29</f>
        <v>0</v>
      </c>
      <c r="L30" s="513">
        <f t="shared" si="6"/>
        <v>621000</v>
      </c>
      <c r="M30" s="513">
        <f>M28+M29</f>
        <v>0</v>
      </c>
      <c r="N30" s="513">
        <f>N28+N29</f>
        <v>621000</v>
      </c>
    </row>
    <row r="31" spans="1:14" s="514" customFormat="1" ht="18" customHeight="1" hidden="1">
      <c r="A31" s="1003"/>
      <c r="B31" s="1004"/>
      <c r="C31" s="1003"/>
      <c r="D31" s="1004"/>
      <c r="E31" s="995" t="s">
        <v>892</v>
      </c>
      <c r="F31" s="996"/>
      <c r="G31" s="511" t="s">
        <v>13</v>
      </c>
      <c r="H31" s="512">
        <f t="shared" si="4"/>
        <v>1401000</v>
      </c>
      <c r="I31" s="513">
        <f t="shared" si="5"/>
        <v>0</v>
      </c>
      <c r="J31" s="513">
        <v>0</v>
      </c>
      <c r="K31" s="513">
        <v>0</v>
      </c>
      <c r="L31" s="513">
        <f t="shared" si="6"/>
        <v>1401000</v>
      </c>
      <c r="M31" s="513">
        <v>0</v>
      </c>
      <c r="N31" s="513">
        <v>1401000</v>
      </c>
    </row>
    <row r="32" spans="1:14" s="514" customFormat="1" ht="18" customHeight="1" hidden="1">
      <c r="A32" s="1003"/>
      <c r="B32" s="1004"/>
      <c r="C32" s="1003"/>
      <c r="D32" s="1004"/>
      <c r="E32" s="1024"/>
      <c r="F32" s="1025"/>
      <c r="G32" s="515" t="s">
        <v>14</v>
      </c>
      <c r="H32" s="512">
        <f t="shared" si="4"/>
        <v>0</v>
      </c>
      <c r="I32" s="513">
        <f t="shared" si="5"/>
        <v>0</v>
      </c>
      <c r="J32" s="513">
        <v>0</v>
      </c>
      <c r="K32" s="513">
        <v>0</v>
      </c>
      <c r="L32" s="513">
        <f t="shared" si="6"/>
        <v>0</v>
      </c>
      <c r="M32" s="513">
        <v>0</v>
      </c>
      <c r="N32" s="513">
        <v>0</v>
      </c>
    </row>
    <row r="33" spans="1:14" s="514" customFormat="1" ht="18" customHeight="1" hidden="1">
      <c r="A33" s="1003"/>
      <c r="B33" s="1004"/>
      <c r="C33" s="1067"/>
      <c r="D33" s="1128"/>
      <c r="E33" s="1026"/>
      <c r="F33" s="1027"/>
      <c r="G33" s="516" t="s">
        <v>15</v>
      </c>
      <c r="H33" s="512">
        <f t="shared" si="4"/>
        <v>1401000</v>
      </c>
      <c r="I33" s="513">
        <f t="shared" si="5"/>
        <v>0</v>
      </c>
      <c r="J33" s="513">
        <f>J31+J32</f>
        <v>0</v>
      </c>
      <c r="K33" s="513">
        <f>K31+K32</f>
        <v>0</v>
      </c>
      <c r="L33" s="513">
        <f t="shared" si="6"/>
        <v>1401000</v>
      </c>
      <c r="M33" s="513">
        <f>M31+M32</f>
        <v>0</v>
      </c>
      <c r="N33" s="513">
        <f>N31+N32</f>
        <v>1401000</v>
      </c>
    </row>
    <row r="34" spans="1:14" s="497" customFormat="1" ht="3" customHeight="1" hidden="1">
      <c r="A34" s="517"/>
      <c r="B34" s="518"/>
      <c r="C34" s="518"/>
      <c r="D34" s="518"/>
      <c r="E34" s="519"/>
      <c r="F34" s="520"/>
      <c r="G34" s="478"/>
      <c r="H34" s="479"/>
      <c r="I34" s="480"/>
      <c r="J34" s="480"/>
      <c r="K34" s="480"/>
      <c r="L34" s="480"/>
      <c r="M34" s="480"/>
      <c r="N34" s="481"/>
    </row>
    <row r="35" spans="1:14" s="501" customFormat="1" ht="18" customHeight="1">
      <c r="A35" s="1068" t="s">
        <v>893</v>
      </c>
      <c r="B35" s="1069"/>
      <c r="C35" s="1069"/>
      <c r="D35" s="1069"/>
      <c r="E35" s="1069"/>
      <c r="F35" s="1070"/>
      <c r="G35" s="498" t="s">
        <v>13</v>
      </c>
      <c r="H35" s="521">
        <f>I35+L35</f>
        <v>86452026</v>
      </c>
      <c r="I35" s="522">
        <f>J35+K35</f>
        <v>86452026</v>
      </c>
      <c r="J35" s="522">
        <f aca="true" t="shared" si="7" ref="J35:K37">J39</f>
        <v>0</v>
      </c>
      <c r="K35" s="522">
        <f t="shared" si="7"/>
        <v>86452026</v>
      </c>
      <c r="L35" s="522">
        <f>M35+N35</f>
        <v>0</v>
      </c>
      <c r="M35" s="522">
        <f aca="true" t="shared" si="8" ref="M35:N37">M39</f>
        <v>0</v>
      </c>
      <c r="N35" s="522">
        <f t="shared" si="8"/>
        <v>0</v>
      </c>
    </row>
    <row r="36" spans="1:14" s="501" customFormat="1" ht="18" customHeight="1">
      <c r="A36" s="1122"/>
      <c r="B36" s="1123"/>
      <c r="C36" s="1123"/>
      <c r="D36" s="1123"/>
      <c r="E36" s="1123"/>
      <c r="F36" s="1124"/>
      <c r="G36" s="502" t="s">
        <v>14</v>
      </c>
      <c r="H36" s="521">
        <f>I36+L36</f>
        <v>31145</v>
      </c>
      <c r="I36" s="522">
        <f>J36+K36</f>
        <v>31145</v>
      </c>
      <c r="J36" s="522">
        <f t="shared" si="7"/>
        <v>0</v>
      </c>
      <c r="K36" s="522">
        <f t="shared" si="7"/>
        <v>31145</v>
      </c>
      <c r="L36" s="522">
        <f>M36+N36</f>
        <v>0</v>
      </c>
      <c r="M36" s="522">
        <f t="shared" si="8"/>
        <v>0</v>
      </c>
      <c r="N36" s="522">
        <f t="shared" si="8"/>
        <v>0</v>
      </c>
    </row>
    <row r="37" spans="1:14" s="501" customFormat="1" ht="18" customHeight="1">
      <c r="A37" s="1125"/>
      <c r="B37" s="1126"/>
      <c r="C37" s="1126"/>
      <c r="D37" s="1126"/>
      <c r="E37" s="1126"/>
      <c r="F37" s="1127"/>
      <c r="G37" s="503" t="s">
        <v>15</v>
      </c>
      <c r="H37" s="521">
        <f>I37+L37</f>
        <v>86483171</v>
      </c>
      <c r="I37" s="522">
        <f>J37+K37</f>
        <v>86483171</v>
      </c>
      <c r="J37" s="522">
        <f t="shared" si="7"/>
        <v>0</v>
      </c>
      <c r="K37" s="522">
        <f t="shared" si="7"/>
        <v>86483171</v>
      </c>
      <c r="L37" s="522">
        <f>M37+N37</f>
        <v>0</v>
      </c>
      <c r="M37" s="522">
        <f t="shared" si="8"/>
        <v>0</v>
      </c>
      <c r="N37" s="522">
        <f t="shared" si="8"/>
        <v>0</v>
      </c>
    </row>
    <row r="38" spans="1:14" s="497" customFormat="1" ht="5.25" customHeight="1">
      <c r="A38" s="504"/>
      <c r="B38" s="505"/>
      <c r="C38" s="505"/>
      <c r="D38" s="505"/>
      <c r="E38" s="506"/>
      <c r="F38" s="506"/>
      <c r="G38" s="507"/>
      <c r="H38" s="508"/>
      <c r="I38" s="509"/>
      <c r="J38" s="509"/>
      <c r="K38" s="509"/>
      <c r="L38" s="509"/>
      <c r="M38" s="509"/>
      <c r="N38" s="510"/>
    </row>
    <row r="39" spans="1:14" s="526" customFormat="1" ht="15" customHeight="1">
      <c r="A39" s="1037" t="s">
        <v>894</v>
      </c>
      <c r="B39" s="1038"/>
      <c r="C39" s="1038"/>
      <c r="D39" s="1038"/>
      <c r="E39" s="1038"/>
      <c r="F39" s="1039"/>
      <c r="G39" s="523" t="s">
        <v>13</v>
      </c>
      <c r="H39" s="524">
        <f>I39+L39</f>
        <v>86452026</v>
      </c>
      <c r="I39" s="525">
        <f>J39+K39</f>
        <v>86452026</v>
      </c>
      <c r="J39" s="525">
        <f aca="true" t="shared" si="9" ref="J39:K41">J43+J55+J61+J67+J73+J79+J85+J97+J103+J109+J115+J121+J133+J145+J154+J166</f>
        <v>0</v>
      </c>
      <c r="K39" s="525">
        <f t="shared" si="9"/>
        <v>86452026</v>
      </c>
      <c r="L39" s="525">
        <f>M39+N39</f>
        <v>0</v>
      </c>
      <c r="M39" s="525">
        <f aca="true" t="shared" si="10" ref="M39:N41">M43+M55+M61+M67+M73+M79+M85+M97+M103+M109+M115+M121+M133+M145+M154+M166</f>
        <v>0</v>
      </c>
      <c r="N39" s="525">
        <f t="shared" si="10"/>
        <v>0</v>
      </c>
    </row>
    <row r="40" spans="1:14" s="526" customFormat="1" ht="15" customHeight="1">
      <c r="A40" s="1122"/>
      <c r="B40" s="1123"/>
      <c r="C40" s="1123"/>
      <c r="D40" s="1123"/>
      <c r="E40" s="1123"/>
      <c r="F40" s="1124"/>
      <c r="G40" s="527" t="s">
        <v>14</v>
      </c>
      <c r="H40" s="524">
        <f>I40+L40</f>
        <v>31145</v>
      </c>
      <c r="I40" s="525">
        <f>J40+K40</f>
        <v>31145</v>
      </c>
      <c r="J40" s="525">
        <f t="shared" si="9"/>
        <v>0</v>
      </c>
      <c r="K40" s="525">
        <f t="shared" si="9"/>
        <v>31145</v>
      </c>
      <c r="L40" s="525">
        <f>M40+N40</f>
        <v>0</v>
      </c>
      <c r="M40" s="525">
        <f t="shared" si="10"/>
        <v>0</v>
      </c>
      <c r="N40" s="525">
        <f t="shared" si="10"/>
        <v>0</v>
      </c>
    </row>
    <row r="41" spans="1:14" s="526" customFormat="1" ht="15" customHeight="1">
      <c r="A41" s="1125"/>
      <c r="B41" s="1126"/>
      <c r="C41" s="1126"/>
      <c r="D41" s="1126"/>
      <c r="E41" s="1126"/>
      <c r="F41" s="1127"/>
      <c r="G41" s="528" t="s">
        <v>15</v>
      </c>
      <c r="H41" s="524">
        <f>I41+L41</f>
        <v>86483171</v>
      </c>
      <c r="I41" s="525">
        <f>J41+K41</f>
        <v>86483171</v>
      </c>
      <c r="J41" s="525">
        <f t="shared" si="9"/>
        <v>0</v>
      </c>
      <c r="K41" s="525">
        <f t="shared" si="9"/>
        <v>86483171</v>
      </c>
      <c r="L41" s="525">
        <f>M41+N41</f>
        <v>0</v>
      </c>
      <c r="M41" s="525">
        <f t="shared" si="10"/>
        <v>0</v>
      </c>
      <c r="N41" s="525">
        <f t="shared" si="10"/>
        <v>0</v>
      </c>
    </row>
    <row r="42" spans="1:14" s="535" customFormat="1" ht="5.25" customHeight="1">
      <c r="A42" s="529"/>
      <c r="B42" s="530"/>
      <c r="C42" s="530"/>
      <c r="D42" s="530"/>
      <c r="E42" s="530"/>
      <c r="F42" s="530"/>
      <c r="G42" s="531"/>
      <c r="H42" s="532"/>
      <c r="I42" s="533"/>
      <c r="J42" s="533"/>
      <c r="K42" s="533"/>
      <c r="L42" s="533"/>
      <c r="M42" s="533"/>
      <c r="N42" s="534"/>
    </row>
    <row r="43" spans="1:14" s="467" customFormat="1" ht="15" customHeight="1" hidden="1">
      <c r="A43" s="1086" t="s">
        <v>269</v>
      </c>
      <c r="B43" s="1114"/>
      <c r="C43" s="1114"/>
      <c r="D43" s="1114"/>
      <c r="E43" s="1114"/>
      <c r="F43" s="1115"/>
      <c r="G43" s="536" t="s">
        <v>13</v>
      </c>
      <c r="H43" s="537">
        <f aca="true" t="shared" si="11" ref="H43:H106">I43+L43</f>
        <v>8310000</v>
      </c>
      <c r="I43" s="538">
        <f aca="true" t="shared" si="12" ref="I43:I106">J43+K43</f>
        <v>8310000</v>
      </c>
      <c r="J43" s="538">
        <f aca="true" t="shared" si="13" ref="J43:K45">J46+J49+J52</f>
        <v>0</v>
      </c>
      <c r="K43" s="538">
        <f t="shared" si="13"/>
        <v>8310000</v>
      </c>
      <c r="L43" s="538">
        <f aca="true" t="shared" si="14" ref="L43:L92">M43+N43</f>
        <v>0</v>
      </c>
      <c r="M43" s="538">
        <f aca="true" t="shared" si="15" ref="M43:N45">M46+M49+M52</f>
        <v>0</v>
      </c>
      <c r="N43" s="538">
        <f t="shared" si="15"/>
        <v>0</v>
      </c>
    </row>
    <row r="44" spans="1:14" s="467" customFormat="1" ht="15" customHeight="1" hidden="1">
      <c r="A44" s="1116"/>
      <c r="B44" s="1117"/>
      <c r="C44" s="1117"/>
      <c r="D44" s="1117"/>
      <c r="E44" s="1117"/>
      <c r="F44" s="1118"/>
      <c r="G44" s="539" t="s">
        <v>14</v>
      </c>
      <c r="H44" s="537">
        <f t="shared" si="11"/>
        <v>0</v>
      </c>
      <c r="I44" s="538">
        <f t="shared" si="12"/>
        <v>0</v>
      </c>
      <c r="J44" s="538">
        <f t="shared" si="13"/>
        <v>0</v>
      </c>
      <c r="K44" s="538">
        <f t="shared" si="13"/>
        <v>0</v>
      </c>
      <c r="L44" s="538">
        <f t="shared" si="14"/>
        <v>0</v>
      </c>
      <c r="M44" s="538">
        <f t="shared" si="15"/>
        <v>0</v>
      </c>
      <c r="N44" s="538">
        <f t="shared" si="15"/>
        <v>0</v>
      </c>
    </row>
    <row r="45" spans="1:14" s="467" customFormat="1" ht="15" customHeight="1" hidden="1">
      <c r="A45" s="1119"/>
      <c r="B45" s="1120"/>
      <c r="C45" s="1120"/>
      <c r="D45" s="1120"/>
      <c r="E45" s="1120"/>
      <c r="F45" s="1121"/>
      <c r="G45" s="540" t="s">
        <v>15</v>
      </c>
      <c r="H45" s="537">
        <f t="shared" si="11"/>
        <v>8310000</v>
      </c>
      <c r="I45" s="538">
        <f t="shared" si="12"/>
        <v>8310000</v>
      </c>
      <c r="J45" s="538">
        <f t="shared" si="13"/>
        <v>0</v>
      </c>
      <c r="K45" s="538">
        <f t="shared" si="13"/>
        <v>8310000</v>
      </c>
      <c r="L45" s="538">
        <f t="shared" si="14"/>
        <v>0</v>
      </c>
      <c r="M45" s="538">
        <f t="shared" si="15"/>
        <v>0</v>
      </c>
      <c r="N45" s="538">
        <f t="shared" si="15"/>
        <v>0</v>
      </c>
    </row>
    <row r="46" spans="1:14" s="454" customFormat="1" ht="15" customHeight="1" hidden="1">
      <c r="A46" s="1009" t="s">
        <v>222</v>
      </c>
      <c r="B46" s="1010"/>
      <c r="C46" s="1011" t="s">
        <v>267</v>
      </c>
      <c r="D46" s="1012"/>
      <c r="E46" s="995" t="s">
        <v>895</v>
      </c>
      <c r="F46" s="996"/>
      <c r="G46" s="511" t="s">
        <v>13</v>
      </c>
      <c r="H46" s="541">
        <f t="shared" si="11"/>
        <v>7410000</v>
      </c>
      <c r="I46" s="542">
        <f t="shared" si="12"/>
        <v>7410000</v>
      </c>
      <c r="J46" s="542">
        <v>0</v>
      </c>
      <c r="K46" s="542">
        <v>7410000</v>
      </c>
      <c r="L46" s="542">
        <f t="shared" si="14"/>
        <v>0</v>
      </c>
      <c r="M46" s="542">
        <v>0</v>
      </c>
      <c r="N46" s="542">
        <v>0</v>
      </c>
    </row>
    <row r="47" spans="1:14" s="454" customFormat="1" ht="15" customHeight="1" hidden="1">
      <c r="A47" s="1005"/>
      <c r="B47" s="1006"/>
      <c r="C47" s="1007"/>
      <c r="D47" s="1008"/>
      <c r="E47" s="1024"/>
      <c r="F47" s="1025"/>
      <c r="G47" s="543" t="s">
        <v>14</v>
      </c>
      <c r="H47" s="541">
        <f t="shared" si="11"/>
        <v>0</v>
      </c>
      <c r="I47" s="542">
        <f t="shared" si="12"/>
        <v>0</v>
      </c>
      <c r="J47" s="542">
        <v>0</v>
      </c>
      <c r="K47" s="542">
        <v>0</v>
      </c>
      <c r="L47" s="542">
        <f t="shared" si="14"/>
        <v>0</v>
      </c>
      <c r="M47" s="542">
        <v>0</v>
      </c>
      <c r="N47" s="542">
        <v>0</v>
      </c>
    </row>
    <row r="48" spans="1:14" s="454" customFormat="1" ht="15" customHeight="1" hidden="1">
      <c r="A48" s="1005"/>
      <c r="B48" s="1006"/>
      <c r="C48" s="1007"/>
      <c r="D48" s="1008"/>
      <c r="E48" s="1026"/>
      <c r="F48" s="1027"/>
      <c r="G48" s="544" t="s">
        <v>15</v>
      </c>
      <c r="H48" s="541">
        <f t="shared" si="11"/>
        <v>7410000</v>
      </c>
      <c r="I48" s="542">
        <f t="shared" si="12"/>
        <v>7410000</v>
      </c>
      <c r="J48" s="542">
        <f>J46+J47</f>
        <v>0</v>
      </c>
      <c r="K48" s="542">
        <f>K46+K47</f>
        <v>7410000</v>
      </c>
      <c r="L48" s="542">
        <f t="shared" si="14"/>
        <v>0</v>
      </c>
      <c r="M48" s="542">
        <f>M46+M47</f>
        <v>0</v>
      </c>
      <c r="N48" s="542">
        <f>N46+N47</f>
        <v>0</v>
      </c>
    </row>
    <row r="49" spans="1:14" s="545" customFormat="1" ht="15" customHeight="1" hidden="1">
      <c r="A49" s="1001"/>
      <c r="B49" s="1002"/>
      <c r="C49" s="1003"/>
      <c r="D49" s="1004"/>
      <c r="E49" s="995" t="s">
        <v>896</v>
      </c>
      <c r="F49" s="996"/>
      <c r="G49" s="511" t="s">
        <v>13</v>
      </c>
      <c r="H49" s="512">
        <f t="shared" si="11"/>
        <v>550000</v>
      </c>
      <c r="I49" s="513">
        <f t="shared" si="12"/>
        <v>550000</v>
      </c>
      <c r="J49" s="513">
        <v>0</v>
      </c>
      <c r="K49" s="513">
        <v>550000</v>
      </c>
      <c r="L49" s="513">
        <f t="shared" si="14"/>
        <v>0</v>
      </c>
      <c r="M49" s="513">
        <v>0</v>
      </c>
      <c r="N49" s="513">
        <v>0</v>
      </c>
    </row>
    <row r="50" spans="1:14" s="545" customFormat="1" ht="15" customHeight="1" hidden="1">
      <c r="A50" s="1001"/>
      <c r="B50" s="1028"/>
      <c r="C50" s="1003"/>
      <c r="D50" s="1028"/>
      <c r="E50" s="997"/>
      <c r="F50" s="998"/>
      <c r="G50" s="546" t="s">
        <v>14</v>
      </c>
      <c r="H50" s="512">
        <f t="shared" si="11"/>
        <v>0</v>
      </c>
      <c r="I50" s="513">
        <f t="shared" si="12"/>
        <v>0</v>
      </c>
      <c r="J50" s="513">
        <v>0</v>
      </c>
      <c r="K50" s="513">
        <v>0</v>
      </c>
      <c r="L50" s="513">
        <f t="shared" si="14"/>
        <v>0</v>
      </c>
      <c r="M50" s="513">
        <v>0</v>
      </c>
      <c r="N50" s="513">
        <v>0</v>
      </c>
    </row>
    <row r="51" spans="1:14" s="454" customFormat="1" ht="15" customHeight="1" hidden="1">
      <c r="A51" s="1005"/>
      <c r="B51" s="1006"/>
      <c r="C51" s="1007"/>
      <c r="D51" s="1008"/>
      <c r="E51" s="999"/>
      <c r="F51" s="1000"/>
      <c r="G51" s="544" t="s">
        <v>15</v>
      </c>
      <c r="H51" s="541">
        <f>I51+L51</f>
        <v>550000</v>
      </c>
      <c r="I51" s="542">
        <f>J51+K51</f>
        <v>550000</v>
      </c>
      <c r="J51" s="542">
        <f>J49+J50</f>
        <v>0</v>
      </c>
      <c r="K51" s="542">
        <f>K49+K50</f>
        <v>550000</v>
      </c>
      <c r="L51" s="542">
        <f>M51+N51</f>
        <v>0</v>
      </c>
      <c r="M51" s="542">
        <f>M49+M50</f>
        <v>0</v>
      </c>
      <c r="N51" s="542">
        <f>N49+N50</f>
        <v>0</v>
      </c>
    </row>
    <row r="52" spans="1:14" s="545" customFormat="1" ht="15" customHeight="1" hidden="1">
      <c r="A52" s="1001"/>
      <c r="B52" s="1002"/>
      <c r="C52" s="1003"/>
      <c r="D52" s="1004"/>
      <c r="E52" s="995" t="s">
        <v>897</v>
      </c>
      <c r="F52" s="996"/>
      <c r="G52" s="511" t="s">
        <v>13</v>
      </c>
      <c r="H52" s="512">
        <f t="shared" si="11"/>
        <v>350000</v>
      </c>
      <c r="I52" s="513">
        <f t="shared" si="12"/>
        <v>350000</v>
      </c>
      <c r="J52" s="513">
        <v>0</v>
      </c>
      <c r="K52" s="513">
        <v>350000</v>
      </c>
      <c r="L52" s="513">
        <f t="shared" si="14"/>
        <v>0</v>
      </c>
      <c r="M52" s="513">
        <v>0</v>
      </c>
      <c r="N52" s="513">
        <v>0</v>
      </c>
    </row>
    <row r="53" spans="1:14" s="545" customFormat="1" ht="15" customHeight="1" hidden="1">
      <c r="A53" s="1001"/>
      <c r="B53" s="1028"/>
      <c r="C53" s="1003"/>
      <c r="D53" s="1028"/>
      <c r="E53" s="997"/>
      <c r="F53" s="998"/>
      <c r="G53" s="546" t="s">
        <v>14</v>
      </c>
      <c r="H53" s="512">
        <f t="shared" si="11"/>
        <v>0</v>
      </c>
      <c r="I53" s="513">
        <f t="shared" si="12"/>
        <v>0</v>
      </c>
      <c r="J53" s="513">
        <v>0</v>
      </c>
      <c r="K53" s="513">
        <v>0</v>
      </c>
      <c r="L53" s="513">
        <f t="shared" si="14"/>
        <v>0</v>
      </c>
      <c r="M53" s="513">
        <v>0</v>
      </c>
      <c r="N53" s="513">
        <v>0</v>
      </c>
    </row>
    <row r="54" spans="1:14" s="454" customFormat="1" ht="15" customHeight="1" hidden="1">
      <c r="A54" s="1005"/>
      <c r="B54" s="1006"/>
      <c r="C54" s="1007"/>
      <c r="D54" s="1008"/>
      <c r="E54" s="999"/>
      <c r="F54" s="1000"/>
      <c r="G54" s="544" t="s">
        <v>15</v>
      </c>
      <c r="H54" s="541">
        <f>I54+L54</f>
        <v>350000</v>
      </c>
      <c r="I54" s="542">
        <f>J54+K54</f>
        <v>350000</v>
      </c>
      <c r="J54" s="542">
        <f>J52+J53</f>
        <v>0</v>
      </c>
      <c r="K54" s="542">
        <f>K52+K53</f>
        <v>350000</v>
      </c>
      <c r="L54" s="542">
        <f>M54+N54</f>
        <v>0</v>
      </c>
      <c r="M54" s="542">
        <f>M52+M53</f>
        <v>0</v>
      </c>
      <c r="N54" s="542">
        <f>N52+N53</f>
        <v>0</v>
      </c>
    </row>
    <row r="55" spans="1:14" s="467" customFormat="1" ht="15" customHeight="1" hidden="1">
      <c r="A55" s="1086" t="s">
        <v>271</v>
      </c>
      <c r="B55" s="1087"/>
      <c r="C55" s="1087"/>
      <c r="D55" s="1087"/>
      <c r="E55" s="1087"/>
      <c r="F55" s="1088"/>
      <c r="G55" s="547" t="s">
        <v>13</v>
      </c>
      <c r="H55" s="537">
        <f t="shared" si="11"/>
        <v>19740000</v>
      </c>
      <c r="I55" s="538">
        <f t="shared" si="12"/>
        <v>19740000</v>
      </c>
      <c r="J55" s="538">
        <f aca="true" t="shared" si="16" ref="J55:K57">J58</f>
        <v>0</v>
      </c>
      <c r="K55" s="538">
        <f t="shared" si="16"/>
        <v>19740000</v>
      </c>
      <c r="L55" s="538">
        <f t="shared" si="14"/>
        <v>0</v>
      </c>
      <c r="M55" s="538">
        <f aca="true" t="shared" si="17" ref="M55:N57">M58</f>
        <v>0</v>
      </c>
      <c r="N55" s="538">
        <f t="shared" si="17"/>
        <v>0</v>
      </c>
    </row>
    <row r="56" spans="1:14" s="467" customFormat="1" ht="15" customHeight="1" hidden="1">
      <c r="A56" s="1089"/>
      <c r="B56" s="1090"/>
      <c r="C56" s="1090"/>
      <c r="D56" s="1090"/>
      <c r="E56" s="1090"/>
      <c r="F56" s="1091"/>
      <c r="G56" s="548" t="s">
        <v>14</v>
      </c>
      <c r="H56" s="537">
        <f t="shared" si="11"/>
        <v>0</v>
      </c>
      <c r="I56" s="538">
        <f t="shared" si="12"/>
        <v>0</v>
      </c>
      <c r="J56" s="538">
        <f t="shared" si="16"/>
        <v>0</v>
      </c>
      <c r="K56" s="538">
        <f t="shared" si="16"/>
        <v>0</v>
      </c>
      <c r="L56" s="538">
        <f t="shared" si="14"/>
        <v>0</v>
      </c>
      <c r="M56" s="538">
        <f t="shared" si="17"/>
        <v>0</v>
      </c>
      <c r="N56" s="538">
        <f t="shared" si="17"/>
        <v>0</v>
      </c>
    </row>
    <row r="57" spans="1:14" s="467" customFormat="1" ht="15" customHeight="1" hidden="1">
      <c r="A57" s="1092"/>
      <c r="B57" s="1093"/>
      <c r="C57" s="1093"/>
      <c r="D57" s="1093"/>
      <c r="E57" s="1093"/>
      <c r="F57" s="1094"/>
      <c r="G57" s="549" t="s">
        <v>15</v>
      </c>
      <c r="H57" s="537">
        <f t="shared" si="11"/>
        <v>19740000</v>
      </c>
      <c r="I57" s="538">
        <f t="shared" si="12"/>
        <v>19740000</v>
      </c>
      <c r="J57" s="538">
        <f t="shared" si="16"/>
        <v>0</v>
      </c>
      <c r="K57" s="538">
        <f t="shared" si="16"/>
        <v>19740000</v>
      </c>
      <c r="L57" s="538">
        <f t="shared" si="14"/>
        <v>0</v>
      </c>
      <c r="M57" s="538">
        <f t="shared" si="17"/>
        <v>0</v>
      </c>
      <c r="N57" s="538">
        <f t="shared" si="17"/>
        <v>0</v>
      </c>
    </row>
    <row r="58" spans="1:14" s="454" customFormat="1" ht="15" customHeight="1" hidden="1">
      <c r="A58" s="1009" t="s">
        <v>222</v>
      </c>
      <c r="B58" s="1010"/>
      <c r="C58" s="1011" t="s">
        <v>267</v>
      </c>
      <c r="D58" s="1012"/>
      <c r="E58" s="995" t="s">
        <v>895</v>
      </c>
      <c r="F58" s="996"/>
      <c r="G58" s="511" t="s">
        <v>13</v>
      </c>
      <c r="H58" s="541">
        <f t="shared" si="11"/>
        <v>19740000</v>
      </c>
      <c r="I58" s="542">
        <f t="shared" si="12"/>
        <v>19740000</v>
      </c>
      <c r="J58" s="542">
        <v>0</v>
      </c>
      <c r="K58" s="542">
        <v>19740000</v>
      </c>
      <c r="L58" s="542">
        <f t="shared" si="14"/>
        <v>0</v>
      </c>
      <c r="M58" s="542">
        <v>0</v>
      </c>
      <c r="N58" s="542">
        <v>0</v>
      </c>
    </row>
    <row r="59" spans="1:14" s="454" customFormat="1" ht="15" customHeight="1" hidden="1">
      <c r="A59" s="1005"/>
      <c r="B59" s="1006"/>
      <c r="C59" s="1007"/>
      <c r="D59" s="1008"/>
      <c r="E59" s="997"/>
      <c r="F59" s="998"/>
      <c r="G59" s="546" t="s">
        <v>14</v>
      </c>
      <c r="H59" s="541">
        <f t="shared" si="11"/>
        <v>0</v>
      </c>
      <c r="I59" s="542">
        <f t="shared" si="12"/>
        <v>0</v>
      </c>
      <c r="J59" s="542">
        <v>0</v>
      </c>
      <c r="K59" s="542">
        <v>0</v>
      </c>
      <c r="L59" s="542">
        <f t="shared" si="14"/>
        <v>0</v>
      </c>
      <c r="M59" s="542">
        <v>0</v>
      </c>
      <c r="N59" s="542">
        <v>0</v>
      </c>
    </row>
    <row r="60" spans="1:14" s="454" customFormat="1" ht="15" customHeight="1" hidden="1">
      <c r="A60" s="1005"/>
      <c r="B60" s="1006"/>
      <c r="C60" s="1007"/>
      <c r="D60" s="1008"/>
      <c r="E60" s="999"/>
      <c r="F60" s="1000"/>
      <c r="G60" s="544" t="s">
        <v>15</v>
      </c>
      <c r="H60" s="541">
        <f>I60+L60</f>
        <v>19740000</v>
      </c>
      <c r="I60" s="542">
        <f>J60+K60</f>
        <v>19740000</v>
      </c>
      <c r="J60" s="542">
        <f>J58+J59</f>
        <v>0</v>
      </c>
      <c r="K60" s="542">
        <f>K58+K59</f>
        <v>19740000</v>
      </c>
      <c r="L60" s="542">
        <f>M60+N60</f>
        <v>0</v>
      </c>
      <c r="M60" s="542">
        <f>M58+M59</f>
        <v>0</v>
      </c>
      <c r="N60" s="542">
        <f>N58+N59</f>
        <v>0</v>
      </c>
    </row>
    <row r="61" spans="1:14" s="467" customFormat="1" ht="15" customHeight="1" hidden="1">
      <c r="A61" s="1086" t="s">
        <v>898</v>
      </c>
      <c r="B61" s="1087"/>
      <c r="C61" s="1087"/>
      <c r="D61" s="1087"/>
      <c r="E61" s="1087"/>
      <c r="F61" s="1088"/>
      <c r="G61" s="547" t="s">
        <v>13</v>
      </c>
      <c r="H61" s="537">
        <f t="shared" si="11"/>
        <v>2000000</v>
      </c>
      <c r="I61" s="538">
        <f t="shared" si="12"/>
        <v>2000000</v>
      </c>
      <c r="J61" s="538">
        <f aca="true" t="shared" si="18" ref="J61:K63">J64</f>
        <v>0</v>
      </c>
      <c r="K61" s="538">
        <f t="shared" si="18"/>
        <v>2000000</v>
      </c>
      <c r="L61" s="538">
        <f t="shared" si="14"/>
        <v>0</v>
      </c>
      <c r="M61" s="538">
        <f aca="true" t="shared" si="19" ref="M61:N63">M64</f>
        <v>0</v>
      </c>
      <c r="N61" s="538">
        <f t="shared" si="19"/>
        <v>0</v>
      </c>
    </row>
    <row r="62" spans="1:14" s="467" customFormat="1" ht="15" customHeight="1" hidden="1">
      <c r="A62" s="1089"/>
      <c r="B62" s="1090"/>
      <c r="C62" s="1090"/>
      <c r="D62" s="1090"/>
      <c r="E62" s="1090"/>
      <c r="F62" s="1091"/>
      <c r="G62" s="548" t="s">
        <v>14</v>
      </c>
      <c r="H62" s="537">
        <f t="shared" si="11"/>
        <v>0</v>
      </c>
      <c r="I62" s="538">
        <f t="shared" si="12"/>
        <v>0</v>
      </c>
      <c r="J62" s="538">
        <f t="shared" si="18"/>
        <v>0</v>
      </c>
      <c r="K62" s="538">
        <f t="shared" si="18"/>
        <v>0</v>
      </c>
      <c r="L62" s="538">
        <f t="shared" si="14"/>
        <v>0</v>
      </c>
      <c r="M62" s="538">
        <f t="shared" si="19"/>
        <v>0</v>
      </c>
      <c r="N62" s="538">
        <f t="shared" si="19"/>
        <v>0</v>
      </c>
    </row>
    <row r="63" spans="1:14" s="467" customFormat="1" ht="15" customHeight="1" hidden="1">
      <c r="A63" s="1092"/>
      <c r="B63" s="1093"/>
      <c r="C63" s="1093"/>
      <c r="D63" s="1093"/>
      <c r="E63" s="1093"/>
      <c r="F63" s="1094"/>
      <c r="G63" s="549" t="s">
        <v>15</v>
      </c>
      <c r="H63" s="537">
        <f t="shared" si="11"/>
        <v>2000000</v>
      </c>
      <c r="I63" s="538">
        <f t="shared" si="12"/>
        <v>2000000</v>
      </c>
      <c r="J63" s="538">
        <f t="shared" si="18"/>
        <v>0</v>
      </c>
      <c r="K63" s="538">
        <f t="shared" si="18"/>
        <v>2000000</v>
      </c>
      <c r="L63" s="538">
        <f t="shared" si="14"/>
        <v>0</v>
      </c>
      <c r="M63" s="538">
        <f t="shared" si="19"/>
        <v>0</v>
      </c>
      <c r="N63" s="538">
        <f t="shared" si="19"/>
        <v>0</v>
      </c>
    </row>
    <row r="64" spans="1:14" s="454" customFormat="1" ht="15" customHeight="1" hidden="1">
      <c r="A64" s="1009" t="s">
        <v>222</v>
      </c>
      <c r="B64" s="1010"/>
      <c r="C64" s="1011" t="s">
        <v>267</v>
      </c>
      <c r="D64" s="1012"/>
      <c r="E64" s="995" t="s">
        <v>895</v>
      </c>
      <c r="F64" s="996"/>
      <c r="G64" s="511" t="s">
        <v>13</v>
      </c>
      <c r="H64" s="541">
        <f t="shared" si="11"/>
        <v>2000000</v>
      </c>
      <c r="I64" s="542">
        <f t="shared" si="12"/>
        <v>2000000</v>
      </c>
      <c r="J64" s="542">
        <v>0</v>
      </c>
      <c r="K64" s="542">
        <v>2000000</v>
      </c>
      <c r="L64" s="542">
        <f t="shared" si="14"/>
        <v>0</v>
      </c>
      <c r="M64" s="542">
        <v>0</v>
      </c>
      <c r="N64" s="542">
        <v>0</v>
      </c>
    </row>
    <row r="65" spans="1:14" s="454" customFormat="1" ht="15" customHeight="1" hidden="1">
      <c r="A65" s="1005"/>
      <c r="B65" s="1006"/>
      <c r="C65" s="1007"/>
      <c r="D65" s="1008"/>
      <c r="E65" s="997"/>
      <c r="F65" s="998"/>
      <c r="G65" s="546" t="s">
        <v>14</v>
      </c>
      <c r="H65" s="541">
        <f t="shared" si="11"/>
        <v>0</v>
      </c>
      <c r="I65" s="542">
        <f t="shared" si="12"/>
        <v>0</v>
      </c>
      <c r="J65" s="542">
        <v>0</v>
      </c>
      <c r="K65" s="542">
        <v>0</v>
      </c>
      <c r="L65" s="542">
        <f t="shared" si="14"/>
        <v>0</v>
      </c>
      <c r="M65" s="542">
        <v>0</v>
      </c>
      <c r="N65" s="542">
        <v>0</v>
      </c>
    </row>
    <row r="66" spans="1:14" s="454" customFormat="1" ht="15" customHeight="1" hidden="1">
      <c r="A66" s="1005"/>
      <c r="B66" s="1006"/>
      <c r="C66" s="1007"/>
      <c r="D66" s="1008"/>
      <c r="E66" s="999"/>
      <c r="F66" s="1000"/>
      <c r="G66" s="544" t="s">
        <v>15</v>
      </c>
      <c r="H66" s="541">
        <f>I66+L66</f>
        <v>2000000</v>
      </c>
      <c r="I66" s="542">
        <f>J66+K66</f>
        <v>2000000</v>
      </c>
      <c r="J66" s="542">
        <f>J64+J65</f>
        <v>0</v>
      </c>
      <c r="K66" s="542">
        <f>K64+K65</f>
        <v>2000000</v>
      </c>
      <c r="L66" s="542">
        <f>M66+N66</f>
        <v>0</v>
      </c>
      <c r="M66" s="542">
        <f>M64+M65</f>
        <v>0</v>
      </c>
      <c r="N66" s="542">
        <f>N64+N65</f>
        <v>0</v>
      </c>
    </row>
    <row r="67" spans="1:14" s="467" customFormat="1" ht="15" customHeight="1" hidden="1">
      <c r="A67" s="1086" t="s">
        <v>342</v>
      </c>
      <c r="B67" s="1087"/>
      <c r="C67" s="1087"/>
      <c r="D67" s="1087"/>
      <c r="E67" s="1087"/>
      <c r="F67" s="1088"/>
      <c r="G67" s="547" t="s">
        <v>13</v>
      </c>
      <c r="H67" s="537">
        <f t="shared" si="11"/>
        <v>9934500</v>
      </c>
      <c r="I67" s="538">
        <f t="shared" si="12"/>
        <v>9934500</v>
      </c>
      <c r="J67" s="538">
        <f aca="true" t="shared" si="20" ref="J67:K69">J70</f>
        <v>0</v>
      </c>
      <c r="K67" s="538">
        <f t="shared" si="20"/>
        <v>9934500</v>
      </c>
      <c r="L67" s="538">
        <f t="shared" si="14"/>
        <v>0</v>
      </c>
      <c r="M67" s="538">
        <f aca="true" t="shared" si="21" ref="M67:N69">M70</f>
        <v>0</v>
      </c>
      <c r="N67" s="538">
        <f t="shared" si="21"/>
        <v>0</v>
      </c>
    </row>
    <row r="68" spans="1:14" s="467" customFormat="1" ht="15" customHeight="1" hidden="1">
      <c r="A68" s="1089"/>
      <c r="B68" s="1090"/>
      <c r="C68" s="1090"/>
      <c r="D68" s="1090"/>
      <c r="E68" s="1090"/>
      <c r="F68" s="1091"/>
      <c r="G68" s="548" t="s">
        <v>14</v>
      </c>
      <c r="H68" s="537">
        <f t="shared" si="11"/>
        <v>0</v>
      </c>
      <c r="I68" s="538">
        <f t="shared" si="12"/>
        <v>0</v>
      </c>
      <c r="J68" s="538">
        <f t="shared" si="20"/>
        <v>0</v>
      </c>
      <c r="K68" s="538">
        <f t="shared" si="20"/>
        <v>0</v>
      </c>
      <c r="L68" s="538">
        <f t="shared" si="14"/>
        <v>0</v>
      </c>
      <c r="M68" s="538">
        <f t="shared" si="21"/>
        <v>0</v>
      </c>
      <c r="N68" s="538">
        <f t="shared" si="21"/>
        <v>0</v>
      </c>
    </row>
    <row r="69" spans="1:14" s="467" customFormat="1" ht="15" customHeight="1" hidden="1">
      <c r="A69" s="1092"/>
      <c r="B69" s="1093"/>
      <c r="C69" s="1093"/>
      <c r="D69" s="1093"/>
      <c r="E69" s="1093"/>
      <c r="F69" s="1094"/>
      <c r="G69" s="549" t="s">
        <v>15</v>
      </c>
      <c r="H69" s="537">
        <f t="shared" si="11"/>
        <v>9934500</v>
      </c>
      <c r="I69" s="538">
        <f t="shared" si="12"/>
        <v>9934500</v>
      </c>
      <c r="J69" s="538">
        <f t="shared" si="20"/>
        <v>0</v>
      </c>
      <c r="K69" s="538">
        <f t="shared" si="20"/>
        <v>9934500</v>
      </c>
      <c r="L69" s="538">
        <f t="shared" si="14"/>
        <v>0</v>
      </c>
      <c r="M69" s="538">
        <f t="shared" si="21"/>
        <v>0</v>
      </c>
      <c r="N69" s="538">
        <f t="shared" si="21"/>
        <v>0</v>
      </c>
    </row>
    <row r="70" spans="1:14" s="454" customFormat="1" ht="15" customHeight="1" hidden="1">
      <c r="A70" s="1009" t="s">
        <v>222</v>
      </c>
      <c r="B70" s="1010"/>
      <c r="C70" s="1011" t="s">
        <v>340</v>
      </c>
      <c r="D70" s="1012"/>
      <c r="E70" s="995" t="s">
        <v>895</v>
      </c>
      <c r="F70" s="996"/>
      <c r="G70" s="511" t="s">
        <v>13</v>
      </c>
      <c r="H70" s="541">
        <f t="shared" si="11"/>
        <v>9934500</v>
      </c>
      <c r="I70" s="542">
        <f t="shared" si="12"/>
        <v>9934500</v>
      </c>
      <c r="J70" s="542">
        <v>0</v>
      </c>
      <c r="K70" s="542">
        <v>9934500</v>
      </c>
      <c r="L70" s="542">
        <f t="shared" si="14"/>
        <v>0</v>
      </c>
      <c r="M70" s="542">
        <v>0</v>
      </c>
      <c r="N70" s="542">
        <v>0</v>
      </c>
    </row>
    <row r="71" spans="1:14" s="454" customFormat="1" ht="15" customHeight="1" hidden="1">
      <c r="A71" s="1005"/>
      <c r="B71" s="1006"/>
      <c r="C71" s="1007"/>
      <c r="D71" s="1008"/>
      <c r="E71" s="1024"/>
      <c r="F71" s="1025"/>
      <c r="G71" s="515" t="s">
        <v>14</v>
      </c>
      <c r="H71" s="541">
        <f t="shared" si="11"/>
        <v>0</v>
      </c>
      <c r="I71" s="542">
        <f t="shared" si="12"/>
        <v>0</v>
      </c>
      <c r="J71" s="542">
        <v>0</v>
      </c>
      <c r="K71" s="542">
        <v>0</v>
      </c>
      <c r="L71" s="542">
        <f t="shared" si="14"/>
        <v>0</v>
      </c>
      <c r="M71" s="542">
        <v>0</v>
      </c>
      <c r="N71" s="542">
        <v>0</v>
      </c>
    </row>
    <row r="72" spans="1:14" s="454" customFormat="1" ht="15" customHeight="1" hidden="1">
      <c r="A72" s="1005"/>
      <c r="B72" s="1006"/>
      <c r="C72" s="1007"/>
      <c r="D72" s="1008"/>
      <c r="E72" s="1026"/>
      <c r="F72" s="1027"/>
      <c r="G72" s="544" t="s">
        <v>15</v>
      </c>
      <c r="H72" s="541">
        <f>I72+L72</f>
        <v>9934500</v>
      </c>
      <c r="I72" s="542">
        <f>J72+K72</f>
        <v>9934500</v>
      </c>
      <c r="J72" s="542">
        <f>J70+J71</f>
        <v>0</v>
      </c>
      <c r="K72" s="542">
        <f>K70+K71</f>
        <v>9934500</v>
      </c>
      <c r="L72" s="542">
        <f>M72+N72</f>
        <v>0</v>
      </c>
      <c r="M72" s="542">
        <f>M70+M71</f>
        <v>0</v>
      </c>
      <c r="N72" s="542">
        <f>N70+N71</f>
        <v>0</v>
      </c>
    </row>
    <row r="73" spans="1:14" s="467" customFormat="1" ht="15" customHeight="1" hidden="1">
      <c r="A73" s="1086" t="s">
        <v>899</v>
      </c>
      <c r="B73" s="1087"/>
      <c r="C73" s="1087"/>
      <c r="D73" s="1087"/>
      <c r="E73" s="1087"/>
      <c r="F73" s="1088"/>
      <c r="G73" s="547" t="s">
        <v>13</v>
      </c>
      <c r="H73" s="537">
        <f t="shared" si="11"/>
        <v>2100000</v>
      </c>
      <c r="I73" s="538">
        <f t="shared" si="12"/>
        <v>2100000</v>
      </c>
      <c r="J73" s="538">
        <f aca="true" t="shared" si="22" ref="J73:K75">J76</f>
        <v>0</v>
      </c>
      <c r="K73" s="538">
        <f t="shared" si="22"/>
        <v>2100000</v>
      </c>
      <c r="L73" s="538">
        <f t="shared" si="14"/>
        <v>0</v>
      </c>
      <c r="M73" s="538">
        <f aca="true" t="shared" si="23" ref="M73:N75">M76</f>
        <v>0</v>
      </c>
      <c r="N73" s="538">
        <f t="shared" si="23"/>
        <v>0</v>
      </c>
    </row>
    <row r="74" spans="1:14" s="467" customFormat="1" ht="15" customHeight="1" hidden="1">
      <c r="A74" s="1089"/>
      <c r="B74" s="1090"/>
      <c r="C74" s="1090"/>
      <c r="D74" s="1090"/>
      <c r="E74" s="1090"/>
      <c r="F74" s="1091"/>
      <c r="G74" s="548" t="s">
        <v>14</v>
      </c>
      <c r="H74" s="537">
        <f t="shared" si="11"/>
        <v>0</v>
      </c>
      <c r="I74" s="538">
        <f t="shared" si="12"/>
        <v>0</v>
      </c>
      <c r="J74" s="538">
        <f t="shared" si="22"/>
        <v>0</v>
      </c>
      <c r="K74" s="538">
        <f t="shared" si="22"/>
        <v>0</v>
      </c>
      <c r="L74" s="538">
        <f t="shared" si="14"/>
        <v>0</v>
      </c>
      <c r="M74" s="538">
        <f t="shared" si="23"/>
        <v>0</v>
      </c>
      <c r="N74" s="538">
        <f t="shared" si="23"/>
        <v>0</v>
      </c>
    </row>
    <row r="75" spans="1:14" s="467" customFormat="1" ht="15" customHeight="1" hidden="1">
      <c r="A75" s="1092"/>
      <c r="B75" s="1093"/>
      <c r="C75" s="1093"/>
      <c r="D75" s="1093"/>
      <c r="E75" s="1093"/>
      <c r="F75" s="1094"/>
      <c r="G75" s="549" t="s">
        <v>15</v>
      </c>
      <c r="H75" s="537">
        <f t="shared" si="11"/>
        <v>2100000</v>
      </c>
      <c r="I75" s="538">
        <f t="shared" si="12"/>
        <v>2100000</v>
      </c>
      <c r="J75" s="538">
        <f t="shared" si="22"/>
        <v>0</v>
      </c>
      <c r="K75" s="538">
        <f t="shared" si="22"/>
        <v>2100000</v>
      </c>
      <c r="L75" s="538">
        <f t="shared" si="14"/>
        <v>0</v>
      </c>
      <c r="M75" s="538">
        <f t="shared" si="23"/>
        <v>0</v>
      </c>
      <c r="N75" s="538">
        <f t="shared" si="23"/>
        <v>0</v>
      </c>
    </row>
    <row r="76" spans="1:14" s="454" customFormat="1" ht="15" customHeight="1" hidden="1">
      <c r="A76" s="1009" t="s">
        <v>222</v>
      </c>
      <c r="B76" s="1010"/>
      <c r="C76" s="1011" t="s">
        <v>273</v>
      </c>
      <c r="D76" s="1012"/>
      <c r="E76" s="995" t="s">
        <v>895</v>
      </c>
      <c r="F76" s="996"/>
      <c r="G76" s="511" t="s">
        <v>13</v>
      </c>
      <c r="H76" s="541">
        <f t="shared" si="11"/>
        <v>2100000</v>
      </c>
      <c r="I76" s="542">
        <f t="shared" si="12"/>
        <v>2100000</v>
      </c>
      <c r="J76" s="542">
        <v>0</v>
      </c>
      <c r="K76" s="542">
        <v>2100000</v>
      </c>
      <c r="L76" s="542">
        <f t="shared" si="14"/>
        <v>0</v>
      </c>
      <c r="M76" s="542">
        <v>0</v>
      </c>
      <c r="N76" s="542">
        <v>0</v>
      </c>
    </row>
    <row r="77" spans="1:14" s="454" customFormat="1" ht="15" customHeight="1" hidden="1">
      <c r="A77" s="1005"/>
      <c r="B77" s="1006"/>
      <c r="C77" s="1007"/>
      <c r="D77" s="1008"/>
      <c r="E77" s="1024"/>
      <c r="F77" s="1025"/>
      <c r="G77" s="515" t="s">
        <v>14</v>
      </c>
      <c r="H77" s="541">
        <f t="shared" si="11"/>
        <v>0</v>
      </c>
      <c r="I77" s="542">
        <f t="shared" si="12"/>
        <v>0</v>
      </c>
      <c r="J77" s="542">
        <v>0</v>
      </c>
      <c r="K77" s="542">
        <v>0</v>
      </c>
      <c r="L77" s="542">
        <f t="shared" si="14"/>
        <v>0</v>
      </c>
      <c r="M77" s="542">
        <v>0</v>
      </c>
      <c r="N77" s="542">
        <v>0</v>
      </c>
    </row>
    <row r="78" spans="1:14" s="454" customFormat="1" ht="15" customHeight="1" hidden="1">
      <c r="A78" s="1005"/>
      <c r="B78" s="1006"/>
      <c r="C78" s="1007"/>
      <c r="D78" s="1008"/>
      <c r="E78" s="1026"/>
      <c r="F78" s="1027"/>
      <c r="G78" s="544" t="s">
        <v>15</v>
      </c>
      <c r="H78" s="541">
        <f t="shared" si="11"/>
        <v>2100000</v>
      </c>
      <c r="I78" s="542">
        <f t="shared" si="12"/>
        <v>2100000</v>
      </c>
      <c r="J78" s="542">
        <f>J76+J77</f>
        <v>0</v>
      </c>
      <c r="K78" s="542">
        <f>K76+K77</f>
        <v>2100000</v>
      </c>
      <c r="L78" s="542">
        <f>M78+N78</f>
        <v>0</v>
      </c>
      <c r="M78" s="542">
        <f>M76+M77</f>
        <v>0</v>
      </c>
      <c r="N78" s="542">
        <f>N76+N77</f>
        <v>0</v>
      </c>
    </row>
    <row r="79" spans="1:14" s="467" customFormat="1" ht="15" customHeight="1" hidden="1">
      <c r="A79" s="1086" t="s">
        <v>900</v>
      </c>
      <c r="B79" s="1087"/>
      <c r="C79" s="1087"/>
      <c r="D79" s="1087"/>
      <c r="E79" s="1087"/>
      <c r="F79" s="1088"/>
      <c r="G79" s="547" t="s">
        <v>13</v>
      </c>
      <c r="H79" s="537">
        <f t="shared" si="11"/>
        <v>2801180</v>
      </c>
      <c r="I79" s="538">
        <f t="shared" si="12"/>
        <v>2801180</v>
      </c>
      <c r="J79" s="538">
        <f aca="true" t="shared" si="24" ref="J79:K81">J82</f>
        <v>0</v>
      </c>
      <c r="K79" s="538">
        <f t="shared" si="24"/>
        <v>2801180</v>
      </c>
      <c r="L79" s="538">
        <f t="shared" si="14"/>
        <v>0</v>
      </c>
      <c r="M79" s="538">
        <f aca="true" t="shared" si="25" ref="M79:N81">M82</f>
        <v>0</v>
      </c>
      <c r="N79" s="538">
        <f t="shared" si="25"/>
        <v>0</v>
      </c>
    </row>
    <row r="80" spans="1:14" s="467" customFormat="1" ht="15" customHeight="1" hidden="1">
      <c r="A80" s="1089"/>
      <c r="B80" s="1090"/>
      <c r="C80" s="1090"/>
      <c r="D80" s="1090"/>
      <c r="E80" s="1090"/>
      <c r="F80" s="1091"/>
      <c r="G80" s="548" t="s">
        <v>14</v>
      </c>
      <c r="H80" s="537">
        <f t="shared" si="11"/>
        <v>0</v>
      </c>
      <c r="I80" s="538">
        <f t="shared" si="12"/>
        <v>0</v>
      </c>
      <c r="J80" s="538">
        <f t="shared" si="24"/>
        <v>0</v>
      </c>
      <c r="K80" s="538">
        <f t="shared" si="24"/>
        <v>0</v>
      </c>
      <c r="L80" s="538">
        <f t="shared" si="14"/>
        <v>0</v>
      </c>
      <c r="M80" s="538">
        <f t="shared" si="25"/>
        <v>0</v>
      </c>
      <c r="N80" s="538">
        <f t="shared" si="25"/>
        <v>0</v>
      </c>
    </row>
    <row r="81" spans="1:14" s="467" customFormat="1" ht="15" customHeight="1" hidden="1">
      <c r="A81" s="1092"/>
      <c r="B81" s="1093"/>
      <c r="C81" s="1093"/>
      <c r="D81" s="1093"/>
      <c r="E81" s="1093"/>
      <c r="F81" s="1094"/>
      <c r="G81" s="549" t="s">
        <v>15</v>
      </c>
      <c r="H81" s="537">
        <f t="shared" si="11"/>
        <v>2801180</v>
      </c>
      <c r="I81" s="538">
        <f t="shared" si="12"/>
        <v>2801180</v>
      </c>
      <c r="J81" s="538">
        <f t="shared" si="24"/>
        <v>0</v>
      </c>
      <c r="K81" s="538">
        <f t="shared" si="24"/>
        <v>2801180</v>
      </c>
      <c r="L81" s="538">
        <f t="shared" si="14"/>
        <v>0</v>
      </c>
      <c r="M81" s="538">
        <f t="shared" si="25"/>
        <v>0</v>
      </c>
      <c r="N81" s="538">
        <f t="shared" si="25"/>
        <v>0</v>
      </c>
    </row>
    <row r="82" spans="1:14" s="454" customFormat="1" ht="15" customHeight="1" hidden="1">
      <c r="A82" s="1009" t="s">
        <v>222</v>
      </c>
      <c r="B82" s="1010"/>
      <c r="C82" s="1011" t="s">
        <v>273</v>
      </c>
      <c r="D82" s="1012"/>
      <c r="E82" s="995" t="s">
        <v>895</v>
      </c>
      <c r="F82" s="996"/>
      <c r="G82" s="511" t="s">
        <v>13</v>
      </c>
      <c r="H82" s="541">
        <f t="shared" si="11"/>
        <v>2801180</v>
      </c>
      <c r="I82" s="542">
        <f t="shared" si="12"/>
        <v>2801180</v>
      </c>
      <c r="J82" s="542">
        <v>0</v>
      </c>
      <c r="K82" s="542">
        <v>2801180</v>
      </c>
      <c r="L82" s="542">
        <f t="shared" si="14"/>
        <v>0</v>
      </c>
      <c r="M82" s="542">
        <v>0</v>
      </c>
      <c r="N82" s="542">
        <v>0</v>
      </c>
    </row>
    <row r="83" spans="1:14" s="454" customFormat="1" ht="15" customHeight="1" hidden="1">
      <c r="A83" s="1005"/>
      <c r="B83" s="1006"/>
      <c r="C83" s="1007"/>
      <c r="D83" s="1008"/>
      <c r="E83" s="997"/>
      <c r="F83" s="998"/>
      <c r="G83" s="546" t="s">
        <v>14</v>
      </c>
      <c r="H83" s="541">
        <f t="shared" si="11"/>
        <v>0</v>
      </c>
      <c r="I83" s="542">
        <f t="shared" si="12"/>
        <v>0</v>
      </c>
      <c r="J83" s="542">
        <v>0</v>
      </c>
      <c r="K83" s="542">
        <v>0</v>
      </c>
      <c r="L83" s="542">
        <f t="shared" si="14"/>
        <v>0</v>
      </c>
      <c r="M83" s="542">
        <v>0</v>
      </c>
      <c r="N83" s="542">
        <v>0</v>
      </c>
    </row>
    <row r="84" spans="1:14" s="454" customFormat="1" ht="15" customHeight="1" hidden="1">
      <c r="A84" s="1005"/>
      <c r="B84" s="1006"/>
      <c r="C84" s="1007"/>
      <c r="D84" s="1008"/>
      <c r="E84" s="999"/>
      <c r="F84" s="1000"/>
      <c r="G84" s="544" t="s">
        <v>15</v>
      </c>
      <c r="H84" s="541">
        <f t="shared" si="11"/>
        <v>2801180</v>
      </c>
      <c r="I84" s="542">
        <f t="shared" si="12"/>
        <v>2801180</v>
      </c>
      <c r="J84" s="542">
        <f>J82+J83</f>
        <v>0</v>
      </c>
      <c r="K84" s="542">
        <f>K82+K83</f>
        <v>2801180</v>
      </c>
      <c r="L84" s="542">
        <f>M84+N84</f>
        <v>0</v>
      </c>
      <c r="M84" s="542">
        <f>M82+M83</f>
        <v>0</v>
      </c>
      <c r="N84" s="542">
        <f>N82+N83</f>
        <v>0</v>
      </c>
    </row>
    <row r="85" spans="1:14" s="467" customFormat="1" ht="15" customHeight="1" hidden="1">
      <c r="A85" s="1086" t="s">
        <v>901</v>
      </c>
      <c r="B85" s="1087"/>
      <c r="C85" s="1087"/>
      <c r="D85" s="1087"/>
      <c r="E85" s="1087"/>
      <c r="F85" s="1088"/>
      <c r="G85" s="547" t="s">
        <v>13</v>
      </c>
      <c r="H85" s="537">
        <f t="shared" si="11"/>
        <v>920714</v>
      </c>
      <c r="I85" s="538">
        <f t="shared" si="12"/>
        <v>920714</v>
      </c>
      <c r="J85" s="538">
        <f aca="true" t="shared" si="26" ref="J85:K87">J88</f>
        <v>0</v>
      </c>
      <c r="K85" s="538">
        <f t="shared" si="26"/>
        <v>920714</v>
      </c>
      <c r="L85" s="538">
        <f t="shared" si="14"/>
        <v>0</v>
      </c>
      <c r="M85" s="538">
        <f aca="true" t="shared" si="27" ref="M85:N87">M88</f>
        <v>0</v>
      </c>
      <c r="N85" s="538">
        <f t="shared" si="27"/>
        <v>0</v>
      </c>
    </row>
    <row r="86" spans="1:14" s="467" customFormat="1" ht="15" customHeight="1" hidden="1">
      <c r="A86" s="1089"/>
      <c r="B86" s="1090"/>
      <c r="C86" s="1090"/>
      <c r="D86" s="1090"/>
      <c r="E86" s="1090"/>
      <c r="F86" s="1091"/>
      <c r="G86" s="548" t="s">
        <v>14</v>
      </c>
      <c r="H86" s="537">
        <f t="shared" si="11"/>
        <v>0</v>
      </c>
      <c r="I86" s="538">
        <f t="shared" si="12"/>
        <v>0</v>
      </c>
      <c r="J86" s="538">
        <f t="shared" si="26"/>
        <v>0</v>
      </c>
      <c r="K86" s="538">
        <f t="shared" si="26"/>
        <v>0</v>
      </c>
      <c r="L86" s="538">
        <f t="shared" si="14"/>
        <v>0</v>
      </c>
      <c r="M86" s="538">
        <f t="shared" si="27"/>
        <v>0</v>
      </c>
      <c r="N86" s="538">
        <f t="shared" si="27"/>
        <v>0</v>
      </c>
    </row>
    <row r="87" spans="1:14" s="467" customFormat="1" ht="15" customHeight="1" hidden="1">
      <c r="A87" s="1092"/>
      <c r="B87" s="1093"/>
      <c r="C87" s="1093"/>
      <c r="D87" s="1093"/>
      <c r="E87" s="1093"/>
      <c r="F87" s="1094"/>
      <c r="G87" s="548" t="s">
        <v>15</v>
      </c>
      <c r="H87" s="537">
        <f t="shared" si="11"/>
        <v>920714</v>
      </c>
      <c r="I87" s="538">
        <f t="shared" si="12"/>
        <v>920714</v>
      </c>
      <c r="J87" s="538">
        <f t="shared" si="26"/>
        <v>0</v>
      </c>
      <c r="K87" s="538">
        <f t="shared" si="26"/>
        <v>920714</v>
      </c>
      <c r="L87" s="538">
        <f t="shared" si="14"/>
        <v>0</v>
      </c>
      <c r="M87" s="538">
        <f t="shared" si="27"/>
        <v>0</v>
      </c>
      <c r="N87" s="538">
        <f t="shared" si="27"/>
        <v>0</v>
      </c>
    </row>
    <row r="88" spans="1:14" s="454" customFormat="1" ht="15" customHeight="1" hidden="1">
      <c r="A88" s="1009" t="s">
        <v>222</v>
      </c>
      <c r="B88" s="1010"/>
      <c r="C88" s="1011" t="s">
        <v>273</v>
      </c>
      <c r="D88" s="1012"/>
      <c r="E88" s="995" t="s">
        <v>902</v>
      </c>
      <c r="F88" s="996"/>
      <c r="G88" s="546" t="s">
        <v>13</v>
      </c>
      <c r="H88" s="541">
        <f t="shared" si="11"/>
        <v>920714</v>
      </c>
      <c r="I88" s="542">
        <f t="shared" si="12"/>
        <v>920714</v>
      </c>
      <c r="J88" s="542">
        <f aca="true" t="shared" si="28" ref="J88:K90">J91+J94</f>
        <v>0</v>
      </c>
      <c r="K88" s="542">
        <f t="shared" si="28"/>
        <v>920714</v>
      </c>
      <c r="L88" s="542">
        <f t="shared" si="14"/>
        <v>0</v>
      </c>
      <c r="M88" s="542">
        <f aca="true" t="shared" si="29" ref="M88:N90">M91+M94</f>
        <v>0</v>
      </c>
      <c r="N88" s="542">
        <f t="shared" si="29"/>
        <v>0</v>
      </c>
    </row>
    <row r="89" spans="1:14" s="454" customFormat="1" ht="15" customHeight="1" hidden="1">
      <c r="A89" s="1005"/>
      <c r="B89" s="1006"/>
      <c r="C89" s="1007"/>
      <c r="D89" s="1008"/>
      <c r="E89" s="997"/>
      <c r="F89" s="998"/>
      <c r="G89" s="546" t="s">
        <v>14</v>
      </c>
      <c r="H89" s="541">
        <f t="shared" si="11"/>
        <v>0</v>
      </c>
      <c r="I89" s="542">
        <f t="shared" si="12"/>
        <v>0</v>
      </c>
      <c r="J89" s="542">
        <f t="shared" si="28"/>
        <v>0</v>
      </c>
      <c r="K89" s="542">
        <f t="shared" si="28"/>
        <v>0</v>
      </c>
      <c r="L89" s="542">
        <f t="shared" si="14"/>
        <v>0</v>
      </c>
      <c r="M89" s="542">
        <f t="shared" si="29"/>
        <v>0</v>
      </c>
      <c r="N89" s="542">
        <f t="shared" si="29"/>
        <v>0</v>
      </c>
    </row>
    <row r="90" spans="1:14" s="454" customFormat="1" ht="15" customHeight="1" hidden="1">
      <c r="A90" s="1005"/>
      <c r="B90" s="1006"/>
      <c r="C90" s="1007"/>
      <c r="D90" s="1008"/>
      <c r="E90" s="999"/>
      <c r="F90" s="1000"/>
      <c r="G90" s="546" t="s">
        <v>15</v>
      </c>
      <c r="H90" s="541">
        <f t="shared" si="11"/>
        <v>920714</v>
      </c>
      <c r="I90" s="542">
        <f t="shared" si="12"/>
        <v>920714</v>
      </c>
      <c r="J90" s="542">
        <f t="shared" si="28"/>
        <v>0</v>
      </c>
      <c r="K90" s="542">
        <f t="shared" si="28"/>
        <v>920714</v>
      </c>
      <c r="L90" s="542">
        <f t="shared" si="14"/>
        <v>0</v>
      </c>
      <c r="M90" s="542">
        <f t="shared" si="29"/>
        <v>0</v>
      </c>
      <c r="N90" s="542">
        <f t="shared" si="29"/>
        <v>0</v>
      </c>
    </row>
    <row r="91" spans="1:14" s="553" customFormat="1" ht="15" customHeight="1" hidden="1">
      <c r="A91" s="1104"/>
      <c r="B91" s="1105"/>
      <c r="C91" s="1106"/>
      <c r="D91" s="1107"/>
      <c r="E91" s="1108" t="s">
        <v>903</v>
      </c>
      <c r="F91" s="1109"/>
      <c r="G91" s="550" t="s">
        <v>13</v>
      </c>
      <c r="H91" s="551">
        <f t="shared" si="11"/>
        <v>850850</v>
      </c>
      <c r="I91" s="552">
        <f t="shared" si="12"/>
        <v>850850</v>
      </c>
      <c r="J91" s="552">
        <v>0</v>
      </c>
      <c r="K91" s="552">
        <v>850850</v>
      </c>
      <c r="L91" s="552">
        <f t="shared" si="14"/>
        <v>0</v>
      </c>
      <c r="M91" s="552">
        <v>0</v>
      </c>
      <c r="N91" s="552">
        <v>0</v>
      </c>
    </row>
    <row r="92" spans="1:14" s="553" customFormat="1" ht="15" customHeight="1" hidden="1">
      <c r="A92" s="1104"/>
      <c r="B92" s="1105"/>
      <c r="C92" s="1106"/>
      <c r="D92" s="1107"/>
      <c r="E92" s="1024"/>
      <c r="F92" s="1025"/>
      <c r="G92" s="554" t="s">
        <v>14</v>
      </c>
      <c r="H92" s="551">
        <f t="shared" si="11"/>
        <v>0</v>
      </c>
      <c r="I92" s="552">
        <f t="shared" si="12"/>
        <v>0</v>
      </c>
      <c r="J92" s="552">
        <v>0</v>
      </c>
      <c r="K92" s="552">
        <v>0</v>
      </c>
      <c r="L92" s="552">
        <f t="shared" si="14"/>
        <v>0</v>
      </c>
      <c r="M92" s="552">
        <v>0</v>
      </c>
      <c r="N92" s="552">
        <v>0</v>
      </c>
    </row>
    <row r="93" spans="1:14" s="553" customFormat="1" ht="15" customHeight="1" hidden="1">
      <c r="A93" s="1104"/>
      <c r="B93" s="1105"/>
      <c r="C93" s="1106"/>
      <c r="D93" s="1107"/>
      <c r="E93" s="1026"/>
      <c r="F93" s="1027"/>
      <c r="G93" s="554" t="s">
        <v>15</v>
      </c>
      <c r="H93" s="551">
        <f t="shared" si="11"/>
        <v>850850</v>
      </c>
      <c r="I93" s="552">
        <f t="shared" si="12"/>
        <v>850850</v>
      </c>
      <c r="J93" s="552">
        <f>J91+J92</f>
        <v>0</v>
      </c>
      <c r="K93" s="552">
        <f>K91+K92</f>
        <v>850850</v>
      </c>
      <c r="L93" s="552">
        <f>M93+N93</f>
        <v>0</v>
      </c>
      <c r="M93" s="552">
        <f>M91+M92</f>
        <v>0</v>
      </c>
      <c r="N93" s="552">
        <f>N91+N92</f>
        <v>0</v>
      </c>
    </row>
    <row r="94" spans="1:14" s="553" customFormat="1" ht="15" customHeight="1" hidden="1">
      <c r="A94" s="1104"/>
      <c r="B94" s="1105"/>
      <c r="C94" s="1106"/>
      <c r="D94" s="1107"/>
      <c r="E94" s="1108" t="s">
        <v>904</v>
      </c>
      <c r="F94" s="1109"/>
      <c r="G94" s="550" t="s">
        <v>13</v>
      </c>
      <c r="H94" s="555">
        <f t="shared" si="11"/>
        <v>69864</v>
      </c>
      <c r="I94" s="556">
        <f t="shared" si="12"/>
        <v>69864</v>
      </c>
      <c r="J94" s="556">
        <v>0</v>
      </c>
      <c r="K94" s="556">
        <v>69864</v>
      </c>
      <c r="L94" s="552">
        <f>M94+N94</f>
        <v>0</v>
      </c>
      <c r="M94" s="556">
        <v>0</v>
      </c>
      <c r="N94" s="556">
        <v>0</v>
      </c>
    </row>
    <row r="95" spans="1:14" s="553" customFormat="1" ht="15" customHeight="1" hidden="1">
      <c r="A95" s="1104"/>
      <c r="B95" s="1105"/>
      <c r="C95" s="1106"/>
      <c r="D95" s="1107"/>
      <c r="E95" s="1110"/>
      <c r="F95" s="1111"/>
      <c r="G95" s="550" t="s">
        <v>14</v>
      </c>
      <c r="H95" s="555">
        <f t="shared" si="11"/>
        <v>0</v>
      </c>
      <c r="I95" s="556">
        <f t="shared" si="12"/>
        <v>0</v>
      </c>
      <c r="J95" s="556">
        <v>0</v>
      </c>
      <c r="K95" s="556">
        <v>0</v>
      </c>
      <c r="L95" s="552">
        <f>M95+N95</f>
        <v>0</v>
      </c>
      <c r="M95" s="556">
        <v>0</v>
      </c>
      <c r="N95" s="556">
        <v>0</v>
      </c>
    </row>
    <row r="96" spans="1:14" s="553" customFormat="1" ht="15" customHeight="1" hidden="1">
      <c r="A96" s="1104"/>
      <c r="B96" s="1105"/>
      <c r="C96" s="1106"/>
      <c r="D96" s="1107"/>
      <c r="E96" s="1112"/>
      <c r="F96" s="1113"/>
      <c r="G96" s="554" t="s">
        <v>15</v>
      </c>
      <c r="H96" s="551">
        <f>I96+L96</f>
        <v>69864</v>
      </c>
      <c r="I96" s="552">
        <f>J96+K96</f>
        <v>69864</v>
      </c>
      <c r="J96" s="552">
        <f>J94+J95</f>
        <v>0</v>
      </c>
      <c r="K96" s="552">
        <f>K94+K95</f>
        <v>69864</v>
      </c>
      <c r="L96" s="552">
        <f>M96+N96</f>
        <v>0</v>
      </c>
      <c r="M96" s="552">
        <f>M94+M95</f>
        <v>0</v>
      </c>
      <c r="N96" s="552">
        <f>N94+N95</f>
        <v>0</v>
      </c>
    </row>
    <row r="97" spans="1:14" s="467" customFormat="1" ht="15" customHeight="1" hidden="1">
      <c r="A97" s="1086" t="s">
        <v>274</v>
      </c>
      <c r="B97" s="1114"/>
      <c r="C97" s="1114"/>
      <c r="D97" s="1114"/>
      <c r="E97" s="1114"/>
      <c r="F97" s="1115"/>
      <c r="G97" s="502" t="s">
        <v>13</v>
      </c>
      <c r="H97" s="537">
        <f t="shared" si="11"/>
        <v>1183900</v>
      </c>
      <c r="I97" s="538">
        <f t="shared" si="12"/>
        <v>1183900</v>
      </c>
      <c r="J97" s="538">
        <f aca="true" t="shared" si="30" ref="J97:K99">J100</f>
        <v>0</v>
      </c>
      <c r="K97" s="538">
        <f t="shared" si="30"/>
        <v>1183900</v>
      </c>
      <c r="L97" s="538">
        <f aca="true" t="shared" si="31" ref="L97:L128">M97+N97</f>
        <v>0</v>
      </c>
      <c r="M97" s="538">
        <f aca="true" t="shared" si="32" ref="M97:N99">M100</f>
        <v>0</v>
      </c>
      <c r="N97" s="538">
        <f t="shared" si="32"/>
        <v>0</v>
      </c>
    </row>
    <row r="98" spans="1:14" s="467" customFormat="1" ht="15" customHeight="1" hidden="1">
      <c r="A98" s="1116"/>
      <c r="B98" s="1117"/>
      <c r="C98" s="1117"/>
      <c r="D98" s="1117"/>
      <c r="E98" s="1117"/>
      <c r="F98" s="1118"/>
      <c r="G98" s="502" t="s">
        <v>14</v>
      </c>
      <c r="H98" s="537">
        <f t="shared" si="11"/>
        <v>0</v>
      </c>
      <c r="I98" s="538">
        <f t="shared" si="12"/>
        <v>0</v>
      </c>
      <c r="J98" s="538">
        <f t="shared" si="30"/>
        <v>0</v>
      </c>
      <c r="K98" s="538">
        <f t="shared" si="30"/>
        <v>0</v>
      </c>
      <c r="L98" s="538">
        <f t="shared" si="31"/>
        <v>0</v>
      </c>
      <c r="M98" s="538">
        <f t="shared" si="32"/>
        <v>0</v>
      </c>
      <c r="N98" s="538">
        <f t="shared" si="32"/>
        <v>0</v>
      </c>
    </row>
    <row r="99" spans="1:14" s="467" customFormat="1" ht="15" customHeight="1" hidden="1">
      <c r="A99" s="1119"/>
      <c r="B99" s="1120"/>
      <c r="C99" s="1120"/>
      <c r="D99" s="1120"/>
      <c r="E99" s="1120"/>
      <c r="F99" s="1121"/>
      <c r="G99" s="502" t="s">
        <v>15</v>
      </c>
      <c r="H99" s="537">
        <f t="shared" si="11"/>
        <v>1183900</v>
      </c>
      <c r="I99" s="538">
        <f t="shared" si="12"/>
        <v>1183900</v>
      </c>
      <c r="J99" s="538">
        <f t="shared" si="30"/>
        <v>0</v>
      </c>
      <c r="K99" s="538">
        <f t="shared" si="30"/>
        <v>1183900</v>
      </c>
      <c r="L99" s="538">
        <f t="shared" si="31"/>
        <v>0</v>
      </c>
      <c r="M99" s="538">
        <f t="shared" si="32"/>
        <v>0</v>
      </c>
      <c r="N99" s="538">
        <f t="shared" si="32"/>
        <v>0</v>
      </c>
    </row>
    <row r="100" spans="1:14" s="454" customFormat="1" ht="15" customHeight="1" hidden="1">
      <c r="A100" s="1009" t="s">
        <v>222</v>
      </c>
      <c r="B100" s="1010"/>
      <c r="C100" s="1011" t="s">
        <v>273</v>
      </c>
      <c r="D100" s="1012"/>
      <c r="E100" s="995" t="s">
        <v>895</v>
      </c>
      <c r="F100" s="996"/>
      <c r="G100" s="546" t="s">
        <v>13</v>
      </c>
      <c r="H100" s="512">
        <f t="shared" si="11"/>
        <v>1183900</v>
      </c>
      <c r="I100" s="513">
        <f t="shared" si="12"/>
        <v>1183900</v>
      </c>
      <c r="J100" s="513">
        <v>0</v>
      </c>
      <c r="K100" s="513">
        <v>1183900</v>
      </c>
      <c r="L100" s="513">
        <f t="shared" si="31"/>
        <v>0</v>
      </c>
      <c r="M100" s="513">
        <v>0</v>
      </c>
      <c r="N100" s="513">
        <v>0</v>
      </c>
    </row>
    <row r="101" spans="1:14" s="454" customFormat="1" ht="15" customHeight="1" hidden="1">
      <c r="A101" s="1005"/>
      <c r="B101" s="1006"/>
      <c r="C101" s="1007"/>
      <c r="D101" s="1008"/>
      <c r="E101" s="1024"/>
      <c r="F101" s="1025"/>
      <c r="G101" s="543" t="s">
        <v>14</v>
      </c>
      <c r="H101" s="512">
        <f t="shared" si="11"/>
        <v>0</v>
      </c>
      <c r="I101" s="513">
        <f t="shared" si="12"/>
        <v>0</v>
      </c>
      <c r="J101" s="513">
        <v>0</v>
      </c>
      <c r="K101" s="513">
        <v>0</v>
      </c>
      <c r="L101" s="513">
        <f t="shared" si="31"/>
        <v>0</v>
      </c>
      <c r="M101" s="513">
        <v>0</v>
      </c>
      <c r="N101" s="513">
        <v>0</v>
      </c>
    </row>
    <row r="102" spans="1:14" s="454" customFormat="1" ht="15" customHeight="1" hidden="1">
      <c r="A102" s="1005"/>
      <c r="B102" s="1006"/>
      <c r="C102" s="1007"/>
      <c r="D102" s="1008"/>
      <c r="E102" s="1026"/>
      <c r="F102" s="1027"/>
      <c r="G102" s="544" t="s">
        <v>15</v>
      </c>
      <c r="H102" s="541">
        <f>I102+L102</f>
        <v>1183900</v>
      </c>
      <c r="I102" s="542">
        <f>J102+K102</f>
        <v>1183900</v>
      </c>
      <c r="J102" s="542">
        <f>J100+J101</f>
        <v>0</v>
      </c>
      <c r="K102" s="542">
        <f>K100+K101</f>
        <v>1183900</v>
      </c>
      <c r="L102" s="542">
        <f t="shared" si="31"/>
        <v>0</v>
      </c>
      <c r="M102" s="542">
        <f>M100+M101</f>
        <v>0</v>
      </c>
      <c r="N102" s="542">
        <f>N100+N101</f>
        <v>0</v>
      </c>
    </row>
    <row r="103" spans="1:14" s="467" customFormat="1" ht="15" customHeight="1" hidden="1">
      <c r="A103" s="1086" t="s">
        <v>905</v>
      </c>
      <c r="B103" s="1114"/>
      <c r="C103" s="1114"/>
      <c r="D103" s="1114"/>
      <c r="E103" s="1114"/>
      <c r="F103" s="1115"/>
      <c r="G103" s="502" t="s">
        <v>13</v>
      </c>
      <c r="H103" s="537">
        <f t="shared" si="11"/>
        <v>1087300</v>
      </c>
      <c r="I103" s="538">
        <f t="shared" si="12"/>
        <v>1087300</v>
      </c>
      <c r="J103" s="538">
        <f aca="true" t="shared" si="33" ref="J103:K105">J106</f>
        <v>0</v>
      </c>
      <c r="K103" s="538">
        <f t="shared" si="33"/>
        <v>1087300</v>
      </c>
      <c r="L103" s="538">
        <f t="shared" si="31"/>
        <v>0</v>
      </c>
      <c r="M103" s="538">
        <f aca="true" t="shared" si="34" ref="M103:N105">M106</f>
        <v>0</v>
      </c>
      <c r="N103" s="538">
        <f t="shared" si="34"/>
        <v>0</v>
      </c>
    </row>
    <row r="104" spans="1:14" s="467" customFormat="1" ht="15" customHeight="1" hidden="1">
      <c r="A104" s="1116"/>
      <c r="B104" s="1117"/>
      <c r="C104" s="1117"/>
      <c r="D104" s="1117"/>
      <c r="E104" s="1117"/>
      <c r="F104" s="1118"/>
      <c r="G104" s="502" t="s">
        <v>14</v>
      </c>
      <c r="H104" s="537">
        <f t="shared" si="11"/>
        <v>0</v>
      </c>
      <c r="I104" s="538">
        <f t="shared" si="12"/>
        <v>0</v>
      </c>
      <c r="J104" s="538">
        <f t="shared" si="33"/>
        <v>0</v>
      </c>
      <c r="K104" s="538">
        <f t="shared" si="33"/>
        <v>0</v>
      </c>
      <c r="L104" s="538">
        <f t="shared" si="31"/>
        <v>0</v>
      </c>
      <c r="M104" s="538">
        <f t="shared" si="34"/>
        <v>0</v>
      </c>
      <c r="N104" s="538">
        <f t="shared" si="34"/>
        <v>0</v>
      </c>
    </row>
    <row r="105" spans="1:14" s="467" customFormat="1" ht="15" customHeight="1" hidden="1">
      <c r="A105" s="1119"/>
      <c r="B105" s="1120"/>
      <c r="C105" s="1120"/>
      <c r="D105" s="1120"/>
      <c r="E105" s="1120"/>
      <c r="F105" s="1121"/>
      <c r="G105" s="502" t="s">
        <v>15</v>
      </c>
      <c r="H105" s="537">
        <f t="shared" si="11"/>
        <v>1087300</v>
      </c>
      <c r="I105" s="538">
        <f t="shared" si="12"/>
        <v>1087300</v>
      </c>
      <c r="J105" s="538">
        <f t="shared" si="33"/>
        <v>0</v>
      </c>
      <c r="K105" s="538">
        <f t="shared" si="33"/>
        <v>1087300</v>
      </c>
      <c r="L105" s="538">
        <f t="shared" si="31"/>
        <v>0</v>
      </c>
      <c r="M105" s="538">
        <f t="shared" si="34"/>
        <v>0</v>
      </c>
      <c r="N105" s="538">
        <f t="shared" si="34"/>
        <v>0</v>
      </c>
    </row>
    <row r="106" spans="1:14" s="454" customFormat="1" ht="15" customHeight="1" hidden="1">
      <c r="A106" s="1009" t="s">
        <v>222</v>
      </c>
      <c r="B106" s="1010"/>
      <c r="C106" s="1011" t="s">
        <v>275</v>
      </c>
      <c r="D106" s="1012"/>
      <c r="E106" s="995" t="s">
        <v>895</v>
      </c>
      <c r="F106" s="996"/>
      <c r="G106" s="546" t="s">
        <v>13</v>
      </c>
      <c r="H106" s="512">
        <f t="shared" si="11"/>
        <v>1087300</v>
      </c>
      <c r="I106" s="513">
        <f t="shared" si="12"/>
        <v>1087300</v>
      </c>
      <c r="J106" s="513">
        <v>0</v>
      </c>
      <c r="K106" s="513">
        <v>1087300</v>
      </c>
      <c r="L106" s="513">
        <f t="shared" si="31"/>
        <v>0</v>
      </c>
      <c r="M106" s="513">
        <v>0</v>
      </c>
      <c r="N106" s="513">
        <v>0</v>
      </c>
    </row>
    <row r="107" spans="1:14" s="454" customFormat="1" ht="15" customHeight="1" hidden="1">
      <c r="A107" s="1005"/>
      <c r="B107" s="1006"/>
      <c r="C107" s="1007"/>
      <c r="D107" s="1008"/>
      <c r="E107" s="997"/>
      <c r="F107" s="998"/>
      <c r="G107" s="546" t="s">
        <v>14</v>
      </c>
      <c r="H107" s="512">
        <f aca="true" t="shared" si="35" ref="H107:H171">I107+L107</f>
        <v>0</v>
      </c>
      <c r="I107" s="513">
        <f aca="true" t="shared" si="36" ref="I107:I171">J107+K107</f>
        <v>0</v>
      </c>
      <c r="J107" s="513">
        <v>0</v>
      </c>
      <c r="K107" s="513">
        <v>0</v>
      </c>
      <c r="L107" s="513">
        <f t="shared" si="31"/>
        <v>0</v>
      </c>
      <c r="M107" s="513">
        <v>0</v>
      </c>
      <c r="N107" s="513">
        <v>0</v>
      </c>
    </row>
    <row r="108" spans="1:14" s="454" customFormat="1" ht="15" customHeight="1" hidden="1">
      <c r="A108" s="1005"/>
      <c r="B108" s="1006"/>
      <c r="C108" s="1007"/>
      <c r="D108" s="1008"/>
      <c r="E108" s="999"/>
      <c r="F108" s="1000"/>
      <c r="G108" s="544" t="s">
        <v>15</v>
      </c>
      <c r="H108" s="541">
        <f t="shared" si="35"/>
        <v>1087300</v>
      </c>
      <c r="I108" s="542">
        <f t="shared" si="36"/>
        <v>1087300</v>
      </c>
      <c r="J108" s="542">
        <f>J106+J107</f>
        <v>0</v>
      </c>
      <c r="K108" s="542">
        <f>K106+K107</f>
        <v>1087300</v>
      </c>
      <c r="L108" s="542">
        <f t="shared" si="31"/>
        <v>0</v>
      </c>
      <c r="M108" s="542">
        <f>M106+M107</f>
        <v>0</v>
      </c>
      <c r="N108" s="542">
        <f>N106+N107</f>
        <v>0</v>
      </c>
    </row>
    <row r="109" spans="1:14" s="467" customFormat="1" ht="15" customHeight="1" hidden="1">
      <c r="A109" s="1086" t="s">
        <v>906</v>
      </c>
      <c r="B109" s="1087"/>
      <c r="C109" s="1087"/>
      <c r="D109" s="1087"/>
      <c r="E109" s="1087"/>
      <c r="F109" s="1088"/>
      <c r="G109" s="548" t="s">
        <v>13</v>
      </c>
      <c r="H109" s="537">
        <f t="shared" si="35"/>
        <v>1367000</v>
      </c>
      <c r="I109" s="538">
        <f t="shared" si="36"/>
        <v>1367000</v>
      </c>
      <c r="J109" s="538">
        <f aca="true" t="shared" si="37" ref="J109:K111">J112</f>
        <v>0</v>
      </c>
      <c r="K109" s="538">
        <f t="shared" si="37"/>
        <v>1367000</v>
      </c>
      <c r="L109" s="538">
        <f t="shared" si="31"/>
        <v>0</v>
      </c>
      <c r="M109" s="538">
        <f aca="true" t="shared" si="38" ref="M109:N111">M112</f>
        <v>0</v>
      </c>
      <c r="N109" s="538">
        <f t="shared" si="38"/>
        <v>0</v>
      </c>
    </row>
    <row r="110" spans="1:14" s="467" customFormat="1" ht="15" customHeight="1" hidden="1">
      <c r="A110" s="1089"/>
      <c r="B110" s="1090"/>
      <c r="C110" s="1090"/>
      <c r="D110" s="1090"/>
      <c r="E110" s="1090"/>
      <c r="F110" s="1091"/>
      <c r="G110" s="548" t="s">
        <v>14</v>
      </c>
      <c r="H110" s="537">
        <f t="shared" si="35"/>
        <v>0</v>
      </c>
      <c r="I110" s="538">
        <f t="shared" si="36"/>
        <v>0</v>
      </c>
      <c r="J110" s="538">
        <f t="shared" si="37"/>
        <v>0</v>
      </c>
      <c r="K110" s="538">
        <f t="shared" si="37"/>
        <v>0</v>
      </c>
      <c r="L110" s="538">
        <f t="shared" si="31"/>
        <v>0</v>
      </c>
      <c r="M110" s="538">
        <f t="shared" si="38"/>
        <v>0</v>
      </c>
      <c r="N110" s="538">
        <f t="shared" si="38"/>
        <v>0</v>
      </c>
    </row>
    <row r="111" spans="1:14" s="467" customFormat="1" ht="15" customHeight="1" hidden="1">
      <c r="A111" s="1092"/>
      <c r="B111" s="1093"/>
      <c r="C111" s="1093"/>
      <c r="D111" s="1093"/>
      <c r="E111" s="1093"/>
      <c r="F111" s="1094"/>
      <c r="G111" s="548" t="s">
        <v>15</v>
      </c>
      <c r="H111" s="537">
        <f t="shared" si="35"/>
        <v>1367000</v>
      </c>
      <c r="I111" s="538">
        <f t="shared" si="36"/>
        <v>1367000</v>
      </c>
      <c r="J111" s="538">
        <f t="shared" si="37"/>
        <v>0</v>
      </c>
      <c r="K111" s="538">
        <f t="shared" si="37"/>
        <v>1367000</v>
      </c>
      <c r="L111" s="538">
        <f t="shared" si="31"/>
        <v>0</v>
      </c>
      <c r="M111" s="538">
        <f t="shared" si="38"/>
        <v>0</v>
      </c>
      <c r="N111" s="538">
        <f t="shared" si="38"/>
        <v>0</v>
      </c>
    </row>
    <row r="112" spans="1:14" s="454" customFormat="1" ht="15" customHeight="1" hidden="1">
      <c r="A112" s="1009" t="s">
        <v>222</v>
      </c>
      <c r="B112" s="1010"/>
      <c r="C112" s="1011" t="s">
        <v>275</v>
      </c>
      <c r="D112" s="1012"/>
      <c r="E112" s="995" t="s">
        <v>895</v>
      </c>
      <c r="F112" s="996"/>
      <c r="G112" s="546" t="s">
        <v>13</v>
      </c>
      <c r="H112" s="512">
        <f t="shared" si="35"/>
        <v>1367000</v>
      </c>
      <c r="I112" s="513">
        <f t="shared" si="36"/>
        <v>1367000</v>
      </c>
      <c r="J112" s="513">
        <v>0</v>
      </c>
      <c r="K112" s="513">
        <v>1367000</v>
      </c>
      <c r="L112" s="513">
        <f t="shared" si="31"/>
        <v>0</v>
      </c>
      <c r="M112" s="513">
        <v>0</v>
      </c>
      <c r="N112" s="513">
        <v>0</v>
      </c>
    </row>
    <row r="113" spans="1:14" s="454" customFormat="1" ht="15" customHeight="1" hidden="1">
      <c r="A113" s="1005"/>
      <c r="B113" s="1006"/>
      <c r="C113" s="1007"/>
      <c r="D113" s="1008"/>
      <c r="E113" s="1024"/>
      <c r="F113" s="1025"/>
      <c r="G113" s="543" t="s">
        <v>14</v>
      </c>
      <c r="H113" s="512">
        <f t="shared" si="35"/>
        <v>0</v>
      </c>
      <c r="I113" s="513">
        <f t="shared" si="36"/>
        <v>0</v>
      </c>
      <c r="J113" s="513">
        <v>0</v>
      </c>
      <c r="K113" s="513">
        <v>0</v>
      </c>
      <c r="L113" s="513">
        <f t="shared" si="31"/>
        <v>0</v>
      </c>
      <c r="M113" s="513">
        <v>0</v>
      </c>
      <c r="N113" s="513">
        <v>0</v>
      </c>
    </row>
    <row r="114" spans="1:14" s="454" customFormat="1" ht="15" customHeight="1" hidden="1">
      <c r="A114" s="1005"/>
      <c r="B114" s="1006"/>
      <c r="C114" s="1007"/>
      <c r="D114" s="1008"/>
      <c r="E114" s="1026"/>
      <c r="F114" s="1027"/>
      <c r="G114" s="544" t="s">
        <v>15</v>
      </c>
      <c r="H114" s="541">
        <f t="shared" si="35"/>
        <v>1367000</v>
      </c>
      <c r="I114" s="542">
        <f t="shared" si="36"/>
        <v>1367000</v>
      </c>
      <c r="J114" s="542">
        <f>J112+J113</f>
        <v>0</v>
      </c>
      <c r="K114" s="542">
        <f>K112+K113</f>
        <v>1367000</v>
      </c>
      <c r="L114" s="542">
        <f t="shared" si="31"/>
        <v>0</v>
      </c>
      <c r="M114" s="542">
        <f>M112+M113</f>
        <v>0</v>
      </c>
      <c r="N114" s="542">
        <f>N112+N113</f>
        <v>0</v>
      </c>
    </row>
    <row r="115" spans="1:14" s="467" customFormat="1" ht="15" customHeight="1" hidden="1">
      <c r="A115" s="1086" t="s">
        <v>907</v>
      </c>
      <c r="B115" s="1087"/>
      <c r="C115" s="1087"/>
      <c r="D115" s="1087"/>
      <c r="E115" s="1087"/>
      <c r="F115" s="1088"/>
      <c r="G115" s="548" t="s">
        <v>13</v>
      </c>
      <c r="H115" s="537">
        <f t="shared" si="35"/>
        <v>1299500</v>
      </c>
      <c r="I115" s="538">
        <f t="shared" si="36"/>
        <v>1299500</v>
      </c>
      <c r="J115" s="538">
        <f aca="true" t="shared" si="39" ref="J115:K117">J118</f>
        <v>0</v>
      </c>
      <c r="K115" s="538">
        <f t="shared" si="39"/>
        <v>1299500</v>
      </c>
      <c r="L115" s="538">
        <f t="shared" si="31"/>
        <v>0</v>
      </c>
      <c r="M115" s="538">
        <f aca="true" t="shared" si="40" ref="M115:N117">M118</f>
        <v>0</v>
      </c>
      <c r="N115" s="538">
        <f t="shared" si="40"/>
        <v>0</v>
      </c>
    </row>
    <row r="116" spans="1:14" s="467" customFormat="1" ht="15" customHeight="1" hidden="1">
      <c r="A116" s="1089"/>
      <c r="B116" s="1090"/>
      <c r="C116" s="1090"/>
      <c r="D116" s="1090"/>
      <c r="E116" s="1090"/>
      <c r="F116" s="1091"/>
      <c r="G116" s="548" t="s">
        <v>14</v>
      </c>
      <c r="H116" s="537">
        <f t="shared" si="35"/>
        <v>0</v>
      </c>
      <c r="I116" s="538">
        <f t="shared" si="36"/>
        <v>0</v>
      </c>
      <c r="J116" s="538">
        <f t="shared" si="39"/>
        <v>0</v>
      </c>
      <c r="K116" s="538">
        <f t="shared" si="39"/>
        <v>0</v>
      </c>
      <c r="L116" s="538">
        <f t="shared" si="31"/>
        <v>0</v>
      </c>
      <c r="M116" s="538">
        <f t="shared" si="40"/>
        <v>0</v>
      </c>
      <c r="N116" s="538">
        <f t="shared" si="40"/>
        <v>0</v>
      </c>
    </row>
    <row r="117" spans="1:14" s="467" customFormat="1" ht="15" customHeight="1" hidden="1">
      <c r="A117" s="1092"/>
      <c r="B117" s="1093"/>
      <c r="C117" s="1093"/>
      <c r="D117" s="1093"/>
      <c r="E117" s="1093"/>
      <c r="F117" s="1094"/>
      <c r="G117" s="548" t="s">
        <v>15</v>
      </c>
      <c r="H117" s="537">
        <f t="shared" si="35"/>
        <v>1299500</v>
      </c>
      <c r="I117" s="538">
        <f t="shared" si="36"/>
        <v>1299500</v>
      </c>
      <c r="J117" s="538">
        <f t="shared" si="39"/>
        <v>0</v>
      </c>
      <c r="K117" s="538">
        <f t="shared" si="39"/>
        <v>1299500</v>
      </c>
      <c r="L117" s="538">
        <f t="shared" si="31"/>
        <v>0</v>
      </c>
      <c r="M117" s="538">
        <f t="shared" si="40"/>
        <v>0</v>
      </c>
      <c r="N117" s="538">
        <f t="shared" si="40"/>
        <v>0</v>
      </c>
    </row>
    <row r="118" spans="1:14" s="454" customFormat="1" ht="15" customHeight="1" hidden="1">
      <c r="A118" s="1009" t="s">
        <v>222</v>
      </c>
      <c r="B118" s="1010"/>
      <c r="C118" s="1011" t="s">
        <v>908</v>
      </c>
      <c r="D118" s="1012"/>
      <c r="E118" s="995" t="s">
        <v>895</v>
      </c>
      <c r="F118" s="996"/>
      <c r="G118" s="546" t="s">
        <v>13</v>
      </c>
      <c r="H118" s="541">
        <f t="shared" si="35"/>
        <v>1299500</v>
      </c>
      <c r="I118" s="542">
        <f t="shared" si="36"/>
        <v>1299500</v>
      </c>
      <c r="J118" s="542">
        <v>0</v>
      </c>
      <c r="K118" s="542">
        <v>1299500</v>
      </c>
      <c r="L118" s="542">
        <f t="shared" si="31"/>
        <v>0</v>
      </c>
      <c r="M118" s="542">
        <v>0</v>
      </c>
      <c r="N118" s="542">
        <v>0</v>
      </c>
    </row>
    <row r="119" spans="1:14" s="454" customFormat="1" ht="15" customHeight="1" hidden="1">
      <c r="A119" s="1005"/>
      <c r="B119" s="1006"/>
      <c r="C119" s="1007"/>
      <c r="D119" s="1008"/>
      <c r="E119" s="997"/>
      <c r="F119" s="998"/>
      <c r="G119" s="546" t="s">
        <v>14</v>
      </c>
      <c r="H119" s="541">
        <f t="shared" si="35"/>
        <v>0</v>
      </c>
      <c r="I119" s="542">
        <f t="shared" si="36"/>
        <v>0</v>
      </c>
      <c r="J119" s="542">
        <v>0</v>
      </c>
      <c r="K119" s="542">
        <v>0</v>
      </c>
      <c r="L119" s="542">
        <f t="shared" si="31"/>
        <v>0</v>
      </c>
      <c r="M119" s="542">
        <v>0</v>
      </c>
      <c r="N119" s="542">
        <v>0</v>
      </c>
    </row>
    <row r="120" spans="1:14" s="454" customFormat="1" ht="15" customHeight="1" hidden="1">
      <c r="A120" s="1005"/>
      <c r="B120" s="1006"/>
      <c r="C120" s="1007"/>
      <c r="D120" s="1008"/>
      <c r="E120" s="999"/>
      <c r="F120" s="1000"/>
      <c r="G120" s="544" t="s">
        <v>15</v>
      </c>
      <c r="H120" s="541">
        <f t="shared" si="35"/>
        <v>1299500</v>
      </c>
      <c r="I120" s="542">
        <f t="shared" si="36"/>
        <v>1299500</v>
      </c>
      <c r="J120" s="542">
        <f>J118+J119</f>
        <v>0</v>
      </c>
      <c r="K120" s="542">
        <f>K118+K119</f>
        <v>1299500</v>
      </c>
      <c r="L120" s="542">
        <f t="shared" si="31"/>
        <v>0</v>
      </c>
      <c r="M120" s="542">
        <f>M118+M119</f>
        <v>0</v>
      </c>
      <c r="N120" s="542">
        <f>N118+N119</f>
        <v>0</v>
      </c>
    </row>
    <row r="121" spans="1:14" s="467" customFormat="1" ht="15" customHeight="1" hidden="1">
      <c r="A121" s="1086" t="s">
        <v>280</v>
      </c>
      <c r="B121" s="1087"/>
      <c r="C121" s="1087"/>
      <c r="D121" s="1087"/>
      <c r="E121" s="1087"/>
      <c r="F121" s="1088"/>
      <c r="G121" s="548" t="s">
        <v>13</v>
      </c>
      <c r="H121" s="537">
        <f t="shared" si="35"/>
        <v>11510000</v>
      </c>
      <c r="I121" s="538">
        <f t="shared" si="36"/>
        <v>11510000</v>
      </c>
      <c r="J121" s="538">
        <f aca="true" t="shared" si="41" ref="J121:K123">J124</f>
        <v>0</v>
      </c>
      <c r="K121" s="538">
        <f t="shared" si="41"/>
        <v>11510000</v>
      </c>
      <c r="L121" s="538">
        <f t="shared" si="31"/>
        <v>0</v>
      </c>
      <c r="M121" s="538">
        <f aca="true" t="shared" si="42" ref="M121:N123">M124</f>
        <v>0</v>
      </c>
      <c r="N121" s="538">
        <f t="shared" si="42"/>
        <v>0</v>
      </c>
    </row>
    <row r="122" spans="1:14" s="467" customFormat="1" ht="15" customHeight="1" hidden="1">
      <c r="A122" s="1089"/>
      <c r="B122" s="1090"/>
      <c r="C122" s="1090"/>
      <c r="D122" s="1090"/>
      <c r="E122" s="1090"/>
      <c r="F122" s="1091"/>
      <c r="G122" s="548" t="s">
        <v>14</v>
      </c>
      <c r="H122" s="537">
        <f t="shared" si="35"/>
        <v>0</v>
      </c>
      <c r="I122" s="538">
        <f t="shared" si="36"/>
        <v>0</v>
      </c>
      <c r="J122" s="538">
        <f t="shared" si="41"/>
        <v>0</v>
      </c>
      <c r="K122" s="538">
        <f t="shared" si="41"/>
        <v>0</v>
      </c>
      <c r="L122" s="538">
        <f t="shared" si="31"/>
        <v>0</v>
      </c>
      <c r="M122" s="538">
        <f t="shared" si="42"/>
        <v>0</v>
      </c>
      <c r="N122" s="538">
        <f t="shared" si="42"/>
        <v>0</v>
      </c>
    </row>
    <row r="123" spans="1:14" s="467" customFormat="1" ht="15" customHeight="1" hidden="1">
      <c r="A123" s="1092"/>
      <c r="B123" s="1093"/>
      <c r="C123" s="1093"/>
      <c r="D123" s="1093"/>
      <c r="E123" s="1093"/>
      <c r="F123" s="1094"/>
      <c r="G123" s="548" t="s">
        <v>15</v>
      </c>
      <c r="H123" s="537">
        <f t="shared" si="35"/>
        <v>11510000</v>
      </c>
      <c r="I123" s="538">
        <f t="shared" si="36"/>
        <v>11510000</v>
      </c>
      <c r="J123" s="538">
        <f t="shared" si="41"/>
        <v>0</v>
      </c>
      <c r="K123" s="538">
        <f t="shared" si="41"/>
        <v>11510000</v>
      </c>
      <c r="L123" s="538">
        <f t="shared" si="31"/>
        <v>0</v>
      </c>
      <c r="M123" s="538">
        <f t="shared" si="42"/>
        <v>0</v>
      </c>
      <c r="N123" s="538">
        <f t="shared" si="42"/>
        <v>0</v>
      </c>
    </row>
    <row r="124" spans="1:14" s="454" customFormat="1" ht="15" customHeight="1" hidden="1">
      <c r="A124" s="1009" t="s">
        <v>222</v>
      </c>
      <c r="B124" s="1010"/>
      <c r="C124" s="1011" t="s">
        <v>278</v>
      </c>
      <c r="D124" s="1012"/>
      <c r="E124" s="995" t="s">
        <v>902</v>
      </c>
      <c r="F124" s="996"/>
      <c r="G124" s="546" t="s">
        <v>13</v>
      </c>
      <c r="H124" s="541">
        <f t="shared" si="35"/>
        <v>11510000</v>
      </c>
      <c r="I124" s="542">
        <f t="shared" si="36"/>
        <v>11510000</v>
      </c>
      <c r="J124" s="542">
        <f aca="true" t="shared" si="43" ref="J124:K126">J127+J130</f>
        <v>0</v>
      </c>
      <c r="K124" s="542">
        <f t="shared" si="43"/>
        <v>11510000</v>
      </c>
      <c r="L124" s="542">
        <f t="shared" si="31"/>
        <v>0</v>
      </c>
      <c r="M124" s="542">
        <f aca="true" t="shared" si="44" ref="M124:N126">M127+M130</f>
        <v>0</v>
      </c>
      <c r="N124" s="542">
        <f t="shared" si="44"/>
        <v>0</v>
      </c>
    </row>
    <row r="125" spans="1:14" s="454" customFormat="1" ht="15" customHeight="1" hidden="1">
      <c r="A125" s="1005"/>
      <c r="B125" s="1006"/>
      <c r="C125" s="1007"/>
      <c r="D125" s="1008"/>
      <c r="E125" s="997"/>
      <c r="F125" s="998"/>
      <c r="G125" s="546" t="s">
        <v>14</v>
      </c>
      <c r="H125" s="541">
        <f t="shared" si="35"/>
        <v>0</v>
      </c>
      <c r="I125" s="542">
        <f t="shared" si="36"/>
        <v>0</v>
      </c>
      <c r="J125" s="542">
        <f t="shared" si="43"/>
        <v>0</v>
      </c>
      <c r="K125" s="542">
        <f t="shared" si="43"/>
        <v>0</v>
      </c>
      <c r="L125" s="542">
        <f t="shared" si="31"/>
        <v>0</v>
      </c>
      <c r="M125" s="542">
        <f t="shared" si="44"/>
        <v>0</v>
      </c>
      <c r="N125" s="542">
        <f t="shared" si="44"/>
        <v>0</v>
      </c>
    </row>
    <row r="126" spans="1:14" s="454" customFormat="1" ht="15" customHeight="1" hidden="1">
      <c r="A126" s="1005"/>
      <c r="B126" s="1006"/>
      <c r="C126" s="1007"/>
      <c r="D126" s="1008"/>
      <c r="E126" s="999"/>
      <c r="F126" s="1000"/>
      <c r="G126" s="546" t="s">
        <v>15</v>
      </c>
      <c r="H126" s="541">
        <f t="shared" si="35"/>
        <v>11510000</v>
      </c>
      <c r="I126" s="542">
        <f t="shared" si="36"/>
        <v>11510000</v>
      </c>
      <c r="J126" s="542">
        <f t="shared" si="43"/>
        <v>0</v>
      </c>
      <c r="K126" s="542">
        <f t="shared" si="43"/>
        <v>11510000</v>
      </c>
      <c r="L126" s="542">
        <f t="shared" si="31"/>
        <v>0</v>
      </c>
      <c r="M126" s="542">
        <f t="shared" si="44"/>
        <v>0</v>
      </c>
      <c r="N126" s="542">
        <f t="shared" si="44"/>
        <v>0</v>
      </c>
    </row>
    <row r="127" spans="1:14" s="553" customFormat="1" ht="15" customHeight="1" hidden="1">
      <c r="A127" s="1104"/>
      <c r="B127" s="1105"/>
      <c r="C127" s="1106"/>
      <c r="D127" s="1107"/>
      <c r="E127" s="1108" t="s">
        <v>903</v>
      </c>
      <c r="F127" s="1109"/>
      <c r="G127" s="550" t="s">
        <v>13</v>
      </c>
      <c r="H127" s="551">
        <f t="shared" si="35"/>
        <v>9310000</v>
      </c>
      <c r="I127" s="552">
        <f t="shared" si="36"/>
        <v>9310000</v>
      </c>
      <c r="J127" s="552">
        <v>0</v>
      </c>
      <c r="K127" s="552">
        <v>9310000</v>
      </c>
      <c r="L127" s="552">
        <f t="shared" si="31"/>
        <v>0</v>
      </c>
      <c r="M127" s="552">
        <v>0</v>
      </c>
      <c r="N127" s="552">
        <v>0</v>
      </c>
    </row>
    <row r="128" spans="1:14" s="553" customFormat="1" ht="15" customHeight="1" hidden="1">
      <c r="A128" s="1104"/>
      <c r="B128" s="1105"/>
      <c r="C128" s="1106"/>
      <c r="D128" s="1107"/>
      <c r="E128" s="1110"/>
      <c r="F128" s="1111"/>
      <c r="G128" s="550" t="s">
        <v>14</v>
      </c>
      <c r="H128" s="551">
        <f>I128+L128</f>
        <v>0</v>
      </c>
      <c r="I128" s="552">
        <f>J128+K128</f>
        <v>0</v>
      </c>
      <c r="J128" s="552">
        <v>0</v>
      </c>
      <c r="K128" s="552">
        <v>0</v>
      </c>
      <c r="L128" s="552">
        <f t="shared" si="31"/>
        <v>0</v>
      </c>
      <c r="M128" s="552">
        <v>0</v>
      </c>
      <c r="N128" s="552">
        <v>0</v>
      </c>
    </row>
    <row r="129" spans="1:14" s="553" customFormat="1" ht="15" customHeight="1" hidden="1">
      <c r="A129" s="1104"/>
      <c r="B129" s="1105"/>
      <c r="C129" s="1106"/>
      <c r="D129" s="1107"/>
      <c r="E129" s="1112"/>
      <c r="F129" s="1113"/>
      <c r="G129" s="550" t="s">
        <v>15</v>
      </c>
      <c r="H129" s="551">
        <f>I129+L129</f>
        <v>9310000</v>
      </c>
      <c r="I129" s="552">
        <f t="shared" si="36"/>
        <v>9310000</v>
      </c>
      <c r="J129" s="552">
        <f>J128+J127</f>
        <v>0</v>
      </c>
      <c r="K129" s="552">
        <f>K128+K127</f>
        <v>9310000</v>
      </c>
      <c r="L129" s="552">
        <f>M129+N129</f>
        <v>0</v>
      </c>
      <c r="M129" s="552">
        <f>M128+M127</f>
        <v>0</v>
      </c>
      <c r="N129" s="552">
        <f>N128+N127</f>
        <v>0</v>
      </c>
    </row>
    <row r="130" spans="1:14" s="553" customFormat="1" ht="15" customHeight="1" hidden="1">
      <c r="A130" s="1104"/>
      <c r="B130" s="1105"/>
      <c r="C130" s="1106"/>
      <c r="D130" s="1107"/>
      <c r="E130" s="1108" t="s">
        <v>909</v>
      </c>
      <c r="F130" s="1109"/>
      <c r="G130" s="550" t="s">
        <v>13</v>
      </c>
      <c r="H130" s="551">
        <f t="shared" si="35"/>
        <v>2200000</v>
      </c>
      <c r="I130" s="552">
        <f t="shared" si="36"/>
        <v>2200000</v>
      </c>
      <c r="J130" s="552">
        <v>0</v>
      </c>
      <c r="K130" s="552">
        <v>2200000</v>
      </c>
      <c r="L130" s="552">
        <f>M130+N130</f>
        <v>0</v>
      </c>
      <c r="M130" s="552">
        <v>0</v>
      </c>
      <c r="N130" s="552">
        <v>0</v>
      </c>
    </row>
    <row r="131" spans="1:14" s="553" customFormat="1" ht="15" customHeight="1" hidden="1">
      <c r="A131" s="1104"/>
      <c r="B131" s="1105"/>
      <c r="C131" s="1106"/>
      <c r="D131" s="1107"/>
      <c r="E131" s="1110"/>
      <c r="F131" s="1111"/>
      <c r="G131" s="550" t="s">
        <v>14</v>
      </c>
      <c r="H131" s="551">
        <f t="shared" si="35"/>
        <v>0</v>
      </c>
      <c r="I131" s="552">
        <f t="shared" si="36"/>
        <v>0</v>
      </c>
      <c r="J131" s="552">
        <v>0</v>
      </c>
      <c r="K131" s="552">
        <v>0</v>
      </c>
      <c r="L131" s="552">
        <f>M131+N131</f>
        <v>0</v>
      </c>
      <c r="M131" s="552">
        <v>0</v>
      </c>
      <c r="N131" s="552">
        <v>0</v>
      </c>
    </row>
    <row r="132" spans="1:14" s="553" customFormat="1" ht="15" customHeight="1" hidden="1">
      <c r="A132" s="1104"/>
      <c r="B132" s="1105"/>
      <c r="C132" s="1106"/>
      <c r="D132" s="1107"/>
      <c r="E132" s="1112"/>
      <c r="F132" s="1113"/>
      <c r="G132" s="550" t="s">
        <v>15</v>
      </c>
      <c r="H132" s="551">
        <f>I132+L132</f>
        <v>2200000</v>
      </c>
      <c r="I132" s="552">
        <f>J132+K132</f>
        <v>2200000</v>
      </c>
      <c r="J132" s="552">
        <f>J131+J130</f>
        <v>0</v>
      </c>
      <c r="K132" s="552">
        <f>K131+K130</f>
        <v>2200000</v>
      </c>
      <c r="L132" s="552">
        <f>M132+N132</f>
        <v>0</v>
      </c>
      <c r="M132" s="552">
        <f>M131+M130</f>
        <v>0</v>
      </c>
      <c r="N132" s="552">
        <f>N131+N130</f>
        <v>0</v>
      </c>
    </row>
    <row r="133" spans="1:14" s="467" customFormat="1" ht="15" customHeight="1" hidden="1">
      <c r="A133" s="1086" t="s">
        <v>282</v>
      </c>
      <c r="B133" s="1087"/>
      <c r="C133" s="1087"/>
      <c r="D133" s="1087"/>
      <c r="E133" s="1087"/>
      <c r="F133" s="1088"/>
      <c r="G133" s="548" t="s">
        <v>13</v>
      </c>
      <c r="H133" s="537">
        <f t="shared" si="35"/>
        <v>9717300</v>
      </c>
      <c r="I133" s="538">
        <f t="shared" si="36"/>
        <v>9717300</v>
      </c>
      <c r="J133" s="538">
        <f aca="true" t="shared" si="45" ref="J133:K135">J136</f>
        <v>0</v>
      </c>
      <c r="K133" s="538">
        <f t="shared" si="45"/>
        <v>9717300</v>
      </c>
      <c r="L133" s="538">
        <f aca="true" t="shared" si="46" ref="L133:L140">M133+N133</f>
        <v>0</v>
      </c>
      <c r="M133" s="538">
        <f aca="true" t="shared" si="47" ref="M133:N135">M136</f>
        <v>0</v>
      </c>
      <c r="N133" s="538">
        <f t="shared" si="47"/>
        <v>0</v>
      </c>
    </row>
    <row r="134" spans="1:14" s="467" customFormat="1" ht="15" customHeight="1" hidden="1">
      <c r="A134" s="1089"/>
      <c r="B134" s="1090"/>
      <c r="C134" s="1090"/>
      <c r="D134" s="1090"/>
      <c r="E134" s="1090"/>
      <c r="F134" s="1091"/>
      <c r="G134" s="548" t="s">
        <v>14</v>
      </c>
      <c r="H134" s="537">
        <f t="shared" si="35"/>
        <v>0</v>
      </c>
      <c r="I134" s="538">
        <f t="shared" si="36"/>
        <v>0</v>
      </c>
      <c r="J134" s="538">
        <f t="shared" si="45"/>
        <v>0</v>
      </c>
      <c r="K134" s="538">
        <f t="shared" si="45"/>
        <v>0</v>
      </c>
      <c r="L134" s="538">
        <f t="shared" si="46"/>
        <v>0</v>
      </c>
      <c r="M134" s="538">
        <f t="shared" si="47"/>
        <v>0</v>
      </c>
      <c r="N134" s="538">
        <f t="shared" si="47"/>
        <v>0</v>
      </c>
    </row>
    <row r="135" spans="1:14" s="467" customFormat="1" ht="15" customHeight="1" hidden="1">
      <c r="A135" s="1092"/>
      <c r="B135" s="1093"/>
      <c r="C135" s="1093"/>
      <c r="D135" s="1093"/>
      <c r="E135" s="1093"/>
      <c r="F135" s="1094"/>
      <c r="G135" s="548" t="s">
        <v>15</v>
      </c>
      <c r="H135" s="537">
        <f t="shared" si="35"/>
        <v>9717300</v>
      </c>
      <c r="I135" s="538">
        <f t="shared" si="36"/>
        <v>9717300</v>
      </c>
      <c r="J135" s="538">
        <f t="shared" si="45"/>
        <v>0</v>
      </c>
      <c r="K135" s="538">
        <f t="shared" si="45"/>
        <v>9717300</v>
      </c>
      <c r="L135" s="538">
        <f t="shared" si="46"/>
        <v>0</v>
      </c>
      <c r="M135" s="538">
        <f t="shared" si="47"/>
        <v>0</v>
      </c>
      <c r="N135" s="538">
        <f t="shared" si="47"/>
        <v>0</v>
      </c>
    </row>
    <row r="136" spans="1:14" s="454" customFormat="1" ht="15" customHeight="1" hidden="1">
      <c r="A136" s="1009" t="s">
        <v>222</v>
      </c>
      <c r="B136" s="1010"/>
      <c r="C136" s="1011" t="s">
        <v>278</v>
      </c>
      <c r="D136" s="1012"/>
      <c r="E136" s="995" t="s">
        <v>902</v>
      </c>
      <c r="F136" s="996"/>
      <c r="G136" s="546" t="s">
        <v>13</v>
      </c>
      <c r="H136" s="541">
        <f t="shared" si="35"/>
        <v>9717300</v>
      </c>
      <c r="I136" s="542">
        <f t="shared" si="36"/>
        <v>9717300</v>
      </c>
      <c r="J136" s="542">
        <f aca="true" t="shared" si="48" ref="J136:K138">J139+J142</f>
        <v>0</v>
      </c>
      <c r="K136" s="542">
        <f t="shared" si="48"/>
        <v>9717300</v>
      </c>
      <c r="L136" s="542">
        <f t="shared" si="46"/>
        <v>0</v>
      </c>
      <c r="M136" s="542">
        <f aca="true" t="shared" si="49" ref="M136:N138">M139+M142</f>
        <v>0</v>
      </c>
      <c r="N136" s="542">
        <f t="shared" si="49"/>
        <v>0</v>
      </c>
    </row>
    <row r="137" spans="1:14" s="454" customFormat="1" ht="15" customHeight="1" hidden="1">
      <c r="A137" s="1005"/>
      <c r="B137" s="1006"/>
      <c r="C137" s="1007"/>
      <c r="D137" s="1008"/>
      <c r="E137" s="997"/>
      <c r="F137" s="998"/>
      <c r="G137" s="546" t="s">
        <v>14</v>
      </c>
      <c r="H137" s="541">
        <f t="shared" si="35"/>
        <v>0</v>
      </c>
      <c r="I137" s="542">
        <f t="shared" si="36"/>
        <v>0</v>
      </c>
      <c r="J137" s="542">
        <f t="shared" si="48"/>
        <v>0</v>
      </c>
      <c r="K137" s="542">
        <f t="shared" si="48"/>
        <v>0</v>
      </c>
      <c r="L137" s="542">
        <f t="shared" si="46"/>
        <v>0</v>
      </c>
      <c r="M137" s="542">
        <f t="shared" si="49"/>
        <v>0</v>
      </c>
      <c r="N137" s="542">
        <f t="shared" si="49"/>
        <v>0</v>
      </c>
    </row>
    <row r="138" spans="1:14" s="454" customFormat="1" ht="15" customHeight="1" hidden="1">
      <c r="A138" s="1005"/>
      <c r="B138" s="1006"/>
      <c r="C138" s="1007"/>
      <c r="D138" s="1008"/>
      <c r="E138" s="999"/>
      <c r="F138" s="1000"/>
      <c r="G138" s="546" t="s">
        <v>15</v>
      </c>
      <c r="H138" s="541">
        <f t="shared" si="35"/>
        <v>9717300</v>
      </c>
      <c r="I138" s="542">
        <f t="shared" si="36"/>
        <v>9717300</v>
      </c>
      <c r="J138" s="542">
        <f t="shared" si="48"/>
        <v>0</v>
      </c>
      <c r="K138" s="542">
        <f t="shared" si="48"/>
        <v>9717300</v>
      </c>
      <c r="L138" s="542">
        <f t="shared" si="46"/>
        <v>0</v>
      </c>
      <c r="M138" s="542">
        <f t="shared" si="49"/>
        <v>0</v>
      </c>
      <c r="N138" s="542">
        <f t="shared" si="49"/>
        <v>0</v>
      </c>
    </row>
    <row r="139" spans="1:14" s="553" customFormat="1" ht="15" customHeight="1" hidden="1">
      <c r="A139" s="1104"/>
      <c r="B139" s="1105"/>
      <c r="C139" s="1106"/>
      <c r="D139" s="1107"/>
      <c r="E139" s="1108" t="s">
        <v>903</v>
      </c>
      <c r="F139" s="1109"/>
      <c r="G139" s="550" t="s">
        <v>13</v>
      </c>
      <c r="H139" s="551">
        <f t="shared" si="35"/>
        <v>8517300</v>
      </c>
      <c r="I139" s="552">
        <f t="shared" si="36"/>
        <v>8517300</v>
      </c>
      <c r="J139" s="552">
        <v>0</v>
      </c>
      <c r="K139" s="552">
        <v>8517300</v>
      </c>
      <c r="L139" s="552">
        <f t="shared" si="46"/>
        <v>0</v>
      </c>
      <c r="M139" s="552">
        <v>0</v>
      </c>
      <c r="N139" s="552">
        <v>0</v>
      </c>
    </row>
    <row r="140" spans="1:14" s="553" customFormat="1" ht="15" customHeight="1" hidden="1">
      <c r="A140" s="1104"/>
      <c r="B140" s="1105"/>
      <c r="C140" s="1106"/>
      <c r="D140" s="1107"/>
      <c r="E140" s="1110"/>
      <c r="F140" s="1111"/>
      <c r="G140" s="550" t="s">
        <v>14</v>
      </c>
      <c r="H140" s="551">
        <f t="shared" si="35"/>
        <v>0</v>
      </c>
      <c r="I140" s="552">
        <f t="shared" si="36"/>
        <v>0</v>
      </c>
      <c r="J140" s="552">
        <v>0</v>
      </c>
      <c r="K140" s="552">
        <v>0</v>
      </c>
      <c r="L140" s="552">
        <f t="shared" si="46"/>
        <v>0</v>
      </c>
      <c r="M140" s="552">
        <v>0</v>
      </c>
      <c r="N140" s="552">
        <v>0</v>
      </c>
    </row>
    <row r="141" spans="1:14" s="553" customFormat="1" ht="15" customHeight="1" hidden="1">
      <c r="A141" s="1104"/>
      <c r="B141" s="1105"/>
      <c r="C141" s="1106"/>
      <c r="D141" s="1107"/>
      <c r="E141" s="1112"/>
      <c r="F141" s="1113"/>
      <c r="G141" s="550" t="s">
        <v>15</v>
      </c>
      <c r="H141" s="551">
        <f t="shared" si="35"/>
        <v>8517300</v>
      </c>
      <c r="I141" s="552">
        <f t="shared" si="36"/>
        <v>8517300</v>
      </c>
      <c r="J141" s="552">
        <f>J139+J140</f>
        <v>0</v>
      </c>
      <c r="K141" s="552">
        <f>K139+K140</f>
        <v>8517300</v>
      </c>
      <c r="L141" s="552">
        <f>M141+N141</f>
        <v>0</v>
      </c>
      <c r="M141" s="552">
        <f>M139+M140</f>
        <v>0</v>
      </c>
      <c r="N141" s="552">
        <f>N139+N140</f>
        <v>0</v>
      </c>
    </row>
    <row r="142" spans="1:14" s="553" customFormat="1" ht="15" customHeight="1" hidden="1">
      <c r="A142" s="1104"/>
      <c r="B142" s="1105"/>
      <c r="C142" s="1106"/>
      <c r="D142" s="1107"/>
      <c r="E142" s="1108" t="s">
        <v>910</v>
      </c>
      <c r="F142" s="1109"/>
      <c r="G142" s="550" t="s">
        <v>13</v>
      </c>
      <c r="H142" s="551">
        <f t="shared" si="35"/>
        <v>1200000</v>
      </c>
      <c r="I142" s="552">
        <f t="shared" si="36"/>
        <v>1200000</v>
      </c>
      <c r="J142" s="552">
        <v>0</v>
      </c>
      <c r="K142" s="552">
        <v>1200000</v>
      </c>
      <c r="L142" s="552">
        <f>M142+N142</f>
        <v>0</v>
      </c>
      <c r="M142" s="552">
        <v>0</v>
      </c>
      <c r="N142" s="552">
        <v>0</v>
      </c>
    </row>
    <row r="143" spans="1:14" s="553" customFormat="1" ht="15" customHeight="1" hidden="1">
      <c r="A143" s="1104"/>
      <c r="B143" s="1105"/>
      <c r="C143" s="1106"/>
      <c r="D143" s="1107"/>
      <c r="E143" s="1110"/>
      <c r="F143" s="1111"/>
      <c r="G143" s="550" t="s">
        <v>14</v>
      </c>
      <c r="H143" s="551">
        <f t="shared" si="35"/>
        <v>0</v>
      </c>
      <c r="I143" s="552">
        <f t="shared" si="36"/>
        <v>0</v>
      </c>
      <c r="J143" s="552">
        <v>0</v>
      </c>
      <c r="K143" s="552">
        <v>0</v>
      </c>
      <c r="L143" s="552">
        <f>M143+N143</f>
        <v>0</v>
      </c>
      <c r="M143" s="552">
        <v>0</v>
      </c>
      <c r="N143" s="552">
        <v>0</v>
      </c>
    </row>
    <row r="144" spans="1:14" s="553" customFormat="1" ht="15" customHeight="1" hidden="1">
      <c r="A144" s="1104"/>
      <c r="B144" s="1105"/>
      <c r="C144" s="1106"/>
      <c r="D144" s="1107"/>
      <c r="E144" s="1112"/>
      <c r="F144" s="1113"/>
      <c r="G144" s="550" t="s">
        <v>15</v>
      </c>
      <c r="H144" s="551">
        <f>I144+L144</f>
        <v>1200000</v>
      </c>
      <c r="I144" s="552">
        <f>J144+K144</f>
        <v>1200000</v>
      </c>
      <c r="J144" s="552">
        <f>J142+J143</f>
        <v>0</v>
      </c>
      <c r="K144" s="552">
        <f>K142+K143</f>
        <v>1200000</v>
      </c>
      <c r="L144" s="552">
        <f>M144+N144</f>
        <v>0</v>
      </c>
      <c r="M144" s="552">
        <f>M142+M143</f>
        <v>0</v>
      </c>
      <c r="N144" s="552">
        <f>N142+N143</f>
        <v>0</v>
      </c>
    </row>
    <row r="145" spans="1:14" s="467" customFormat="1" ht="15" customHeight="1" hidden="1">
      <c r="A145" s="1086" t="s">
        <v>286</v>
      </c>
      <c r="B145" s="1087"/>
      <c r="C145" s="1087"/>
      <c r="D145" s="1087"/>
      <c r="E145" s="1087"/>
      <c r="F145" s="1088"/>
      <c r="G145" s="548" t="s">
        <v>13</v>
      </c>
      <c r="H145" s="537">
        <f t="shared" si="35"/>
        <v>6491950</v>
      </c>
      <c r="I145" s="538">
        <f t="shared" si="36"/>
        <v>6491950</v>
      </c>
      <c r="J145" s="538">
        <f aca="true" t="shared" si="50" ref="J145:K147">J148+J151</f>
        <v>0</v>
      </c>
      <c r="K145" s="538">
        <f t="shared" si="50"/>
        <v>6491950</v>
      </c>
      <c r="L145" s="538">
        <f aca="true" t="shared" si="51" ref="L145:L171">M145+N145</f>
        <v>0</v>
      </c>
      <c r="M145" s="538">
        <f aca="true" t="shared" si="52" ref="M145:N147">M148+M151</f>
        <v>0</v>
      </c>
      <c r="N145" s="538">
        <f t="shared" si="52"/>
        <v>0</v>
      </c>
    </row>
    <row r="146" spans="1:14" s="467" customFormat="1" ht="15" customHeight="1" hidden="1">
      <c r="A146" s="1089"/>
      <c r="B146" s="1090"/>
      <c r="C146" s="1090"/>
      <c r="D146" s="1090"/>
      <c r="E146" s="1090"/>
      <c r="F146" s="1091"/>
      <c r="G146" s="548" t="s">
        <v>14</v>
      </c>
      <c r="H146" s="537">
        <f t="shared" si="35"/>
        <v>0</v>
      </c>
      <c r="I146" s="538">
        <f t="shared" si="36"/>
        <v>0</v>
      </c>
      <c r="J146" s="538">
        <f t="shared" si="50"/>
        <v>0</v>
      </c>
      <c r="K146" s="538">
        <f t="shared" si="50"/>
        <v>0</v>
      </c>
      <c r="L146" s="538">
        <f t="shared" si="51"/>
        <v>0</v>
      </c>
      <c r="M146" s="538">
        <f t="shared" si="52"/>
        <v>0</v>
      </c>
      <c r="N146" s="538">
        <f t="shared" si="52"/>
        <v>0</v>
      </c>
    </row>
    <row r="147" spans="1:14" s="467" customFormat="1" ht="15" customHeight="1" hidden="1">
      <c r="A147" s="1092"/>
      <c r="B147" s="1093"/>
      <c r="C147" s="1093"/>
      <c r="D147" s="1093"/>
      <c r="E147" s="1093"/>
      <c r="F147" s="1094"/>
      <c r="G147" s="548" t="s">
        <v>15</v>
      </c>
      <c r="H147" s="537">
        <f t="shared" si="35"/>
        <v>6491950</v>
      </c>
      <c r="I147" s="538">
        <f t="shared" si="36"/>
        <v>6491950</v>
      </c>
      <c r="J147" s="538">
        <f t="shared" si="50"/>
        <v>0</v>
      </c>
      <c r="K147" s="538">
        <f t="shared" si="50"/>
        <v>6491950</v>
      </c>
      <c r="L147" s="538">
        <f t="shared" si="51"/>
        <v>0</v>
      </c>
      <c r="M147" s="538">
        <f t="shared" si="52"/>
        <v>0</v>
      </c>
      <c r="N147" s="538">
        <f t="shared" si="52"/>
        <v>0</v>
      </c>
    </row>
    <row r="148" spans="1:14" s="454" customFormat="1" ht="15" customHeight="1" hidden="1">
      <c r="A148" s="1009" t="s">
        <v>222</v>
      </c>
      <c r="B148" s="1010"/>
      <c r="C148" s="1011" t="s">
        <v>284</v>
      </c>
      <c r="D148" s="1012"/>
      <c r="E148" s="995" t="s">
        <v>895</v>
      </c>
      <c r="F148" s="996"/>
      <c r="G148" s="546" t="s">
        <v>13</v>
      </c>
      <c r="H148" s="541">
        <f t="shared" si="35"/>
        <v>6371950</v>
      </c>
      <c r="I148" s="542">
        <f t="shared" si="36"/>
        <v>6371950</v>
      </c>
      <c r="J148" s="542">
        <v>0</v>
      </c>
      <c r="K148" s="542">
        <v>6371950</v>
      </c>
      <c r="L148" s="542">
        <f t="shared" si="51"/>
        <v>0</v>
      </c>
      <c r="M148" s="542">
        <v>0</v>
      </c>
      <c r="N148" s="542">
        <v>0</v>
      </c>
    </row>
    <row r="149" spans="1:14" s="454" customFormat="1" ht="15" customHeight="1" hidden="1">
      <c r="A149" s="1005"/>
      <c r="B149" s="1006"/>
      <c r="C149" s="1007"/>
      <c r="D149" s="1008"/>
      <c r="E149" s="997"/>
      <c r="F149" s="998"/>
      <c r="G149" s="546" t="s">
        <v>14</v>
      </c>
      <c r="H149" s="541">
        <f t="shared" si="35"/>
        <v>0</v>
      </c>
      <c r="I149" s="542">
        <f t="shared" si="36"/>
        <v>0</v>
      </c>
      <c r="J149" s="542">
        <v>0</v>
      </c>
      <c r="K149" s="542">
        <v>0</v>
      </c>
      <c r="L149" s="542">
        <f t="shared" si="51"/>
        <v>0</v>
      </c>
      <c r="M149" s="542">
        <v>0</v>
      </c>
      <c r="N149" s="542">
        <v>0</v>
      </c>
    </row>
    <row r="150" spans="1:14" s="454" customFormat="1" ht="15" customHeight="1" hidden="1">
      <c r="A150" s="1005"/>
      <c r="B150" s="1006"/>
      <c r="C150" s="1007"/>
      <c r="D150" s="1008"/>
      <c r="E150" s="999"/>
      <c r="F150" s="1000"/>
      <c r="G150" s="544" t="s">
        <v>15</v>
      </c>
      <c r="H150" s="541">
        <f t="shared" si="35"/>
        <v>6371950</v>
      </c>
      <c r="I150" s="542">
        <f t="shared" si="36"/>
        <v>6371950</v>
      </c>
      <c r="J150" s="542">
        <f>J148+J149</f>
        <v>0</v>
      </c>
      <c r="K150" s="542">
        <f>K148+K149</f>
        <v>6371950</v>
      </c>
      <c r="L150" s="542">
        <f t="shared" si="51"/>
        <v>0</v>
      </c>
      <c r="M150" s="542">
        <f>M148+M149</f>
        <v>0</v>
      </c>
      <c r="N150" s="542">
        <f>N148+N149</f>
        <v>0</v>
      </c>
    </row>
    <row r="151" spans="1:14" s="454" customFormat="1" ht="15" customHeight="1" hidden="1">
      <c r="A151" s="1005"/>
      <c r="B151" s="1006"/>
      <c r="C151" s="1007"/>
      <c r="D151" s="1008"/>
      <c r="E151" s="995" t="s">
        <v>911</v>
      </c>
      <c r="F151" s="996"/>
      <c r="G151" s="546" t="s">
        <v>13</v>
      </c>
      <c r="H151" s="512">
        <f t="shared" si="35"/>
        <v>120000</v>
      </c>
      <c r="I151" s="513">
        <f t="shared" si="36"/>
        <v>120000</v>
      </c>
      <c r="J151" s="513">
        <v>0</v>
      </c>
      <c r="K151" s="513">
        <v>120000</v>
      </c>
      <c r="L151" s="513">
        <f t="shared" si="51"/>
        <v>0</v>
      </c>
      <c r="M151" s="513">
        <v>0</v>
      </c>
      <c r="N151" s="513">
        <v>0</v>
      </c>
    </row>
    <row r="152" spans="1:14" s="454" customFormat="1" ht="15" customHeight="1" hidden="1">
      <c r="A152" s="1005"/>
      <c r="B152" s="1006"/>
      <c r="C152" s="1007"/>
      <c r="D152" s="1008"/>
      <c r="E152" s="997"/>
      <c r="F152" s="998"/>
      <c r="G152" s="546" t="s">
        <v>14</v>
      </c>
      <c r="H152" s="512">
        <f t="shared" si="35"/>
        <v>0</v>
      </c>
      <c r="I152" s="513">
        <f t="shared" si="36"/>
        <v>0</v>
      </c>
      <c r="J152" s="513">
        <v>0</v>
      </c>
      <c r="K152" s="513">
        <v>0</v>
      </c>
      <c r="L152" s="513">
        <f t="shared" si="51"/>
        <v>0</v>
      </c>
      <c r="M152" s="513">
        <v>0</v>
      </c>
      <c r="N152" s="513">
        <v>0</v>
      </c>
    </row>
    <row r="153" spans="1:14" s="454" customFormat="1" ht="15" customHeight="1" hidden="1">
      <c r="A153" s="1005"/>
      <c r="B153" s="1006"/>
      <c r="C153" s="1007"/>
      <c r="D153" s="1008"/>
      <c r="E153" s="999"/>
      <c r="F153" s="1000"/>
      <c r="G153" s="544" t="s">
        <v>15</v>
      </c>
      <c r="H153" s="541">
        <f t="shared" si="35"/>
        <v>120000</v>
      </c>
      <c r="I153" s="542">
        <f t="shared" si="36"/>
        <v>120000</v>
      </c>
      <c r="J153" s="542">
        <f>J151+J152</f>
        <v>0</v>
      </c>
      <c r="K153" s="542">
        <f>K151+K152</f>
        <v>120000</v>
      </c>
      <c r="L153" s="542">
        <f t="shared" si="51"/>
        <v>0</v>
      </c>
      <c r="M153" s="542">
        <f>M151+M152</f>
        <v>0</v>
      </c>
      <c r="N153" s="542">
        <f>N151+N152</f>
        <v>0</v>
      </c>
    </row>
    <row r="154" spans="1:14" s="467" customFormat="1" ht="15" customHeight="1">
      <c r="A154" s="1095" t="s">
        <v>290</v>
      </c>
      <c r="B154" s="1096"/>
      <c r="C154" s="1096"/>
      <c r="D154" s="1096"/>
      <c r="E154" s="1096"/>
      <c r="F154" s="1097"/>
      <c r="G154" s="548" t="s">
        <v>13</v>
      </c>
      <c r="H154" s="537">
        <f t="shared" si="35"/>
        <v>5388682</v>
      </c>
      <c r="I154" s="538">
        <f t="shared" si="36"/>
        <v>5388682</v>
      </c>
      <c r="J154" s="538">
        <f aca="true" t="shared" si="53" ref="J154:K156">J157+J160+J163</f>
        <v>0</v>
      </c>
      <c r="K154" s="538">
        <f t="shared" si="53"/>
        <v>5388682</v>
      </c>
      <c r="L154" s="538">
        <f t="shared" si="51"/>
        <v>0</v>
      </c>
      <c r="M154" s="538">
        <f aca="true" t="shared" si="54" ref="M154:N156">M157+M160+M163</f>
        <v>0</v>
      </c>
      <c r="N154" s="538">
        <f t="shared" si="54"/>
        <v>0</v>
      </c>
    </row>
    <row r="155" spans="1:14" s="467" customFormat="1" ht="15" customHeight="1">
      <c r="A155" s="1098"/>
      <c r="B155" s="1099"/>
      <c r="C155" s="1099"/>
      <c r="D155" s="1099"/>
      <c r="E155" s="1099"/>
      <c r="F155" s="1100"/>
      <c r="G155" s="548" t="s">
        <v>14</v>
      </c>
      <c r="H155" s="537">
        <f t="shared" si="35"/>
        <v>31145</v>
      </c>
      <c r="I155" s="538">
        <f t="shared" si="36"/>
        <v>31145</v>
      </c>
      <c r="J155" s="538">
        <f t="shared" si="53"/>
        <v>0</v>
      </c>
      <c r="K155" s="538">
        <f t="shared" si="53"/>
        <v>31145</v>
      </c>
      <c r="L155" s="538">
        <f t="shared" si="51"/>
        <v>0</v>
      </c>
      <c r="M155" s="538">
        <f t="shared" si="54"/>
        <v>0</v>
      </c>
      <c r="N155" s="538">
        <f t="shared" si="54"/>
        <v>0</v>
      </c>
    </row>
    <row r="156" spans="1:14" s="467" customFormat="1" ht="15" customHeight="1">
      <c r="A156" s="1101"/>
      <c r="B156" s="1102"/>
      <c r="C156" s="1102"/>
      <c r="D156" s="1102"/>
      <c r="E156" s="1102"/>
      <c r="F156" s="1103"/>
      <c r="G156" s="548" t="s">
        <v>15</v>
      </c>
      <c r="H156" s="537">
        <f t="shared" si="35"/>
        <v>5419827</v>
      </c>
      <c r="I156" s="538">
        <f t="shared" si="36"/>
        <v>5419827</v>
      </c>
      <c r="J156" s="538">
        <f t="shared" si="53"/>
        <v>0</v>
      </c>
      <c r="K156" s="538">
        <f t="shared" si="53"/>
        <v>5419827</v>
      </c>
      <c r="L156" s="538">
        <f t="shared" si="51"/>
        <v>0</v>
      </c>
      <c r="M156" s="538">
        <f t="shared" si="54"/>
        <v>0</v>
      </c>
      <c r="N156" s="538">
        <f t="shared" si="54"/>
        <v>0</v>
      </c>
    </row>
    <row r="157" spans="1:14" s="454" customFormat="1" ht="15" customHeight="1">
      <c r="A157" s="1009" t="s">
        <v>222</v>
      </c>
      <c r="B157" s="1010"/>
      <c r="C157" s="1011" t="s">
        <v>284</v>
      </c>
      <c r="D157" s="1012"/>
      <c r="E157" s="995" t="s">
        <v>895</v>
      </c>
      <c r="F157" s="996"/>
      <c r="G157" s="546" t="s">
        <v>13</v>
      </c>
      <c r="H157" s="541">
        <f t="shared" si="35"/>
        <v>4980000</v>
      </c>
      <c r="I157" s="542">
        <f t="shared" si="36"/>
        <v>4980000</v>
      </c>
      <c r="J157" s="542">
        <v>0</v>
      </c>
      <c r="K157" s="542">
        <v>4980000</v>
      </c>
      <c r="L157" s="542">
        <f t="shared" si="51"/>
        <v>0</v>
      </c>
      <c r="M157" s="542">
        <v>0</v>
      </c>
      <c r="N157" s="542">
        <v>0</v>
      </c>
    </row>
    <row r="158" spans="1:14" s="454" customFormat="1" ht="15" customHeight="1">
      <c r="A158" s="1005"/>
      <c r="B158" s="1006"/>
      <c r="C158" s="1007"/>
      <c r="D158" s="1008"/>
      <c r="E158" s="997"/>
      <c r="F158" s="998"/>
      <c r="G158" s="546" t="s">
        <v>14</v>
      </c>
      <c r="H158" s="541">
        <f t="shared" si="35"/>
        <v>31145</v>
      </c>
      <c r="I158" s="542">
        <f t="shared" si="36"/>
        <v>31145</v>
      </c>
      <c r="J158" s="542">
        <v>0</v>
      </c>
      <c r="K158" s="542">
        <v>31145</v>
      </c>
      <c r="L158" s="542">
        <f t="shared" si="51"/>
        <v>0</v>
      </c>
      <c r="M158" s="542">
        <v>0</v>
      </c>
      <c r="N158" s="542">
        <v>0</v>
      </c>
    </row>
    <row r="159" spans="1:14" s="454" customFormat="1" ht="15" customHeight="1">
      <c r="A159" s="1005"/>
      <c r="B159" s="1006"/>
      <c r="C159" s="1007"/>
      <c r="D159" s="1008"/>
      <c r="E159" s="999"/>
      <c r="F159" s="1000"/>
      <c r="G159" s="544" t="s">
        <v>15</v>
      </c>
      <c r="H159" s="541">
        <f t="shared" si="35"/>
        <v>5011145</v>
      </c>
      <c r="I159" s="542">
        <f t="shared" si="36"/>
        <v>5011145</v>
      </c>
      <c r="J159" s="542">
        <f>J157+J158</f>
        <v>0</v>
      </c>
      <c r="K159" s="542">
        <f>K157+K158</f>
        <v>5011145</v>
      </c>
      <c r="L159" s="542">
        <f t="shared" si="51"/>
        <v>0</v>
      </c>
      <c r="M159" s="542">
        <f>M157+M158</f>
        <v>0</v>
      </c>
      <c r="N159" s="542">
        <f>N157+N158</f>
        <v>0</v>
      </c>
    </row>
    <row r="160" spans="1:14" s="545" customFormat="1" ht="15" customHeight="1" hidden="1">
      <c r="A160" s="1001"/>
      <c r="B160" s="1002"/>
      <c r="C160" s="1003"/>
      <c r="D160" s="1004"/>
      <c r="E160" s="995" t="s">
        <v>912</v>
      </c>
      <c r="F160" s="996"/>
      <c r="G160" s="546" t="s">
        <v>13</v>
      </c>
      <c r="H160" s="512">
        <f t="shared" si="35"/>
        <v>400000</v>
      </c>
      <c r="I160" s="513">
        <f t="shared" si="36"/>
        <v>400000</v>
      </c>
      <c r="J160" s="513">
        <v>0</v>
      </c>
      <c r="K160" s="513">
        <v>400000</v>
      </c>
      <c r="L160" s="513">
        <f t="shared" si="51"/>
        <v>0</v>
      </c>
      <c r="M160" s="513">
        <v>0</v>
      </c>
      <c r="N160" s="513">
        <v>0</v>
      </c>
    </row>
    <row r="161" spans="1:14" s="545" customFormat="1" ht="15" customHeight="1" hidden="1">
      <c r="A161" s="1001"/>
      <c r="B161" s="1002"/>
      <c r="C161" s="1003"/>
      <c r="D161" s="1004"/>
      <c r="E161" s="997"/>
      <c r="F161" s="998"/>
      <c r="G161" s="546" t="s">
        <v>14</v>
      </c>
      <c r="H161" s="512">
        <f t="shared" si="35"/>
        <v>0</v>
      </c>
      <c r="I161" s="513">
        <f t="shared" si="36"/>
        <v>0</v>
      </c>
      <c r="J161" s="513">
        <v>0</v>
      </c>
      <c r="K161" s="513">
        <v>0</v>
      </c>
      <c r="L161" s="513">
        <f t="shared" si="51"/>
        <v>0</v>
      </c>
      <c r="M161" s="513">
        <v>0</v>
      </c>
      <c r="N161" s="513">
        <v>0</v>
      </c>
    </row>
    <row r="162" spans="1:14" s="454" customFormat="1" ht="15" customHeight="1" hidden="1">
      <c r="A162" s="1005"/>
      <c r="B162" s="1006"/>
      <c r="C162" s="1007"/>
      <c r="D162" s="1008"/>
      <c r="E162" s="999"/>
      <c r="F162" s="1000"/>
      <c r="G162" s="544" t="s">
        <v>15</v>
      </c>
      <c r="H162" s="541">
        <f t="shared" si="35"/>
        <v>400000</v>
      </c>
      <c r="I162" s="542">
        <f t="shared" si="36"/>
        <v>400000</v>
      </c>
      <c r="J162" s="542">
        <f>J160+J161</f>
        <v>0</v>
      </c>
      <c r="K162" s="542">
        <f>K160+K161</f>
        <v>400000</v>
      </c>
      <c r="L162" s="542">
        <f t="shared" si="51"/>
        <v>0</v>
      </c>
      <c r="M162" s="542">
        <f>M160+M161</f>
        <v>0</v>
      </c>
      <c r="N162" s="542">
        <f>N160+N161</f>
        <v>0</v>
      </c>
    </row>
    <row r="163" spans="1:14" s="545" customFormat="1" ht="15" customHeight="1" hidden="1">
      <c r="A163" s="1001"/>
      <c r="B163" s="1002"/>
      <c r="C163" s="1003"/>
      <c r="D163" s="1004"/>
      <c r="E163" s="995" t="s">
        <v>913</v>
      </c>
      <c r="F163" s="996"/>
      <c r="G163" s="546" t="s">
        <v>13</v>
      </c>
      <c r="H163" s="512">
        <f>I163+L163</f>
        <v>8682</v>
      </c>
      <c r="I163" s="513">
        <f>J163+K163</f>
        <v>8682</v>
      </c>
      <c r="J163" s="513">
        <v>0</v>
      </c>
      <c r="K163" s="513">
        <v>8682</v>
      </c>
      <c r="L163" s="513">
        <f>M163+N163</f>
        <v>0</v>
      </c>
      <c r="M163" s="513">
        <v>0</v>
      </c>
      <c r="N163" s="513">
        <v>0</v>
      </c>
    </row>
    <row r="164" spans="1:14" s="545" customFormat="1" ht="15" customHeight="1" hidden="1">
      <c r="A164" s="1001"/>
      <c r="B164" s="1002"/>
      <c r="C164" s="1003"/>
      <c r="D164" s="1004"/>
      <c r="E164" s="997"/>
      <c r="F164" s="998"/>
      <c r="G164" s="546" t="s">
        <v>14</v>
      </c>
      <c r="H164" s="512">
        <f>I164+L164</f>
        <v>0</v>
      </c>
      <c r="I164" s="513">
        <f>J164+K164</f>
        <v>0</v>
      </c>
      <c r="J164" s="513">
        <v>0</v>
      </c>
      <c r="K164" s="513">
        <v>0</v>
      </c>
      <c r="L164" s="513">
        <f>M164+N164</f>
        <v>0</v>
      </c>
      <c r="M164" s="513">
        <v>0</v>
      </c>
      <c r="N164" s="513">
        <v>0</v>
      </c>
    </row>
    <row r="165" spans="1:14" s="454" customFormat="1" ht="15" customHeight="1" hidden="1">
      <c r="A165" s="1005"/>
      <c r="B165" s="1006"/>
      <c r="C165" s="1007"/>
      <c r="D165" s="1008"/>
      <c r="E165" s="999"/>
      <c r="F165" s="1000"/>
      <c r="G165" s="544" t="s">
        <v>15</v>
      </c>
      <c r="H165" s="541">
        <f>I165+L165</f>
        <v>8682</v>
      </c>
      <c r="I165" s="542">
        <f>J165+K165</f>
        <v>8682</v>
      </c>
      <c r="J165" s="542">
        <f>J163+J164</f>
        <v>0</v>
      </c>
      <c r="K165" s="542">
        <f>K163+K164</f>
        <v>8682</v>
      </c>
      <c r="L165" s="542">
        <f>M165+N165</f>
        <v>0</v>
      </c>
      <c r="M165" s="542">
        <f>M163+M164</f>
        <v>0</v>
      </c>
      <c r="N165" s="542">
        <f>N163+N164</f>
        <v>0</v>
      </c>
    </row>
    <row r="166" spans="1:14" s="467" customFormat="1" ht="15" customHeight="1" hidden="1">
      <c r="A166" s="1086" t="s">
        <v>288</v>
      </c>
      <c r="B166" s="1087"/>
      <c r="C166" s="1087"/>
      <c r="D166" s="1087"/>
      <c r="E166" s="1087"/>
      <c r="F166" s="1088"/>
      <c r="G166" s="548" t="s">
        <v>13</v>
      </c>
      <c r="H166" s="537">
        <f t="shared" si="35"/>
        <v>2600000</v>
      </c>
      <c r="I166" s="538">
        <f t="shared" si="36"/>
        <v>2600000</v>
      </c>
      <c r="J166" s="538">
        <f aca="true" t="shared" si="55" ref="J166:K168">J169</f>
        <v>0</v>
      </c>
      <c r="K166" s="538">
        <f t="shared" si="55"/>
        <v>2600000</v>
      </c>
      <c r="L166" s="538">
        <f t="shared" si="51"/>
        <v>0</v>
      </c>
      <c r="M166" s="538">
        <f aca="true" t="shared" si="56" ref="M166:N168">M169</f>
        <v>0</v>
      </c>
      <c r="N166" s="538">
        <f t="shared" si="56"/>
        <v>0</v>
      </c>
    </row>
    <row r="167" spans="1:14" s="467" customFormat="1" ht="15" customHeight="1" hidden="1">
      <c r="A167" s="1089"/>
      <c r="B167" s="1090"/>
      <c r="C167" s="1090"/>
      <c r="D167" s="1090"/>
      <c r="E167" s="1090"/>
      <c r="F167" s="1091"/>
      <c r="G167" s="548" t="s">
        <v>14</v>
      </c>
      <c r="H167" s="537">
        <f t="shared" si="35"/>
        <v>0</v>
      </c>
      <c r="I167" s="538">
        <f t="shared" si="36"/>
        <v>0</v>
      </c>
      <c r="J167" s="538">
        <f t="shared" si="55"/>
        <v>0</v>
      </c>
      <c r="K167" s="538">
        <f t="shared" si="55"/>
        <v>0</v>
      </c>
      <c r="L167" s="538">
        <f t="shared" si="51"/>
        <v>0</v>
      </c>
      <c r="M167" s="538">
        <f t="shared" si="56"/>
        <v>0</v>
      </c>
      <c r="N167" s="538">
        <f t="shared" si="56"/>
        <v>0</v>
      </c>
    </row>
    <row r="168" spans="1:14" s="467" customFormat="1" ht="15" customHeight="1" hidden="1">
      <c r="A168" s="1092"/>
      <c r="B168" s="1093"/>
      <c r="C168" s="1093"/>
      <c r="D168" s="1093"/>
      <c r="E168" s="1093"/>
      <c r="F168" s="1094"/>
      <c r="G168" s="548" t="s">
        <v>15</v>
      </c>
      <c r="H168" s="537">
        <f t="shared" si="35"/>
        <v>2600000</v>
      </c>
      <c r="I168" s="538">
        <f t="shared" si="36"/>
        <v>2600000</v>
      </c>
      <c r="J168" s="538">
        <f t="shared" si="55"/>
        <v>0</v>
      </c>
      <c r="K168" s="538">
        <f t="shared" si="55"/>
        <v>2600000</v>
      </c>
      <c r="L168" s="538">
        <f t="shared" si="51"/>
        <v>0</v>
      </c>
      <c r="M168" s="538">
        <f t="shared" si="56"/>
        <v>0</v>
      </c>
      <c r="N168" s="538">
        <f t="shared" si="56"/>
        <v>0</v>
      </c>
    </row>
    <row r="169" spans="1:14" s="454" customFormat="1" ht="15" customHeight="1" hidden="1">
      <c r="A169" s="1009" t="s">
        <v>222</v>
      </c>
      <c r="B169" s="1010"/>
      <c r="C169" s="1011" t="s">
        <v>284</v>
      </c>
      <c r="D169" s="1012"/>
      <c r="E169" s="995" t="s">
        <v>895</v>
      </c>
      <c r="F169" s="996"/>
      <c r="G169" s="546" t="s">
        <v>13</v>
      </c>
      <c r="H169" s="541">
        <f t="shared" si="35"/>
        <v>2600000</v>
      </c>
      <c r="I169" s="542">
        <f t="shared" si="36"/>
        <v>2600000</v>
      </c>
      <c r="J169" s="542">
        <v>0</v>
      </c>
      <c r="K169" s="542">
        <v>2600000</v>
      </c>
      <c r="L169" s="542">
        <f t="shared" si="51"/>
        <v>0</v>
      </c>
      <c r="M169" s="542">
        <v>0</v>
      </c>
      <c r="N169" s="542">
        <v>0</v>
      </c>
    </row>
    <row r="170" spans="1:14" s="454" customFormat="1" ht="15" customHeight="1" hidden="1">
      <c r="A170" s="1005"/>
      <c r="B170" s="1006"/>
      <c r="C170" s="1007"/>
      <c r="D170" s="1008"/>
      <c r="E170" s="997"/>
      <c r="F170" s="998"/>
      <c r="G170" s="546" t="s">
        <v>14</v>
      </c>
      <c r="H170" s="541">
        <f t="shared" si="35"/>
        <v>0</v>
      </c>
      <c r="I170" s="542">
        <f t="shared" si="36"/>
        <v>0</v>
      </c>
      <c r="J170" s="542">
        <v>0</v>
      </c>
      <c r="K170" s="542">
        <v>0</v>
      </c>
      <c r="L170" s="542">
        <f t="shared" si="51"/>
        <v>0</v>
      </c>
      <c r="M170" s="542">
        <v>0</v>
      </c>
      <c r="N170" s="542">
        <v>0</v>
      </c>
    </row>
    <row r="171" spans="1:14" s="454" customFormat="1" ht="15" customHeight="1" hidden="1">
      <c r="A171" s="1005"/>
      <c r="B171" s="1006"/>
      <c r="C171" s="1007"/>
      <c r="D171" s="1008"/>
      <c r="E171" s="999"/>
      <c r="F171" s="1000"/>
      <c r="G171" s="544" t="s">
        <v>15</v>
      </c>
      <c r="H171" s="541">
        <f t="shared" si="35"/>
        <v>2600000</v>
      </c>
      <c r="I171" s="542">
        <f t="shared" si="36"/>
        <v>2600000</v>
      </c>
      <c r="J171" s="542">
        <f>J169+J170</f>
        <v>0</v>
      </c>
      <c r="K171" s="542">
        <f>K169+K170</f>
        <v>2600000</v>
      </c>
      <c r="L171" s="542">
        <f t="shared" si="51"/>
        <v>0</v>
      </c>
      <c r="M171" s="542">
        <f>M169+M170</f>
        <v>0</v>
      </c>
      <c r="N171" s="542">
        <f>N169+N170</f>
        <v>0</v>
      </c>
    </row>
    <row r="172" spans="1:14" s="497" customFormat="1" ht="5.25" customHeight="1">
      <c r="A172" s="517"/>
      <c r="B172" s="518"/>
      <c r="C172" s="518"/>
      <c r="D172" s="518"/>
      <c r="E172" s="519"/>
      <c r="F172" s="520"/>
      <c r="G172" s="478"/>
      <c r="H172" s="479"/>
      <c r="I172" s="480"/>
      <c r="J172" s="480"/>
      <c r="K172" s="480"/>
      <c r="L172" s="480"/>
      <c r="M172" s="480"/>
      <c r="N172" s="481"/>
    </row>
    <row r="173" spans="1:14" s="501" customFormat="1" ht="13.5" customHeight="1">
      <c r="A173" s="1068" t="s">
        <v>914</v>
      </c>
      <c r="B173" s="1069"/>
      <c r="C173" s="1069"/>
      <c r="D173" s="1069"/>
      <c r="E173" s="1069"/>
      <c r="F173" s="1070"/>
      <c r="G173" s="498" t="s">
        <v>13</v>
      </c>
      <c r="H173" s="522">
        <f>I173+L173</f>
        <v>259373461</v>
      </c>
      <c r="I173" s="522">
        <f>J173+K173</f>
        <v>170117291</v>
      </c>
      <c r="J173" s="522">
        <f aca="true" t="shared" si="57" ref="J173:K175">J177+J317+J328+J336</f>
        <v>139484103</v>
      </c>
      <c r="K173" s="522">
        <f t="shared" si="57"/>
        <v>30633188</v>
      </c>
      <c r="L173" s="522">
        <f>M173+N173</f>
        <v>89256170</v>
      </c>
      <c r="M173" s="522">
        <f aca="true" t="shared" si="58" ref="M173:N175">M177+M317+M328+M336</f>
        <v>3205572</v>
      </c>
      <c r="N173" s="522">
        <f t="shared" si="58"/>
        <v>86050598</v>
      </c>
    </row>
    <row r="174" spans="1:14" s="501" customFormat="1" ht="13.5" customHeight="1">
      <c r="A174" s="1071"/>
      <c r="B174" s="1072"/>
      <c r="C174" s="1072"/>
      <c r="D174" s="1072"/>
      <c r="E174" s="1072"/>
      <c r="F174" s="1073"/>
      <c r="G174" s="557" t="s">
        <v>14</v>
      </c>
      <c r="H174" s="522">
        <f>I174+L174</f>
        <v>20230371</v>
      </c>
      <c r="I174" s="522">
        <f>J174+K174</f>
        <v>3739175</v>
      </c>
      <c r="J174" s="522">
        <f t="shared" si="57"/>
        <v>-10093768</v>
      </c>
      <c r="K174" s="522">
        <f t="shared" si="57"/>
        <v>13832943</v>
      </c>
      <c r="L174" s="522">
        <f>M174+N174</f>
        <v>16491196</v>
      </c>
      <c r="M174" s="522">
        <f t="shared" si="58"/>
        <v>-2189</v>
      </c>
      <c r="N174" s="522">
        <f t="shared" si="58"/>
        <v>16493385</v>
      </c>
    </row>
    <row r="175" spans="1:14" s="501" customFormat="1" ht="13.5" customHeight="1">
      <c r="A175" s="1074"/>
      <c r="B175" s="1075"/>
      <c r="C175" s="1075"/>
      <c r="D175" s="1075"/>
      <c r="E175" s="1075"/>
      <c r="F175" s="1076"/>
      <c r="G175" s="558" t="s">
        <v>15</v>
      </c>
      <c r="H175" s="522">
        <f>I175+L175</f>
        <v>279603832</v>
      </c>
      <c r="I175" s="522">
        <f>J175+K175</f>
        <v>173856466</v>
      </c>
      <c r="J175" s="522">
        <f t="shared" si="57"/>
        <v>129390335</v>
      </c>
      <c r="K175" s="522">
        <f t="shared" si="57"/>
        <v>44466131</v>
      </c>
      <c r="L175" s="522">
        <f>M175+N175</f>
        <v>105747366</v>
      </c>
      <c r="M175" s="522">
        <f t="shared" si="58"/>
        <v>3203383</v>
      </c>
      <c r="N175" s="522">
        <f t="shared" si="58"/>
        <v>102543983</v>
      </c>
    </row>
    <row r="176" spans="1:14" s="497" customFormat="1" ht="3.75" customHeight="1">
      <c r="A176" s="504"/>
      <c r="B176" s="505"/>
      <c r="C176" s="505"/>
      <c r="D176" s="505"/>
      <c r="E176" s="506"/>
      <c r="F176" s="506"/>
      <c r="G176" s="507"/>
      <c r="H176" s="508"/>
      <c r="I176" s="509"/>
      <c r="J176" s="509"/>
      <c r="K176" s="509"/>
      <c r="L176" s="509"/>
      <c r="M176" s="509"/>
      <c r="N176" s="510"/>
    </row>
    <row r="177" spans="1:14" s="562" customFormat="1" ht="13.5" customHeight="1">
      <c r="A177" s="1077" t="s">
        <v>915</v>
      </c>
      <c r="B177" s="1078"/>
      <c r="C177" s="1078"/>
      <c r="D177" s="1078"/>
      <c r="E177" s="1078"/>
      <c r="F177" s="1079"/>
      <c r="G177" s="559" t="s">
        <v>13</v>
      </c>
      <c r="H177" s="560">
        <f>I177+L177</f>
        <v>149186717</v>
      </c>
      <c r="I177" s="561">
        <f>J177+K177</f>
        <v>114307502</v>
      </c>
      <c r="J177" s="561">
        <f aca="true" t="shared" si="59" ref="J177:K179">J181+J184+J187+J190+J193+J196+J199+J202+J205+J208+J211+J214+J217+J220+J223+J226+J229+J235+J232+J238+J241+J244+J247+J250+J253+J256+J259+J262+J265+J268+J271+J274+J277+J280+J283+J286+J289+J292+J295+J298+J301+J304+J307+J310+J313</f>
        <v>97462550</v>
      </c>
      <c r="K177" s="561">
        <f t="shared" si="59"/>
        <v>16844952</v>
      </c>
      <c r="L177" s="561">
        <f>M177+N177</f>
        <v>34879215</v>
      </c>
      <c r="M177" s="561">
        <f aca="true" t="shared" si="60" ref="M177:N179">M181+M184+M187+M190+M193+M196+M199+M202+M205+M208+M211+M214+M217+M220+M223+M226+M229+M235+M232+M238+M241+M244+M247+M250+M253+M256+M259+M262+M265+M268+M271+M274+M277+M280+M283+M286+M289+M292+M295+M298+M301+M304+M307+M310+M313</f>
        <v>3155572</v>
      </c>
      <c r="N177" s="561">
        <f t="shared" si="60"/>
        <v>31723643</v>
      </c>
    </row>
    <row r="178" spans="1:14" s="562" customFormat="1" ht="13.5" customHeight="1">
      <c r="A178" s="1080"/>
      <c r="B178" s="1081"/>
      <c r="C178" s="1081"/>
      <c r="D178" s="1081"/>
      <c r="E178" s="1081"/>
      <c r="F178" s="1082"/>
      <c r="G178" s="563" t="s">
        <v>14</v>
      </c>
      <c r="H178" s="560">
        <f>I178+L178</f>
        <v>20420730</v>
      </c>
      <c r="I178" s="561">
        <f>J178+K178</f>
        <v>3979534</v>
      </c>
      <c r="J178" s="561">
        <f t="shared" si="59"/>
        <v>-8939789</v>
      </c>
      <c r="K178" s="561">
        <f t="shared" si="59"/>
        <v>12919323</v>
      </c>
      <c r="L178" s="561">
        <f>M178+N178</f>
        <v>16441196</v>
      </c>
      <c r="M178" s="561">
        <f t="shared" si="60"/>
        <v>-52189</v>
      </c>
      <c r="N178" s="561">
        <f t="shared" si="60"/>
        <v>16493385</v>
      </c>
    </row>
    <row r="179" spans="1:14" s="562" customFormat="1" ht="13.5" customHeight="1">
      <c r="A179" s="1083"/>
      <c r="B179" s="1084"/>
      <c r="C179" s="1084"/>
      <c r="D179" s="1084"/>
      <c r="E179" s="1084"/>
      <c r="F179" s="1085"/>
      <c r="G179" s="564" t="s">
        <v>15</v>
      </c>
      <c r="H179" s="560">
        <f>I179+L179</f>
        <v>169607447</v>
      </c>
      <c r="I179" s="561">
        <f>J179+K179</f>
        <v>118287036</v>
      </c>
      <c r="J179" s="561">
        <f t="shared" si="59"/>
        <v>88522761</v>
      </c>
      <c r="K179" s="561">
        <f t="shared" si="59"/>
        <v>29764275</v>
      </c>
      <c r="L179" s="561">
        <f>M179+N179</f>
        <v>51320411</v>
      </c>
      <c r="M179" s="561">
        <f t="shared" si="60"/>
        <v>3103383</v>
      </c>
      <c r="N179" s="561">
        <f t="shared" si="60"/>
        <v>48217028</v>
      </c>
    </row>
    <row r="180" spans="1:14" s="535" customFormat="1" ht="3.75" customHeight="1">
      <c r="A180" s="529"/>
      <c r="B180" s="530"/>
      <c r="C180" s="530"/>
      <c r="D180" s="530"/>
      <c r="E180" s="530"/>
      <c r="F180" s="530"/>
      <c r="G180" s="531"/>
      <c r="H180" s="532"/>
      <c r="I180" s="533"/>
      <c r="J180" s="533"/>
      <c r="K180" s="533"/>
      <c r="L180" s="533"/>
      <c r="M180" s="533"/>
      <c r="N180" s="534"/>
    </row>
    <row r="181" spans="1:14" s="454" customFormat="1" ht="15" customHeight="1">
      <c r="A181" s="1009" t="s">
        <v>102</v>
      </c>
      <c r="B181" s="1010"/>
      <c r="C181" s="1007" t="s">
        <v>104</v>
      </c>
      <c r="D181" s="1008"/>
      <c r="E181" s="565" t="s">
        <v>776</v>
      </c>
      <c r="F181" s="1056" t="s">
        <v>778</v>
      </c>
      <c r="G181" s="566" t="s">
        <v>13</v>
      </c>
      <c r="H181" s="512">
        <f aca="true" t="shared" si="61" ref="H181:H212">I181+L181</f>
        <v>2251000</v>
      </c>
      <c r="I181" s="513">
        <f aca="true" t="shared" si="62" ref="I181:I212">J181+K181</f>
        <v>0</v>
      </c>
      <c r="J181" s="513">
        <v>0</v>
      </c>
      <c r="K181" s="513">
        <v>0</v>
      </c>
      <c r="L181" s="513">
        <f aca="true" t="shared" si="63" ref="L181:L212">M181+N181</f>
        <v>2251000</v>
      </c>
      <c r="M181" s="513">
        <v>0</v>
      </c>
      <c r="N181" s="513">
        <v>2251000</v>
      </c>
    </row>
    <row r="182" spans="1:14" s="454" customFormat="1" ht="15" customHeight="1">
      <c r="A182" s="1005"/>
      <c r="B182" s="1028"/>
      <c r="C182" s="1007"/>
      <c r="D182" s="1028"/>
      <c r="E182" s="567"/>
      <c r="F182" s="1057"/>
      <c r="G182" s="546" t="s">
        <v>14</v>
      </c>
      <c r="H182" s="512">
        <f t="shared" si="61"/>
        <v>-2000000</v>
      </c>
      <c r="I182" s="513">
        <f t="shared" si="62"/>
        <v>0</v>
      </c>
      <c r="J182" s="513">
        <v>0</v>
      </c>
      <c r="K182" s="513">
        <v>0</v>
      </c>
      <c r="L182" s="513">
        <f t="shared" si="63"/>
        <v>-2000000</v>
      </c>
      <c r="M182" s="513">
        <v>0</v>
      </c>
      <c r="N182" s="513">
        <v>-2000000</v>
      </c>
    </row>
    <row r="183" spans="1:14" s="454" customFormat="1" ht="15" customHeight="1">
      <c r="A183" s="1005"/>
      <c r="B183" s="1006"/>
      <c r="C183" s="1007"/>
      <c r="D183" s="1008"/>
      <c r="E183" s="567"/>
      <c r="F183" s="1058"/>
      <c r="G183" s="544" t="s">
        <v>15</v>
      </c>
      <c r="H183" s="541">
        <f t="shared" si="61"/>
        <v>251000</v>
      </c>
      <c r="I183" s="542">
        <f t="shared" si="62"/>
        <v>0</v>
      </c>
      <c r="J183" s="542">
        <f>J181+J182</f>
        <v>0</v>
      </c>
      <c r="K183" s="542">
        <f>K181+K182</f>
        <v>0</v>
      </c>
      <c r="L183" s="542">
        <f t="shared" si="63"/>
        <v>251000</v>
      </c>
      <c r="M183" s="542">
        <f>M181+M182</f>
        <v>0</v>
      </c>
      <c r="N183" s="542">
        <f>N181+N182</f>
        <v>251000</v>
      </c>
    </row>
    <row r="184" spans="1:14" s="454" customFormat="1" ht="15" customHeight="1" hidden="1">
      <c r="A184" s="1005"/>
      <c r="B184" s="1006"/>
      <c r="C184" s="1007"/>
      <c r="D184" s="1008"/>
      <c r="E184" s="565" t="s">
        <v>736</v>
      </c>
      <c r="F184" s="1056" t="s">
        <v>806</v>
      </c>
      <c r="G184" s="546" t="s">
        <v>13</v>
      </c>
      <c r="H184" s="541">
        <f t="shared" si="61"/>
        <v>345000</v>
      </c>
      <c r="I184" s="542">
        <f t="shared" si="62"/>
        <v>0</v>
      </c>
      <c r="J184" s="542">
        <v>0</v>
      </c>
      <c r="K184" s="542">
        <v>0</v>
      </c>
      <c r="L184" s="542">
        <f t="shared" si="63"/>
        <v>345000</v>
      </c>
      <c r="M184" s="542">
        <v>0</v>
      </c>
      <c r="N184" s="542">
        <v>345000</v>
      </c>
    </row>
    <row r="185" spans="1:14" s="454" customFormat="1" ht="15" customHeight="1" hidden="1">
      <c r="A185" s="1005"/>
      <c r="B185" s="1028"/>
      <c r="C185" s="1007"/>
      <c r="D185" s="1028"/>
      <c r="E185" s="567"/>
      <c r="F185" s="1057"/>
      <c r="G185" s="546" t="s">
        <v>14</v>
      </c>
      <c r="H185" s="541">
        <f t="shared" si="61"/>
        <v>0</v>
      </c>
      <c r="I185" s="542">
        <f t="shared" si="62"/>
        <v>0</v>
      </c>
      <c r="J185" s="542">
        <v>0</v>
      </c>
      <c r="K185" s="542">
        <v>0</v>
      </c>
      <c r="L185" s="542">
        <f t="shared" si="63"/>
        <v>0</v>
      </c>
      <c r="M185" s="542">
        <v>0</v>
      </c>
      <c r="N185" s="542">
        <v>0</v>
      </c>
    </row>
    <row r="186" spans="1:14" s="454" customFormat="1" ht="15" customHeight="1" hidden="1">
      <c r="A186" s="1005"/>
      <c r="B186" s="1006"/>
      <c r="C186" s="1007"/>
      <c r="D186" s="1008"/>
      <c r="E186" s="567"/>
      <c r="F186" s="1058"/>
      <c r="G186" s="544" t="s">
        <v>15</v>
      </c>
      <c r="H186" s="541">
        <f t="shared" si="61"/>
        <v>345000</v>
      </c>
      <c r="I186" s="542">
        <f t="shared" si="62"/>
        <v>0</v>
      </c>
      <c r="J186" s="542">
        <f>J184+J185</f>
        <v>0</v>
      </c>
      <c r="K186" s="542">
        <f>K184+K185</f>
        <v>0</v>
      </c>
      <c r="L186" s="542">
        <f t="shared" si="63"/>
        <v>345000</v>
      </c>
      <c r="M186" s="542">
        <f>M184+M185</f>
        <v>0</v>
      </c>
      <c r="N186" s="542">
        <f>N184+N185</f>
        <v>345000</v>
      </c>
    </row>
    <row r="187" spans="1:14" s="545" customFormat="1" ht="15" customHeight="1" hidden="1">
      <c r="A187" s="1001"/>
      <c r="B187" s="1002"/>
      <c r="C187" s="1003"/>
      <c r="D187" s="1004"/>
      <c r="E187" s="568"/>
      <c r="F187" s="1056" t="s">
        <v>916</v>
      </c>
      <c r="G187" s="546" t="s">
        <v>13</v>
      </c>
      <c r="H187" s="512">
        <f t="shared" si="61"/>
        <v>8342031</v>
      </c>
      <c r="I187" s="513">
        <f t="shared" si="62"/>
        <v>0</v>
      </c>
      <c r="J187" s="513">
        <v>0</v>
      </c>
      <c r="K187" s="513">
        <v>0</v>
      </c>
      <c r="L187" s="513">
        <f t="shared" si="63"/>
        <v>8342031</v>
      </c>
      <c r="M187" s="513">
        <v>0</v>
      </c>
      <c r="N187" s="513">
        <v>8342031</v>
      </c>
    </row>
    <row r="188" spans="1:14" s="545" customFormat="1" ht="15" customHeight="1" hidden="1">
      <c r="A188" s="1001"/>
      <c r="B188" s="1028"/>
      <c r="C188" s="1003"/>
      <c r="D188" s="1028"/>
      <c r="E188" s="568"/>
      <c r="F188" s="1057"/>
      <c r="G188" s="546" t="s">
        <v>14</v>
      </c>
      <c r="H188" s="512">
        <f t="shared" si="61"/>
        <v>0</v>
      </c>
      <c r="I188" s="513">
        <f t="shared" si="62"/>
        <v>0</v>
      </c>
      <c r="J188" s="513">
        <v>0</v>
      </c>
      <c r="K188" s="513">
        <v>0</v>
      </c>
      <c r="L188" s="513">
        <f t="shared" si="63"/>
        <v>0</v>
      </c>
      <c r="M188" s="513">
        <v>0</v>
      </c>
      <c r="N188" s="513">
        <v>0</v>
      </c>
    </row>
    <row r="189" spans="1:14" s="454" customFormat="1" ht="15" customHeight="1" hidden="1">
      <c r="A189" s="1005"/>
      <c r="B189" s="1006"/>
      <c r="C189" s="1007"/>
      <c r="D189" s="1008"/>
      <c r="E189" s="569"/>
      <c r="F189" s="1058"/>
      <c r="G189" s="544" t="s">
        <v>15</v>
      </c>
      <c r="H189" s="541">
        <f t="shared" si="61"/>
        <v>8342031</v>
      </c>
      <c r="I189" s="542">
        <f t="shared" si="62"/>
        <v>0</v>
      </c>
      <c r="J189" s="542">
        <f>J187+J188</f>
        <v>0</v>
      </c>
      <c r="K189" s="542">
        <f>K187+K188</f>
        <v>0</v>
      </c>
      <c r="L189" s="542">
        <f t="shared" si="63"/>
        <v>8342031</v>
      </c>
      <c r="M189" s="542">
        <f>M187+M188</f>
        <v>0</v>
      </c>
      <c r="N189" s="542">
        <f>N187+N188</f>
        <v>8342031</v>
      </c>
    </row>
    <row r="190" spans="1:14" s="454" customFormat="1" ht="15" customHeight="1" hidden="1">
      <c r="A190" s="1005"/>
      <c r="B190" s="1006"/>
      <c r="C190" s="1007"/>
      <c r="D190" s="1008"/>
      <c r="E190" s="565" t="s">
        <v>808</v>
      </c>
      <c r="F190" s="1056" t="s">
        <v>809</v>
      </c>
      <c r="G190" s="546" t="s">
        <v>13</v>
      </c>
      <c r="H190" s="512">
        <f t="shared" si="61"/>
        <v>712000</v>
      </c>
      <c r="I190" s="513">
        <f t="shared" si="62"/>
        <v>476000</v>
      </c>
      <c r="J190" s="513">
        <v>0</v>
      </c>
      <c r="K190" s="513">
        <v>476000</v>
      </c>
      <c r="L190" s="513">
        <f t="shared" si="63"/>
        <v>236000</v>
      </c>
      <c r="M190" s="513">
        <v>0</v>
      </c>
      <c r="N190" s="513">
        <v>236000</v>
      </c>
    </row>
    <row r="191" spans="1:14" s="454" customFormat="1" ht="15" customHeight="1" hidden="1">
      <c r="A191" s="1005"/>
      <c r="B191" s="1028"/>
      <c r="C191" s="1007"/>
      <c r="D191" s="1028"/>
      <c r="E191" s="567"/>
      <c r="F191" s="1057"/>
      <c r="G191" s="546" t="s">
        <v>14</v>
      </c>
      <c r="H191" s="512">
        <f t="shared" si="61"/>
        <v>0</v>
      </c>
      <c r="I191" s="513">
        <f t="shared" si="62"/>
        <v>0</v>
      </c>
      <c r="J191" s="513">
        <v>0</v>
      </c>
      <c r="K191" s="513">
        <v>0</v>
      </c>
      <c r="L191" s="513">
        <f t="shared" si="63"/>
        <v>0</v>
      </c>
      <c r="M191" s="513">
        <v>0</v>
      </c>
      <c r="N191" s="513">
        <v>0</v>
      </c>
    </row>
    <row r="192" spans="1:14" s="454" customFormat="1" ht="15" customHeight="1" hidden="1">
      <c r="A192" s="1005"/>
      <c r="B192" s="1006"/>
      <c r="C192" s="1007"/>
      <c r="D192" s="1008"/>
      <c r="E192" s="567"/>
      <c r="F192" s="1058"/>
      <c r="G192" s="544" t="s">
        <v>15</v>
      </c>
      <c r="H192" s="541">
        <f t="shared" si="61"/>
        <v>712000</v>
      </c>
      <c r="I192" s="542">
        <f t="shared" si="62"/>
        <v>476000</v>
      </c>
      <c r="J192" s="542">
        <f>J190+J191</f>
        <v>0</v>
      </c>
      <c r="K192" s="542">
        <f>K190+K191</f>
        <v>476000</v>
      </c>
      <c r="L192" s="542">
        <f t="shared" si="63"/>
        <v>236000</v>
      </c>
      <c r="M192" s="542">
        <f>M190+M191</f>
        <v>0</v>
      </c>
      <c r="N192" s="542">
        <f>N190+N191</f>
        <v>236000</v>
      </c>
    </row>
    <row r="193" spans="1:14" s="545" customFormat="1" ht="15" customHeight="1" hidden="1">
      <c r="A193" s="991" t="s">
        <v>19</v>
      </c>
      <c r="B193" s="1013"/>
      <c r="C193" s="993" t="s">
        <v>21</v>
      </c>
      <c r="D193" s="994"/>
      <c r="E193" s="570" t="s">
        <v>626</v>
      </c>
      <c r="F193" s="1056" t="s">
        <v>627</v>
      </c>
      <c r="G193" s="546" t="s">
        <v>13</v>
      </c>
      <c r="H193" s="512">
        <f t="shared" si="61"/>
        <v>873543</v>
      </c>
      <c r="I193" s="513">
        <f t="shared" si="62"/>
        <v>873543</v>
      </c>
      <c r="J193" s="513">
        <v>873543</v>
      </c>
      <c r="K193" s="513">
        <v>0</v>
      </c>
      <c r="L193" s="513">
        <f t="shared" si="63"/>
        <v>0</v>
      </c>
      <c r="M193" s="513">
        <v>0</v>
      </c>
      <c r="N193" s="513">
        <v>0</v>
      </c>
    </row>
    <row r="194" spans="1:14" s="545" customFormat="1" ht="15" customHeight="1" hidden="1">
      <c r="A194" s="1001"/>
      <c r="B194" s="1028"/>
      <c r="C194" s="1003"/>
      <c r="D194" s="1028"/>
      <c r="E194" s="568"/>
      <c r="F194" s="1057"/>
      <c r="G194" s="546" t="s">
        <v>14</v>
      </c>
      <c r="H194" s="512">
        <f t="shared" si="61"/>
        <v>0</v>
      </c>
      <c r="I194" s="513">
        <f t="shared" si="62"/>
        <v>0</v>
      </c>
      <c r="J194" s="513">
        <v>0</v>
      </c>
      <c r="K194" s="513">
        <v>0</v>
      </c>
      <c r="L194" s="513">
        <f t="shared" si="63"/>
        <v>0</v>
      </c>
      <c r="M194" s="513">
        <v>0</v>
      </c>
      <c r="N194" s="513">
        <v>0</v>
      </c>
    </row>
    <row r="195" spans="1:14" s="454" customFormat="1" ht="15" customHeight="1" hidden="1">
      <c r="A195" s="1005"/>
      <c r="B195" s="1006"/>
      <c r="C195" s="1007"/>
      <c r="D195" s="1008"/>
      <c r="E195" s="568"/>
      <c r="F195" s="1058"/>
      <c r="G195" s="544" t="s">
        <v>15</v>
      </c>
      <c r="H195" s="541">
        <f t="shared" si="61"/>
        <v>873543</v>
      </c>
      <c r="I195" s="542">
        <f t="shared" si="62"/>
        <v>873543</v>
      </c>
      <c r="J195" s="542">
        <f>J193+J194</f>
        <v>873543</v>
      </c>
      <c r="K195" s="542">
        <f>K193+K194</f>
        <v>0</v>
      </c>
      <c r="L195" s="542">
        <f t="shared" si="63"/>
        <v>0</v>
      </c>
      <c r="M195" s="542">
        <f>M193+M194</f>
        <v>0</v>
      </c>
      <c r="N195" s="542">
        <f>N193+N194</f>
        <v>0</v>
      </c>
    </row>
    <row r="196" spans="1:14" s="545" customFormat="1" ht="19.5" customHeight="1" hidden="1">
      <c r="A196" s="1001"/>
      <c r="B196" s="1002"/>
      <c r="C196" s="1003"/>
      <c r="D196" s="1004"/>
      <c r="E196" s="568"/>
      <c r="F196" s="1056" t="s">
        <v>917</v>
      </c>
      <c r="G196" s="546" t="s">
        <v>13</v>
      </c>
      <c r="H196" s="512">
        <f t="shared" si="61"/>
        <v>1126265</v>
      </c>
      <c r="I196" s="513">
        <f t="shared" si="62"/>
        <v>1126265</v>
      </c>
      <c r="J196" s="513">
        <v>1126265</v>
      </c>
      <c r="K196" s="513">
        <v>0</v>
      </c>
      <c r="L196" s="513">
        <f t="shared" si="63"/>
        <v>0</v>
      </c>
      <c r="M196" s="513">
        <v>0</v>
      </c>
      <c r="N196" s="513">
        <v>0</v>
      </c>
    </row>
    <row r="197" spans="1:14" s="545" customFormat="1" ht="19.5" customHeight="1" hidden="1">
      <c r="A197" s="1001"/>
      <c r="B197" s="1028"/>
      <c r="C197" s="1003"/>
      <c r="D197" s="1028"/>
      <c r="E197" s="568"/>
      <c r="F197" s="1057"/>
      <c r="G197" s="546" t="s">
        <v>14</v>
      </c>
      <c r="H197" s="512">
        <f t="shared" si="61"/>
        <v>0</v>
      </c>
      <c r="I197" s="513">
        <f t="shared" si="62"/>
        <v>0</v>
      </c>
      <c r="J197" s="513">
        <v>0</v>
      </c>
      <c r="K197" s="513">
        <v>0</v>
      </c>
      <c r="L197" s="513">
        <f t="shared" si="63"/>
        <v>0</v>
      </c>
      <c r="M197" s="513">
        <v>0</v>
      </c>
      <c r="N197" s="513">
        <v>0</v>
      </c>
    </row>
    <row r="198" spans="1:14" s="545" customFormat="1" ht="19.5" customHeight="1" hidden="1">
      <c r="A198" s="1065"/>
      <c r="B198" s="1066"/>
      <c r="C198" s="1067"/>
      <c r="D198" s="1066"/>
      <c r="E198" s="568"/>
      <c r="F198" s="1058"/>
      <c r="G198" s="546" t="s">
        <v>15</v>
      </c>
      <c r="H198" s="512">
        <f t="shared" si="61"/>
        <v>1126265</v>
      </c>
      <c r="I198" s="513">
        <f t="shared" si="62"/>
        <v>1126265</v>
      </c>
      <c r="J198" s="513">
        <f>J196+J197</f>
        <v>1126265</v>
      </c>
      <c r="K198" s="513">
        <f>K196+K197</f>
        <v>0</v>
      </c>
      <c r="L198" s="513">
        <f t="shared" si="63"/>
        <v>0</v>
      </c>
      <c r="M198" s="513">
        <f>M196+M197</f>
        <v>0</v>
      </c>
      <c r="N198" s="513">
        <f>N196+N197</f>
        <v>0</v>
      </c>
    </row>
    <row r="199" spans="1:14" s="454" customFormat="1" ht="15" customHeight="1">
      <c r="A199" s="1009" t="s">
        <v>70</v>
      </c>
      <c r="B199" s="1010"/>
      <c r="C199" s="1011" t="s">
        <v>72</v>
      </c>
      <c r="D199" s="1012"/>
      <c r="E199" s="565" t="s">
        <v>518</v>
      </c>
      <c r="F199" s="1056" t="s">
        <v>606</v>
      </c>
      <c r="G199" s="546" t="s">
        <v>13</v>
      </c>
      <c r="H199" s="512">
        <f t="shared" si="61"/>
        <v>42670636</v>
      </c>
      <c r="I199" s="513">
        <f t="shared" si="62"/>
        <v>42670636</v>
      </c>
      <c r="J199" s="513">
        <f>86628+42584008</f>
        <v>42670636</v>
      </c>
      <c r="K199" s="513"/>
      <c r="L199" s="513">
        <f t="shared" si="63"/>
        <v>0</v>
      </c>
      <c r="M199" s="513">
        <v>0</v>
      </c>
      <c r="N199" s="513">
        <v>0</v>
      </c>
    </row>
    <row r="200" spans="1:14" s="454" customFormat="1" ht="15" customHeight="1">
      <c r="A200" s="1005"/>
      <c r="B200" s="1028"/>
      <c r="C200" s="1007"/>
      <c r="D200" s="1028"/>
      <c r="E200" s="567"/>
      <c r="F200" s="1057"/>
      <c r="G200" s="546" t="s">
        <v>14</v>
      </c>
      <c r="H200" s="512">
        <f t="shared" si="61"/>
        <v>-5202147</v>
      </c>
      <c r="I200" s="513">
        <f t="shared" si="62"/>
        <v>-5202147</v>
      </c>
      <c r="J200" s="513">
        <v>-5202147</v>
      </c>
      <c r="K200" s="513"/>
      <c r="L200" s="513">
        <f t="shared" si="63"/>
        <v>0</v>
      </c>
      <c r="M200" s="513">
        <v>0</v>
      </c>
      <c r="N200" s="513">
        <v>0</v>
      </c>
    </row>
    <row r="201" spans="1:14" s="454" customFormat="1" ht="15" customHeight="1">
      <c r="A201" s="1005"/>
      <c r="B201" s="1006"/>
      <c r="C201" s="1007"/>
      <c r="D201" s="1008"/>
      <c r="E201" s="568"/>
      <c r="F201" s="1058"/>
      <c r="G201" s="544" t="s">
        <v>15</v>
      </c>
      <c r="H201" s="541">
        <f>I201+L201</f>
        <v>37468489</v>
      </c>
      <c r="I201" s="542">
        <f>J201+K201</f>
        <v>37468489</v>
      </c>
      <c r="J201" s="542">
        <f>J199+J200</f>
        <v>37468489</v>
      </c>
      <c r="K201" s="542">
        <f>K199+K200</f>
        <v>0</v>
      </c>
      <c r="L201" s="542">
        <f>M201+N201</f>
        <v>0</v>
      </c>
      <c r="M201" s="542">
        <f>M199+M200</f>
        <v>0</v>
      </c>
      <c r="N201" s="542">
        <f>N199+N200</f>
        <v>0</v>
      </c>
    </row>
    <row r="202" spans="1:14" s="545" customFormat="1" ht="14.25" customHeight="1" hidden="1">
      <c r="A202" s="1001"/>
      <c r="B202" s="1002"/>
      <c r="C202" s="1003"/>
      <c r="D202" s="1004"/>
      <c r="E202" s="568"/>
      <c r="F202" s="1056" t="s">
        <v>608</v>
      </c>
      <c r="G202" s="546" t="s">
        <v>13</v>
      </c>
      <c r="H202" s="512">
        <f t="shared" si="61"/>
        <v>10000000</v>
      </c>
      <c r="I202" s="513">
        <f t="shared" si="62"/>
        <v>10000000</v>
      </c>
      <c r="J202" s="513">
        <v>10000000</v>
      </c>
      <c r="K202" s="513">
        <v>0</v>
      </c>
      <c r="L202" s="513">
        <f t="shared" si="63"/>
        <v>0</v>
      </c>
      <c r="M202" s="513">
        <v>0</v>
      </c>
      <c r="N202" s="513">
        <v>0</v>
      </c>
    </row>
    <row r="203" spans="1:14" s="545" customFormat="1" ht="14.25" customHeight="1" hidden="1">
      <c r="A203" s="1001"/>
      <c r="B203" s="1028"/>
      <c r="C203" s="1003"/>
      <c r="D203" s="1028"/>
      <c r="E203" s="568"/>
      <c r="F203" s="1057"/>
      <c r="G203" s="546" t="s">
        <v>14</v>
      </c>
      <c r="H203" s="512">
        <f t="shared" si="61"/>
        <v>0</v>
      </c>
      <c r="I203" s="513">
        <f t="shared" si="62"/>
        <v>0</v>
      </c>
      <c r="J203" s="513">
        <v>0</v>
      </c>
      <c r="K203" s="513">
        <v>0</v>
      </c>
      <c r="L203" s="513">
        <f t="shared" si="63"/>
        <v>0</v>
      </c>
      <c r="M203" s="513">
        <v>0</v>
      </c>
      <c r="N203" s="513">
        <v>0</v>
      </c>
    </row>
    <row r="204" spans="1:14" s="454" customFormat="1" ht="14.25" customHeight="1" hidden="1">
      <c r="A204" s="1005"/>
      <c r="B204" s="1006"/>
      <c r="C204" s="1007"/>
      <c r="D204" s="1008"/>
      <c r="E204" s="568"/>
      <c r="F204" s="1058"/>
      <c r="G204" s="544" t="s">
        <v>15</v>
      </c>
      <c r="H204" s="541">
        <f>I204+L204</f>
        <v>10000000</v>
      </c>
      <c r="I204" s="542">
        <f>J204+K204</f>
        <v>10000000</v>
      </c>
      <c r="J204" s="542">
        <f>J202+J203</f>
        <v>10000000</v>
      </c>
      <c r="K204" s="542">
        <f>K202+K203</f>
        <v>0</v>
      </c>
      <c r="L204" s="542">
        <f>M204+N204</f>
        <v>0</v>
      </c>
      <c r="M204" s="542">
        <f>M202+M203</f>
        <v>0</v>
      </c>
      <c r="N204" s="542">
        <f>N202+N203</f>
        <v>0</v>
      </c>
    </row>
    <row r="205" spans="1:14" s="545" customFormat="1" ht="14.25" customHeight="1" hidden="1">
      <c r="A205" s="1001"/>
      <c r="B205" s="1002"/>
      <c r="C205" s="1003"/>
      <c r="D205" s="1004"/>
      <c r="E205" s="568"/>
      <c r="F205" s="1056" t="s">
        <v>609</v>
      </c>
      <c r="G205" s="546" t="s">
        <v>13</v>
      </c>
      <c r="H205" s="512">
        <f t="shared" si="61"/>
        <v>8500000</v>
      </c>
      <c r="I205" s="513">
        <f t="shared" si="62"/>
        <v>8500000</v>
      </c>
      <c r="J205" s="513">
        <v>8500000</v>
      </c>
      <c r="K205" s="513">
        <v>0</v>
      </c>
      <c r="L205" s="513">
        <f t="shared" si="63"/>
        <v>0</v>
      </c>
      <c r="M205" s="513">
        <v>0</v>
      </c>
      <c r="N205" s="513">
        <v>0</v>
      </c>
    </row>
    <row r="206" spans="1:14" s="545" customFormat="1" ht="14.25" customHeight="1" hidden="1">
      <c r="A206" s="1001"/>
      <c r="B206" s="1028"/>
      <c r="C206" s="1003"/>
      <c r="D206" s="1028"/>
      <c r="E206" s="568"/>
      <c r="F206" s="1057"/>
      <c r="G206" s="546" t="s">
        <v>14</v>
      </c>
      <c r="H206" s="512">
        <f t="shared" si="61"/>
        <v>0</v>
      </c>
      <c r="I206" s="513">
        <f t="shared" si="62"/>
        <v>0</v>
      </c>
      <c r="J206" s="513">
        <v>0</v>
      </c>
      <c r="K206" s="513">
        <v>0</v>
      </c>
      <c r="L206" s="513">
        <f t="shared" si="63"/>
        <v>0</v>
      </c>
      <c r="M206" s="513">
        <v>0</v>
      </c>
      <c r="N206" s="513">
        <v>0</v>
      </c>
    </row>
    <row r="207" spans="1:14" s="454" customFormat="1" ht="14.25" customHeight="1" hidden="1">
      <c r="A207" s="1005"/>
      <c r="B207" s="1006"/>
      <c r="C207" s="1007"/>
      <c r="D207" s="1008"/>
      <c r="E207" s="568"/>
      <c r="F207" s="1058"/>
      <c r="G207" s="544" t="s">
        <v>15</v>
      </c>
      <c r="H207" s="541">
        <f>I207+L207</f>
        <v>8500000</v>
      </c>
      <c r="I207" s="542">
        <f>J207+K207</f>
        <v>8500000</v>
      </c>
      <c r="J207" s="542">
        <f>J205+J206</f>
        <v>8500000</v>
      </c>
      <c r="K207" s="542">
        <f>K205+K206</f>
        <v>0</v>
      </c>
      <c r="L207" s="542">
        <f>M207+N207</f>
        <v>0</v>
      </c>
      <c r="M207" s="542">
        <f>M205+M206</f>
        <v>0</v>
      </c>
      <c r="N207" s="542">
        <f>N205+N206</f>
        <v>0</v>
      </c>
    </row>
    <row r="208" spans="1:14" s="454" customFormat="1" ht="15" customHeight="1">
      <c r="A208" s="1005"/>
      <c r="B208" s="1006"/>
      <c r="C208" s="1007"/>
      <c r="D208" s="1008"/>
      <c r="E208" s="565" t="s">
        <v>524</v>
      </c>
      <c r="F208" s="1056" t="s">
        <v>612</v>
      </c>
      <c r="G208" s="546" t="s">
        <v>13</v>
      </c>
      <c r="H208" s="512">
        <f t="shared" si="61"/>
        <v>10427914</v>
      </c>
      <c r="I208" s="513">
        <f t="shared" si="62"/>
        <v>10269205</v>
      </c>
      <c r="J208" s="513">
        <f>10201205+68000</f>
        <v>10269205</v>
      </c>
      <c r="K208" s="513">
        <v>0</v>
      </c>
      <c r="L208" s="513">
        <f t="shared" si="63"/>
        <v>158709</v>
      </c>
      <c r="M208" s="513">
        <v>158709</v>
      </c>
      <c r="N208" s="513">
        <v>0</v>
      </c>
    </row>
    <row r="209" spans="1:14" s="454" customFormat="1" ht="15" customHeight="1">
      <c r="A209" s="1005"/>
      <c r="B209" s="1028"/>
      <c r="C209" s="1007"/>
      <c r="D209" s="1028"/>
      <c r="E209" s="567"/>
      <c r="F209" s="1057"/>
      <c r="G209" s="546" t="s">
        <v>14</v>
      </c>
      <c r="H209" s="512">
        <f t="shared" si="61"/>
        <v>-3889831</v>
      </c>
      <c r="I209" s="513">
        <f t="shared" si="62"/>
        <v>-3837642</v>
      </c>
      <c r="J209" s="513">
        <f>401250-4238892</f>
        <v>-3837642</v>
      </c>
      <c r="K209" s="513">
        <v>0</v>
      </c>
      <c r="L209" s="513">
        <f t="shared" si="63"/>
        <v>-52189</v>
      </c>
      <c r="M209" s="513">
        <v>-52189</v>
      </c>
      <c r="N209" s="513">
        <v>0</v>
      </c>
    </row>
    <row r="210" spans="1:14" s="454" customFormat="1" ht="15" customHeight="1">
      <c r="A210" s="1014"/>
      <c r="B210" s="1015"/>
      <c r="C210" s="1016"/>
      <c r="D210" s="1017"/>
      <c r="E210" s="569"/>
      <c r="F210" s="1058"/>
      <c r="G210" s="571" t="s">
        <v>15</v>
      </c>
      <c r="H210" s="512">
        <f>I210+L210</f>
        <v>6538083</v>
      </c>
      <c r="I210" s="513">
        <f>J210+K210</f>
        <v>6431563</v>
      </c>
      <c r="J210" s="513">
        <f>J208+J209</f>
        <v>6431563</v>
      </c>
      <c r="K210" s="513">
        <f>K208+K209</f>
        <v>0</v>
      </c>
      <c r="L210" s="513">
        <f>M210+N210</f>
        <v>106520</v>
      </c>
      <c r="M210" s="513">
        <f>M208+M209</f>
        <v>106520</v>
      </c>
      <c r="N210" s="513">
        <f>N208+N209</f>
        <v>0</v>
      </c>
    </row>
    <row r="211" spans="1:14" s="545" customFormat="1" ht="15" customHeight="1" hidden="1">
      <c r="A211" s="991" t="s">
        <v>28</v>
      </c>
      <c r="B211" s="1013"/>
      <c r="C211" s="993" t="s">
        <v>129</v>
      </c>
      <c r="D211" s="994"/>
      <c r="E211" s="570" t="s">
        <v>595</v>
      </c>
      <c r="F211" s="1056" t="s">
        <v>597</v>
      </c>
      <c r="G211" s="546" t="s">
        <v>13</v>
      </c>
      <c r="H211" s="512">
        <f t="shared" si="61"/>
        <v>82500</v>
      </c>
      <c r="I211" s="513">
        <f t="shared" si="62"/>
        <v>82500</v>
      </c>
      <c r="J211" s="513">
        <v>0</v>
      </c>
      <c r="K211" s="513">
        <v>82500</v>
      </c>
      <c r="L211" s="513">
        <f t="shared" si="63"/>
        <v>0</v>
      </c>
      <c r="M211" s="513">
        <v>0</v>
      </c>
      <c r="N211" s="513">
        <v>0</v>
      </c>
    </row>
    <row r="212" spans="1:14" s="545" customFormat="1" ht="15" customHeight="1" hidden="1">
      <c r="A212" s="1001"/>
      <c r="B212" s="1028"/>
      <c r="C212" s="1003"/>
      <c r="D212" s="1028"/>
      <c r="E212" s="568"/>
      <c r="F212" s="1057"/>
      <c r="G212" s="546" t="s">
        <v>14</v>
      </c>
      <c r="H212" s="512">
        <f t="shared" si="61"/>
        <v>0</v>
      </c>
      <c r="I212" s="513">
        <f t="shared" si="62"/>
        <v>0</v>
      </c>
      <c r="J212" s="513">
        <v>0</v>
      </c>
      <c r="K212" s="513">
        <v>0</v>
      </c>
      <c r="L212" s="513">
        <f t="shared" si="63"/>
        <v>0</v>
      </c>
      <c r="M212" s="513">
        <v>0</v>
      </c>
      <c r="N212" s="513">
        <v>0</v>
      </c>
    </row>
    <row r="213" spans="1:14" s="454" customFormat="1" ht="15" customHeight="1" hidden="1">
      <c r="A213" s="1005"/>
      <c r="B213" s="1006"/>
      <c r="C213" s="1007"/>
      <c r="D213" s="1008"/>
      <c r="E213" s="568"/>
      <c r="F213" s="1058"/>
      <c r="G213" s="544" t="s">
        <v>15</v>
      </c>
      <c r="H213" s="541">
        <f>I213+L213</f>
        <v>82500</v>
      </c>
      <c r="I213" s="542">
        <f>J213+K213</f>
        <v>82500</v>
      </c>
      <c r="J213" s="542">
        <f>J211+J212</f>
        <v>0</v>
      </c>
      <c r="K213" s="542">
        <f>K211+K212</f>
        <v>82500</v>
      </c>
      <c r="L213" s="542">
        <f>M213+N213</f>
        <v>0</v>
      </c>
      <c r="M213" s="542">
        <f>M211+M212</f>
        <v>0</v>
      </c>
      <c r="N213" s="542">
        <f>N211+N212</f>
        <v>0</v>
      </c>
    </row>
    <row r="214" spans="1:14" s="454" customFormat="1" ht="15" customHeight="1" hidden="1">
      <c r="A214" s="1005"/>
      <c r="B214" s="1006"/>
      <c r="C214" s="1007"/>
      <c r="D214" s="1008"/>
      <c r="E214" s="567"/>
      <c r="F214" s="1056" t="s">
        <v>601</v>
      </c>
      <c r="G214" s="546" t="s">
        <v>13</v>
      </c>
      <c r="H214" s="512">
        <f aca="true" t="shared" si="64" ref="H214:H280">I214+L214</f>
        <v>14000</v>
      </c>
      <c r="I214" s="513">
        <f aca="true" t="shared" si="65" ref="I214:I280">J214+K214</f>
        <v>14000</v>
      </c>
      <c r="J214" s="513">
        <v>0</v>
      </c>
      <c r="K214" s="513">
        <v>14000</v>
      </c>
      <c r="L214" s="513">
        <f aca="true" t="shared" si="66" ref="L214:L280">M214+N214</f>
        <v>0</v>
      </c>
      <c r="M214" s="513">
        <v>0</v>
      </c>
      <c r="N214" s="513">
        <v>0</v>
      </c>
    </row>
    <row r="215" spans="1:14" s="454" customFormat="1" ht="15" customHeight="1" hidden="1">
      <c r="A215" s="1005"/>
      <c r="B215" s="1028"/>
      <c r="C215" s="1007"/>
      <c r="D215" s="1028"/>
      <c r="E215" s="567"/>
      <c r="F215" s="1057"/>
      <c r="G215" s="546" t="s">
        <v>14</v>
      </c>
      <c r="H215" s="512">
        <f t="shared" si="64"/>
        <v>0</v>
      </c>
      <c r="I215" s="513">
        <f t="shared" si="65"/>
        <v>0</v>
      </c>
      <c r="J215" s="513">
        <v>0</v>
      </c>
      <c r="K215" s="513">
        <v>0</v>
      </c>
      <c r="L215" s="513">
        <f t="shared" si="66"/>
        <v>0</v>
      </c>
      <c r="M215" s="513">
        <v>0</v>
      </c>
      <c r="N215" s="513">
        <v>0</v>
      </c>
    </row>
    <row r="216" spans="1:14" s="454" customFormat="1" ht="15" customHeight="1" hidden="1">
      <c r="A216" s="1005"/>
      <c r="B216" s="1006"/>
      <c r="C216" s="1007"/>
      <c r="D216" s="1008"/>
      <c r="E216" s="568"/>
      <c r="F216" s="1058"/>
      <c r="G216" s="571" t="s">
        <v>15</v>
      </c>
      <c r="H216" s="512">
        <f t="shared" si="64"/>
        <v>14000</v>
      </c>
      <c r="I216" s="513">
        <f t="shared" si="65"/>
        <v>14000</v>
      </c>
      <c r="J216" s="513">
        <f>J214+J215</f>
        <v>0</v>
      </c>
      <c r="K216" s="513">
        <f>K214+K215</f>
        <v>14000</v>
      </c>
      <c r="L216" s="513">
        <f t="shared" si="66"/>
        <v>0</v>
      </c>
      <c r="M216" s="513">
        <f>M214+M215</f>
        <v>0</v>
      </c>
      <c r="N216" s="513">
        <f>N214+N215</f>
        <v>0</v>
      </c>
    </row>
    <row r="217" spans="1:14" s="545" customFormat="1" ht="15" customHeight="1" hidden="1">
      <c r="A217" s="1001"/>
      <c r="B217" s="1002"/>
      <c r="C217" s="1003"/>
      <c r="D217" s="1004"/>
      <c r="E217" s="568"/>
      <c r="F217" s="1057" t="s">
        <v>604</v>
      </c>
      <c r="G217" s="572" t="s">
        <v>13</v>
      </c>
      <c r="H217" s="573">
        <f t="shared" si="64"/>
        <v>4728306</v>
      </c>
      <c r="I217" s="574">
        <f t="shared" si="65"/>
        <v>0</v>
      </c>
      <c r="J217" s="574">
        <v>0</v>
      </c>
      <c r="K217" s="574">
        <v>0</v>
      </c>
      <c r="L217" s="574">
        <f t="shared" si="66"/>
        <v>4728306</v>
      </c>
      <c r="M217" s="574">
        <v>0</v>
      </c>
      <c r="N217" s="574">
        <v>4728306</v>
      </c>
    </row>
    <row r="218" spans="1:14" s="545" customFormat="1" ht="15" customHeight="1" hidden="1">
      <c r="A218" s="1001"/>
      <c r="B218" s="1028"/>
      <c r="C218" s="1003"/>
      <c r="D218" s="1028"/>
      <c r="E218" s="568"/>
      <c r="F218" s="1057"/>
      <c r="G218" s="546" t="s">
        <v>14</v>
      </c>
      <c r="H218" s="512">
        <f t="shared" si="64"/>
        <v>0</v>
      </c>
      <c r="I218" s="513">
        <f t="shared" si="65"/>
        <v>0</v>
      </c>
      <c r="J218" s="513">
        <v>0</v>
      </c>
      <c r="K218" s="513">
        <v>0</v>
      </c>
      <c r="L218" s="513">
        <f t="shared" si="66"/>
        <v>0</v>
      </c>
      <c r="M218" s="513">
        <v>0</v>
      </c>
      <c r="N218" s="513">
        <v>0</v>
      </c>
    </row>
    <row r="219" spans="1:14" s="454" customFormat="1" ht="15" customHeight="1" hidden="1">
      <c r="A219" s="1005"/>
      <c r="B219" s="1006"/>
      <c r="C219" s="1007"/>
      <c r="D219" s="1008"/>
      <c r="E219" s="568"/>
      <c r="F219" s="1058"/>
      <c r="G219" s="544" t="s">
        <v>15</v>
      </c>
      <c r="H219" s="541">
        <f t="shared" si="64"/>
        <v>4728306</v>
      </c>
      <c r="I219" s="542">
        <f t="shared" si="65"/>
        <v>0</v>
      </c>
      <c r="J219" s="542">
        <f>J217+J218</f>
        <v>0</v>
      </c>
      <c r="K219" s="542">
        <f>K217+K218</f>
        <v>0</v>
      </c>
      <c r="L219" s="542">
        <f t="shared" si="66"/>
        <v>4728306</v>
      </c>
      <c r="M219" s="542">
        <f>M217+M218</f>
        <v>0</v>
      </c>
      <c r="N219" s="542">
        <f>N217+N218</f>
        <v>4728306</v>
      </c>
    </row>
    <row r="220" spans="1:14" s="545" customFormat="1" ht="15" customHeight="1" hidden="1">
      <c r="A220" s="991" t="s">
        <v>31</v>
      </c>
      <c r="B220" s="1013"/>
      <c r="C220" s="993" t="s">
        <v>161</v>
      </c>
      <c r="D220" s="994"/>
      <c r="E220" s="570" t="s">
        <v>752</v>
      </c>
      <c r="F220" s="1056" t="s">
        <v>754</v>
      </c>
      <c r="G220" s="546" t="s">
        <v>13</v>
      </c>
      <c r="H220" s="541">
        <f t="shared" si="64"/>
        <v>923612</v>
      </c>
      <c r="I220" s="542">
        <f t="shared" si="65"/>
        <v>923612</v>
      </c>
      <c r="J220" s="542">
        <v>923612</v>
      </c>
      <c r="K220" s="542">
        <v>0</v>
      </c>
      <c r="L220" s="542">
        <f t="shared" si="66"/>
        <v>0</v>
      </c>
      <c r="M220" s="542">
        <v>0</v>
      </c>
      <c r="N220" s="542">
        <v>0</v>
      </c>
    </row>
    <row r="221" spans="1:14" s="545" customFormat="1" ht="15" customHeight="1" hidden="1">
      <c r="A221" s="1001"/>
      <c r="B221" s="1028"/>
      <c r="C221" s="1003"/>
      <c r="D221" s="1028"/>
      <c r="E221" s="568"/>
      <c r="F221" s="1057"/>
      <c r="G221" s="546" t="s">
        <v>14</v>
      </c>
      <c r="H221" s="541">
        <f t="shared" si="64"/>
        <v>0</v>
      </c>
      <c r="I221" s="542">
        <f t="shared" si="65"/>
        <v>0</v>
      </c>
      <c r="J221" s="542">
        <v>0</v>
      </c>
      <c r="K221" s="542">
        <v>0</v>
      </c>
      <c r="L221" s="542">
        <f t="shared" si="66"/>
        <v>0</v>
      </c>
      <c r="M221" s="542">
        <v>0</v>
      </c>
      <c r="N221" s="542">
        <v>0</v>
      </c>
    </row>
    <row r="222" spans="1:14" s="454" customFormat="1" ht="15" customHeight="1" hidden="1">
      <c r="A222" s="1005"/>
      <c r="B222" s="1006"/>
      <c r="C222" s="1007"/>
      <c r="D222" s="1008"/>
      <c r="E222" s="568"/>
      <c r="F222" s="1057"/>
      <c r="G222" s="544" t="s">
        <v>15</v>
      </c>
      <c r="H222" s="541">
        <f t="shared" si="64"/>
        <v>923612</v>
      </c>
      <c r="I222" s="542">
        <f t="shared" si="65"/>
        <v>923612</v>
      </c>
      <c r="J222" s="542">
        <f>J220+J221</f>
        <v>923612</v>
      </c>
      <c r="K222" s="542">
        <f>K220+K221</f>
        <v>0</v>
      </c>
      <c r="L222" s="542">
        <f t="shared" si="66"/>
        <v>0</v>
      </c>
      <c r="M222" s="542">
        <f>M220+M221</f>
        <v>0</v>
      </c>
      <c r="N222" s="542">
        <f>N220+N221</f>
        <v>0</v>
      </c>
    </row>
    <row r="223" spans="1:14" s="454" customFormat="1" ht="14.25" customHeight="1">
      <c r="A223" s="1009" t="s">
        <v>31</v>
      </c>
      <c r="B223" s="1010"/>
      <c r="C223" s="1011" t="s">
        <v>161</v>
      </c>
      <c r="D223" s="1012"/>
      <c r="E223" s="565" t="s">
        <v>798</v>
      </c>
      <c r="F223" s="1056" t="s">
        <v>799</v>
      </c>
      <c r="G223" s="546" t="s">
        <v>13</v>
      </c>
      <c r="H223" s="541">
        <f t="shared" si="64"/>
        <v>540500</v>
      </c>
      <c r="I223" s="542">
        <f t="shared" si="65"/>
        <v>504500</v>
      </c>
      <c r="J223" s="542">
        <v>15000</v>
      </c>
      <c r="K223" s="542">
        <v>489500</v>
      </c>
      <c r="L223" s="542">
        <f t="shared" si="66"/>
        <v>36000</v>
      </c>
      <c r="M223" s="542">
        <v>0</v>
      </c>
      <c r="N223" s="542">
        <v>36000</v>
      </c>
    </row>
    <row r="224" spans="1:14" s="454" customFormat="1" ht="14.25" customHeight="1">
      <c r="A224" s="1005"/>
      <c r="B224" s="1028"/>
      <c r="C224" s="1007"/>
      <c r="D224" s="1028"/>
      <c r="E224" s="567"/>
      <c r="F224" s="1057"/>
      <c r="G224" s="546" t="s">
        <v>14</v>
      </c>
      <c r="H224" s="541">
        <f t="shared" si="64"/>
        <v>-300000</v>
      </c>
      <c r="I224" s="542">
        <f t="shared" si="65"/>
        <v>-300000</v>
      </c>
      <c r="J224" s="542">
        <v>0</v>
      </c>
      <c r="K224" s="542">
        <f>-100000-200000</f>
        <v>-300000</v>
      </c>
      <c r="L224" s="542">
        <f t="shared" si="66"/>
        <v>0</v>
      </c>
      <c r="M224" s="542">
        <v>0</v>
      </c>
      <c r="N224" s="542">
        <v>0</v>
      </c>
    </row>
    <row r="225" spans="1:14" s="454" customFormat="1" ht="14.25" customHeight="1">
      <c r="A225" s="1005"/>
      <c r="B225" s="1006"/>
      <c r="C225" s="1007"/>
      <c r="D225" s="1008"/>
      <c r="E225" s="568"/>
      <c r="F225" s="1058"/>
      <c r="G225" s="544" t="s">
        <v>15</v>
      </c>
      <c r="H225" s="541">
        <f t="shared" si="64"/>
        <v>240500</v>
      </c>
      <c r="I225" s="542">
        <f t="shared" si="65"/>
        <v>204500</v>
      </c>
      <c r="J225" s="542">
        <f>J223+J224</f>
        <v>15000</v>
      </c>
      <c r="K225" s="542">
        <f>K223+K224</f>
        <v>189500</v>
      </c>
      <c r="L225" s="542">
        <f t="shared" si="66"/>
        <v>36000</v>
      </c>
      <c r="M225" s="542">
        <f>M223+M224</f>
        <v>0</v>
      </c>
      <c r="N225" s="542">
        <f>N223+N224</f>
        <v>36000</v>
      </c>
    </row>
    <row r="226" spans="1:14" s="454" customFormat="1" ht="15" customHeight="1" hidden="1">
      <c r="A226" s="1005"/>
      <c r="B226" s="1006"/>
      <c r="C226" s="1007"/>
      <c r="D226" s="1008"/>
      <c r="E226" s="565" t="s">
        <v>801</v>
      </c>
      <c r="F226" s="1056" t="s">
        <v>802</v>
      </c>
      <c r="G226" s="546" t="s">
        <v>13</v>
      </c>
      <c r="H226" s="541">
        <f t="shared" si="64"/>
        <v>220000</v>
      </c>
      <c r="I226" s="542">
        <f t="shared" si="65"/>
        <v>220000</v>
      </c>
      <c r="J226" s="542">
        <f>5000+15000</f>
        <v>20000</v>
      </c>
      <c r="K226" s="542">
        <f>70000+130000</f>
        <v>200000</v>
      </c>
      <c r="L226" s="542">
        <f t="shared" si="66"/>
        <v>0</v>
      </c>
      <c r="M226" s="542">
        <v>0</v>
      </c>
      <c r="N226" s="542">
        <v>0</v>
      </c>
    </row>
    <row r="227" spans="1:14" s="454" customFormat="1" ht="15" customHeight="1" hidden="1">
      <c r="A227" s="1005"/>
      <c r="B227" s="1028"/>
      <c r="C227" s="1007"/>
      <c r="D227" s="1028"/>
      <c r="E227" s="567"/>
      <c r="F227" s="1057"/>
      <c r="G227" s="546" t="s">
        <v>14</v>
      </c>
      <c r="H227" s="541">
        <f t="shared" si="64"/>
        <v>0</v>
      </c>
      <c r="I227" s="542">
        <f t="shared" si="65"/>
        <v>0</v>
      </c>
      <c r="J227" s="542">
        <v>0</v>
      </c>
      <c r="K227" s="542">
        <v>0</v>
      </c>
      <c r="L227" s="542">
        <f t="shared" si="66"/>
        <v>0</v>
      </c>
      <c r="M227" s="542">
        <v>0</v>
      </c>
      <c r="N227" s="542">
        <v>0</v>
      </c>
    </row>
    <row r="228" spans="1:14" s="454" customFormat="1" ht="15" customHeight="1" hidden="1">
      <c r="A228" s="1005"/>
      <c r="B228" s="1006"/>
      <c r="C228" s="1007"/>
      <c r="D228" s="1008"/>
      <c r="E228" s="568"/>
      <c r="F228" s="1058"/>
      <c r="G228" s="544" t="s">
        <v>15</v>
      </c>
      <c r="H228" s="541">
        <f t="shared" si="64"/>
        <v>220000</v>
      </c>
      <c r="I228" s="542">
        <f t="shared" si="65"/>
        <v>220000</v>
      </c>
      <c r="J228" s="542">
        <f>J226+J227</f>
        <v>20000</v>
      </c>
      <c r="K228" s="542">
        <f>K226+K227</f>
        <v>200000</v>
      </c>
      <c r="L228" s="542">
        <f t="shared" si="66"/>
        <v>0</v>
      </c>
      <c r="M228" s="542">
        <f>M226+M227</f>
        <v>0</v>
      </c>
      <c r="N228" s="542">
        <f>N226+N227</f>
        <v>0</v>
      </c>
    </row>
    <row r="229" spans="1:14" s="454" customFormat="1" ht="15" customHeight="1" hidden="1">
      <c r="A229" s="1005"/>
      <c r="B229" s="1006"/>
      <c r="C229" s="1007"/>
      <c r="D229" s="1008"/>
      <c r="E229" s="565" t="s">
        <v>723</v>
      </c>
      <c r="F229" s="1056" t="s">
        <v>724</v>
      </c>
      <c r="G229" s="546" t="s">
        <v>13</v>
      </c>
      <c r="H229" s="541">
        <f t="shared" si="64"/>
        <v>378735</v>
      </c>
      <c r="I229" s="542">
        <f t="shared" si="65"/>
        <v>378735</v>
      </c>
      <c r="J229" s="542">
        <v>0</v>
      </c>
      <c r="K229" s="542">
        <v>378735</v>
      </c>
      <c r="L229" s="542">
        <f t="shared" si="66"/>
        <v>0</v>
      </c>
      <c r="M229" s="542">
        <v>0</v>
      </c>
      <c r="N229" s="542">
        <v>0</v>
      </c>
    </row>
    <row r="230" spans="1:14" s="454" customFormat="1" ht="15" customHeight="1" hidden="1">
      <c r="A230" s="1005"/>
      <c r="B230" s="1028"/>
      <c r="C230" s="1007"/>
      <c r="D230" s="1028"/>
      <c r="E230" s="567"/>
      <c r="F230" s="1057"/>
      <c r="G230" s="546" t="s">
        <v>14</v>
      </c>
      <c r="H230" s="541">
        <f t="shared" si="64"/>
        <v>0</v>
      </c>
      <c r="I230" s="542">
        <f t="shared" si="65"/>
        <v>0</v>
      </c>
      <c r="J230" s="542">
        <v>0</v>
      </c>
      <c r="K230" s="542">
        <v>0</v>
      </c>
      <c r="L230" s="542">
        <f t="shared" si="66"/>
        <v>0</v>
      </c>
      <c r="M230" s="542">
        <v>0</v>
      </c>
      <c r="N230" s="542">
        <v>0</v>
      </c>
    </row>
    <row r="231" spans="1:14" s="454" customFormat="1" ht="15" customHeight="1" hidden="1">
      <c r="A231" s="1005"/>
      <c r="B231" s="1006"/>
      <c r="C231" s="1007"/>
      <c r="D231" s="1008"/>
      <c r="E231" s="568"/>
      <c r="F231" s="1058"/>
      <c r="G231" s="544" t="s">
        <v>15</v>
      </c>
      <c r="H231" s="541">
        <f t="shared" si="64"/>
        <v>378735</v>
      </c>
      <c r="I231" s="542">
        <f t="shared" si="65"/>
        <v>378735</v>
      </c>
      <c r="J231" s="542">
        <f>J229+J230</f>
        <v>0</v>
      </c>
      <c r="K231" s="542">
        <f>K229+K230</f>
        <v>378735</v>
      </c>
      <c r="L231" s="542">
        <f t="shared" si="66"/>
        <v>0</v>
      </c>
      <c r="M231" s="542">
        <f>M229+M230</f>
        <v>0</v>
      </c>
      <c r="N231" s="542">
        <f>N229+N230</f>
        <v>0</v>
      </c>
    </row>
    <row r="232" spans="1:14" s="454" customFormat="1" ht="15" customHeight="1" hidden="1">
      <c r="A232" s="1005"/>
      <c r="B232" s="1006"/>
      <c r="C232" s="1007"/>
      <c r="D232" s="1008"/>
      <c r="E232" s="567"/>
      <c r="F232" s="1056" t="s">
        <v>726</v>
      </c>
      <c r="G232" s="546" t="s">
        <v>13</v>
      </c>
      <c r="H232" s="541">
        <f t="shared" si="64"/>
        <v>1151418</v>
      </c>
      <c r="I232" s="542">
        <f t="shared" si="65"/>
        <v>1151418</v>
      </c>
      <c r="J232" s="542">
        <v>0</v>
      </c>
      <c r="K232" s="542">
        <v>1151418</v>
      </c>
      <c r="L232" s="542">
        <f t="shared" si="66"/>
        <v>0</v>
      </c>
      <c r="M232" s="542">
        <v>0</v>
      </c>
      <c r="N232" s="542">
        <v>0</v>
      </c>
    </row>
    <row r="233" spans="1:14" s="454" customFormat="1" ht="15" customHeight="1" hidden="1">
      <c r="A233" s="1005"/>
      <c r="B233" s="1028"/>
      <c r="C233" s="1007"/>
      <c r="D233" s="1028"/>
      <c r="E233" s="567"/>
      <c r="F233" s="1057"/>
      <c r="G233" s="546" t="s">
        <v>14</v>
      </c>
      <c r="H233" s="541">
        <f t="shared" si="64"/>
        <v>0</v>
      </c>
      <c r="I233" s="542">
        <f t="shared" si="65"/>
        <v>0</v>
      </c>
      <c r="J233" s="542">
        <v>0</v>
      </c>
      <c r="K233" s="542">
        <v>0</v>
      </c>
      <c r="L233" s="542">
        <f t="shared" si="66"/>
        <v>0</v>
      </c>
      <c r="M233" s="542">
        <v>0</v>
      </c>
      <c r="N233" s="542">
        <v>0</v>
      </c>
    </row>
    <row r="234" spans="1:14" s="454" customFormat="1" ht="15" customHeight="1" hidden="1">
      <c r="A234" s="1005"/>
      <c r="B234" s="1006"/>
      <c r="C234" s="1007"/>
      <c r="D234" s="1008"/>
      <c r="E234" s="568"/>
      <c r="F234" s="1058"/>
      <c r="G234" s="544" t="s">
        <v>15</v>
      </c>
      <c r="H234" s="541">
        <f t="shared" si="64"/>
        <v>1151418</v>
      </c>
      <c r="I234" s="542">
        <f t="shared" si="65"/>
        <v>1151418</v>
      </c>
      <c r="J234" s="542">
        <f>J232+J233</f>
        <v>0</v>
      </c>
      <c r="K234" s="542">
        <f>K232+K233</f>
        <v>1151418</v>
      </c>
      <c r="L234" s="542">
        <f t="shared" si="66"/>
        <v>0</v>
      </c>
      <c r="M234" s="542">
        <f>M232+M233</f>
        <v>0</v>
      </c>
      <c r="N234" s="542">
        <f>N232+N233</f>
        <v>0</v>
      </c>
    </row>
    <row r="235" spans="1:14" s="454" customFormat="1" ht="15" customHeight="1" hidden="1">
      <c r="A235" s="1005"/>
      <c r="B235" s="1006"/>
      <c r="C235" s="1007"/>
      <c r="D235" s="1008"/>
      <c r="E235" s="567"/>
      <c r="F235" s="1056" t="s">
        <v>803</v>
      </c>
      <c r="G235" s="546" t="s">
        <v>13</v>
      </c>
      <c r="H235" s="541">
        <f t="shared" si="64"/>
        <v>1114750</v>
      </c>
      <c r="I235" s="542">
        <f t="shared" si="65"/>
        <v>1003750</v>
      </c>
      <c r="J235" s="542">
        <f>1500+20250</f>
        <v>21750</v>
      </c>
      <c r="K235" s="542">
        <v>982000</v>
      </c>
      <c r="L235" s="542">
        <f t="shared" si="66"/>
        <v>111000</v>
      </c>
      <c r="M235" s="542">
        <v>1500</v>
      </c>
      <c r="N235" s="542">
        <v>109500</v>
      </c>
    </row>
    <row r="236" spans="1:14" s="454" customFormat="1" ht="15" customHeight="1" hidden="1">
      <c r="A236" s="1005"/>
      <c r="B236" s="1028"/>
      <c r="C236" s="1007"/>
      <c r="D236" s="1028"/>
      <c r="E236" s="567"/>
      <c r="F236" s="1057"/>
      <c r="G236" s="546" t="s">
        <v>14</v>
      </c>
      <c r="H236" s="541">
        <f t="shared" si="64"/>
        <v>0</v>
      </c>
      <c r="I236" s="542">
        <f t="shared" si="65"/>
        <v>0</v>
      </c>
      <c r="J236" s="542">
        <v>0</v>
      </c>
      <c r="K236" s="542">
        <v>0</v>
      </c>
      <c r="L236" s="542">
        <f t="shared" si="66"/>
        <v>0</v>
      </c>
      <c r="M236" s="542">
        <v>0</v>
      </c>
      <c r="N236" s="542">
        <v>0</v>
      </c>
    </row>
    <row r="237" spans="1:14" s="454" customFormat="1" ht="15" customHeight="1" hidden="1">
      <c r="A237" s="1005"/>
      <c r="B237" s="1006"/>
      <c r="C237" s="1007"/>
      <c r="D237" s="1008"/>
      <c r="E237" s="568"/>
      <c r="F237" s="1058"/>
      <c r="G237" s="544" t="s">
        <v>15</v>
      </c>
      <c r="H237" s="541">
        <f t="shared" si="64"/>
        <v>1114750</v>
      </c>
      <c r="I237" s="542">
        <f t="shared" si="65"/>
        <v>1003750</v>
      </c>
      <c r="J237" s="542">
        <f>J235+J236</f>
        <v>21750</v>
      </c>
      <c r="K237" s="542">
        <f>K235+K236</f>
        <v>982000</v>
      </c>
      <c r="L237" s="542">
        <f t="shared" si="66"/>
        <v>111000</v>
      </c>
      <c r="M237" s="542">
        <f>M235+M236</f>
        <v>1500</v>
      </c>
      <c r="N237" s="542">
        <f>N235+N236</f>
        <v>109500</v>
      </c>
    </row>
    <row r="238" spans="1:14" s="454" customFormat="1" ht="14.25" customHeight="1">
      <c r="A238" s="1005"/>
      <c r="B238" s="1006"/>
      <c r="C238" s="1007"/>
      <c r="D238" s="1008"/>
      <c r="E238" s="565" t="s">
        <v>804</v>
      </c>
      <c r="F238" s="1056" t="s">
        <v>805</v>
      </c>
      <c r="G238" s="546" t="s">
        <v>13</v>
      </c>
      <c r="H238" s="541">
        <f t="shared" si="64"/>
        <v>2559750</v>
      </c>
      <c r="I238" s="542">
        <f t="shared" si="65"/>
        <v>2185000</v>
      </c>
      <c r="J238" s="542">
        <v>82000</v>
      </c>
      <c r="K238" s="542">
        <v>2103000</v>
      </c>
      <c r="L238" s="542">
        <f t="shared" si="66"/>
        <v>374750</v>
      </c>
      <c r="M238" s="542">
        <v>13750</v>
      </c>
      <c r="N238" s="542">
        <v>361000</v>
      </c>
    </row>
    <row r="239" spans="1:14" s="454" customFormat="1" ht="14.25" customHeight="1">
      <c r="A239" s="1005"/>
      <c r="B239" s="1028"/>
      <c r="C239" s="1007"/>
      <c r="D239" s="1028"/>
      <c r="E239" s="567"/>
      <c r="F239" s="1057"/>
      <c r="G239" s="546" t="s">
        <v>14</v>
      </c>
      <c r="H239" s="541">
        <f t="shared" si="64"/>
        <v>-1485000</v>
      </c>
      <c r="I239" s="542">
        <f t="shared" si="65"/>
        <v>-1235000</v>
      </c>
      <c r="J239" s="542">
        <v>0</v>
      </c>
      <c r="K239" s="542">
        <f>-1000000-235000</f>
        <v>-1235000</v>
      </c>
      <c r="L239" s="542">
        <f t="shared" si="66"/>
        <v>-250000</v>
      </c>
      <c r="M239" s="542">
        <v>0</v>
      </c>
      <c r="N239" s="542">
        <v>-250000</v>
      </c>
    </row>
    <row r="240" spans="1:14" s="454" customFormat="1" ht="14.25" customHeight="1">
      <c r="A240" s="1005"/>
      <c r="B240" s="1006"/>
      <c r="C240" s="1007"/>
      <c r="D240" s="1008"/>
      <c r="E240" s="568"/>
      <c r="F240" s="1058"/>
      <c r="G240" s="544" t="s">
        <v>15</v>
      </c>
      <c r="H240" s="541">
        <f t="shared" si="64"/>
        <v>1074750</v>
      </c>
      <c r="I240" s="542">
        <f t="shared" si="65"/>
        <v>950000</v>
      </c>
      <c r="J240" s="542">
        <f>J238+J239</f>
        <v>82000</v>
      </c>
      <c r="K240" s="542">
        <f>K238+K239</f>
        <v>868000</v>
      </c>
      <c r="L240" s="542">
        <f t="shared" si="66"/>
        <v>124750</v>
      </c>
      <c r="M240" s="542">
        <f>M238+M239</f>
        <v>13750</v>
      </c>
      <c r="N240" s="542">
        <f>N238+N239</f>
        <v>111000</v>
      </c>
    </row>
    <row r="241" spans="1:14" s="454" customFormat="1" ht="14.25" customHeight="1">
      <c r="A241" s="1009" t="s">
        <v>34</v>
      </c>
      <c r="B241" s="1010"/>
      <c r="C241" s="1011" t="s">
        <v>251</v>
      </c>
      <c r="D241" s="1012"/>
      <c r="E241" s="565" t="s">
        <v>756</v>
      </c>
      <c r="F241" s="1056" t="s">
        <v>758</v>
      </c>
      <c r="G241" s="546" t="s">
        <v>13</v>
      </c>
      <c r="H241" s="541">
        <f t="shared" si="64"/>
        <v>9541683</v>
      </c>
      <c r="I241" s="542">
        <f t="shared" si="65"/>
        <v>6725070</v>
      </c>
      <c r="J241" s="542">
        <v>6695145</v>
      </c>
      <c r="K241" s="542">
        <v>29925</v>
      </c>
      <c r="L241" s="542">
        <f t="shared" si="66"/>
        <v>2816613</v>
      </c>
      <c r="M241" s="542">
        <v>2816613</v>
      </c>
      <c r="N241" s="542">
        <v>0</v>
      </c>
    </row>
    <row r="242" spans="1:14" s="454" customFormat="1" ht="14.25" customHeight="1">
      <c r="A242" s="1005"/>
      <c r="B242" s="1028"/>
      <c r="C242" s="1007"/>
      <c r="D242" s="1028"/>
      <c r="E242" s="567"/>
      <c r="F242" s="1057"/>
      <c r="G242" s="546" t="s">
        <v>14</v>
      </c>
      <c r="H242" s="541">
        <f t="shared" si="64"/>
        <v>100000</v>
      </c>
      <c r="I242" s="542">
        <f t="shared" si="65"/>
        <v>100000</v>
      </c>
      <c r="J242" s="542">
        <v>100000</v>
      </c>
      <c r="K242" s="542">
        <v>0</v>
      </c>
      <c r="L242" s="542">
        <f t="shared" si="66"/>
        <v>0</v>
      </c>
      <c r="M242" s="542">
        <v>0</v>
      </c>
      <c r="N242" s="542">
        <v>0</v>
      </c>
    </row>
    <row r="243" spans="1:14" s="454" customFormat="1" ht="14.25" customHeight="1">
      <c r="A243" s="1005"/>
      <c r="B243" s="1006"/>
      <c r="C243" s="1007"/>
      <c r="D243" s="1008"/>
      <c r="E243" s="569"/>
      <c r="F243" s="1058"/>
      <c r="G243" s="544" t="s">
        <v>15</v>
      </c>
      <c r="H243" s="541">
        <f>I243+L243</f>
        <v>9641683</v>
      </c>
      <c r="I243" s="542">
        <f>J243+K243</f>
        <v>6825070</v>
      </c>
      <c r="J243" s="542">
        <f>J241+J242</f>
        <v>6795145</v>
      </c>
      <c r="K243" s="542">
        <f>K241+K242</f>
        <v>29925</v>
      </c>
      <c r="L243" s="542">
        <f>M243+N243</f>
        <v>2816613</v>
      </c>
      <c r="M243" s="542">
        <f>M241+M242</f>
        <v>2816613</v>
      </c>
      <c r="N243" s="542">
        <f>N241+N242</f>
        <v>0</v>
      </c>
    </row>
    <row r="244" spans="1:14" s="454" customFormat="1" ht="14.25" customHeight="1">
      <c r="A244" s="1005"/>
      <c r="B244" s="1006"/>
      <c r="C244" s="1011" t="s">
        <v>918</v>
      </c>
      <c r="D244" s="1012"/>
      <c r="E244" s="567" t="s">
        <v>785</v>
      </c>
      <c r="F244" s="1056" t="s">
        <v>919</v>
      </c>
      <c r="G244" s="546" t="s">
        <v>13</v>
      </c>
      <c r="H244" s="541">
        <f t="shared" si="64"/>
        <v>1535000</v>
      </c>
      <c r="I244" s="542">
        <f t="shared" si="65"/>
        <v>740000</v>
      </c>
      <c r="J244" s="542">
        <v>15000</v>
      </c>
      <c r="K244" s="542">
        <v>725000</v>
      </c>
      <c r="L244" s="542">
        <f t="shared" si="66"/>
        <v>795000</v>
      </c>
      <c r="M244" s="542">
        <v>10000</v>
      </c>
      <c r="N244" s="542">
        <v>785000</v>
      </c>
    </row>
    <row r="245" spans="1:14" s="454" customFormat="1" ht="14.25" customHeight="1">
      <c r="A245" s="1005"/>
      <c r="B245" s="1028"/>
      <c r="C245" s="1007"/>
      <c r="D245" s="1028"/>
      <c r="E245" s="567"/>
      <c r="F245" s="1057"/>
      <c r="G245" s="546" t="s">
        <v>14</v>
      </c>
      <c r="H245" s="541">
        <f t="shared" si="64"/>
        <v>-700000</v>
      </c>
      <c r="I245" s="542">
        <f t="shared" si="65"/>
        <v>-300000</v>
      </c>
      <c r="J245" s="542">
        <v>0</v>
      </c>
      <c r="K245" s="542">
        <v>-300000</v>
      </c>
      <c r="L245" s="542">
        <f t="shared" si="66"/>
        <v>-400000</v>
      </c>
      <c r="M245" s="542">
        <v>0</v>
      </c>
      <c r="N245" s="542">
        <v>-400000</v>
      </c>
    </row>
    <row r="246" spans="1:14" s="454" customFormat="1" ht="14.25" customHeight="1">
      <c r="A246" s="1005"/>
      <c r="B246" s="1006"/>
      <c r="C246" s="1007"/>
      <c r="D246" s="1008"/>
      <c r="E246" s="569"/>
      <c r="F246" s="1058"/>
      <c r="G246" s="544" t="s">
        <v>15</v>
      </c>
      <c r="H246" s="541">
        <f t="shared" si="64"/>
        <v>835000</v>
      </c>
      <c r="I246" s="542">
        <f t="shared" si="65"/>
        <v>440000</v>
      </c>
      <c r="J246" s="542">
        <f>J244+J245</f>
        <v>15000</v>
      </c>
      <c r="K246" s="542">
        <f>K244+K245</f>
        <v>425000</v>
      </c>
      <c r="L246" s="542">
        <f t="shared" si="66"/>
        <v>395000</v>
      </c>
      <c r="M246" s="542">
        <f>M244+M245</f>
        <v>10000</v>
      </c>
      <c r="N246" s="542">
        <f>N244+N245</f>
        <v>385000</v>
      </c>
    </row>
    <row r="247" spans="1:14" s="454" customFormat="1" ht="15" customHeight="1" hidden="1">
      <c r="A247" s="1009" t="s">
        <v>34</v>
      </c>
      <c r="B247" s="1010"/>
      <c r="C247" s="1011" t="s">
        <v>920</v>
      </c>
      <c r="D247" s="1012"/>
      <c r="E247" s="565" t="s">
        <v>691</v>
      </c>
      <c r="F247" s="1056" t="s">
        <v>921</v>
      </c>
      <c r="G247" s="546" t="s">
        <v>13</v>
      </c>
      <c r="H247" s="541">
        <f t="shared" si="64"/>
        <v>434500</v>
      </c>
      <c r="I247" s="542">
        <f t="shared" si="65"/>
        <v>315500</v>
      </c>
      <c r="J247" s="542">
        <v>15000</v>
      </c>
      <c r="K247" s="542">
        <v>300500</v>
      </c>
      <c r="L247" s="542">
        <f t="shared" si="66"/>
        <v>119000</v>
      </c>
      <c r="M247" s="542">
        <v>10000</v>
      </c>
      <c r="N247" s="542">
        <v>109000</v>
      </c>
    </row>
    <row r="248" spans="1:14" s="454" customFormat="1" ht="15" customHeight="1" hidden="1">
      <c r="A248" s="1005"/>
      <c r="B248" s="1028"/>
      <c r="C248" s="1007"/>
      <c r="D248" s="1028"/>
      <c r="E248" s="567"/>
      <c r="F248" s="1057"/>
      <c r="G248" s="546" t="s">
        <v>14</v>
      </c>
      <c r="H248" s="541">
        <f t="shared" si="64"/>
        <v>0</v>
      </c>
      <c r="I248" s="542">
        <f t="shared" si="65"/>
        <v>0</v>
      </c>
      <c r="J248" s="542">
        <f>-2869+2869</f>
        <v>0</v>
      </c>
      <c r="K248" s="542">
        <v>0</v>
      </c>
      <c r="L248" s="542">
        <f t="shared" si="66"/>
        <v>0</v>
      </c>
      <c r="M248" s="542">
        <v>0</v>
      </c>
      <c r="N248" s="542">
        <v>0</v>
      </c>
    </row>
    <row r="249" spans="1:14" s="454" customFormat="1" ht="15" customHeight="1" hidden="1">
      <c r="A249" s="1005"/>
      <c r="B249" s="1006"/>
      <c r="C249" s="1007"/>
      <c r="D249" s="1008"/>
      <c r="E249" s="568"/>
      <c r="F249" s="1058"/>
      <c r="G249" s="544" t="s">
        <v>15</v>
      </c>
      <c r="H249" s="541">
        <f t="shared" si="64"/>
        <v>434500</v>
      </c>
      <c r="I249" s="542">
        <f t="shared" si="65"/>
        <v>315500</v>
      </c>
      <c r="J249" s="542">
        <f>J247+J248</f>
        <v>15000</v>
      </c>
      <c r="K249" s="542">
        <f>K247+K248</f>
        <v>300500</v>
      </c>
      <c r="L249" s="542">
        <f t="shared" si="66"/>
        <v>119000</v>
      </c>
      <c r="M249" s="542">
        <f>M247+M248</f>
        <v>10000</v>
      </c>
      <c r="N249" s="542">
        <f>N247+N248</f>
        <v>109000</v>
      </c>
    </row>
    <row r="250" spans="1:14" s="454" customFormat="1" ht="15" customHeight="1" hidden="1">
      <c r="A250" s="1005"/>
      <c r="B250" s="1006"/>
      <c r="C250" s="1007"/>
      <c r="D250" s="1008"/>
      <c r="E250" s="565" t="s">
        <v>704</v>
      </c>
      <c r="F250" s="1056" t="s">
        <v>793</v>
      </c>
      <c r="G250" s="546" t="s">
        <v>13</v>
      </c>
      <c r="H250" s="541">
        <f t="shared" si="64"/>
        <v>957000</v>
      </c>
      <c r="I250" s="542">
        <f t="shared" si="65"/>
        <v>75000</v>
      </c>
      <c r="J250" s="542">
        <v>0</v>
      </c>
      <c r="K250" s="542">
        <v>75000</v>
      </c>
      <c r="L250" s="542">
        <f t="shared" si="66"/>
        <v>882000</v>
      </c>
      <c r="M250" s="542">
        <v>22000</v>
      </c>
      <c r="N250" s="542">
        <v>860000</v>
      </c>
    </row>
    <row r="251" spans="1:14" s="454" customFormat="1" ht="15" customHeight="1" hidden="1">
      <c r="A251" s="1005"/>
      <c r="B251" s="1028"/>
      <c r="C251" s="1007"/>
      <c r="D251" s="1028"/>
      <c r="E251" s="567"/>
      <c r="F251" s="1057"/>
      <c r="G251" s="546" t="s">
        <v>14</v>
      </c>
      <c r="H251" s="541">
        <f t="shared" si="64"/>
        <v>0</v>
      </c>
      <c r="I251" s="542">
        <f t="shared" si="65"/>
        <v>0</v>
      </c>
      <c r="J251" s="542">
        <v>0</v>
      </c>
      <c r="K251" s="542">
        <v>0</v>
      </c>
      <c r="L251" s="542">
        <f t="shared" si="66"/>
        <v>0</v>
      </c>
      <c r="M251" s="542">
        <v>0</v>
      </c>
      <c r="N251" s="542">
        <v>0</v>
      </c>
    </row>
    <row r="252" spans="1:14" s="454" customFormat="1" ht="15" customHeight="1" hidden="1">
      <c r="A252" s="1005"/>
      <c r="B252" s="1006"/>
      <c r="C252" s="1007"/>
      <c r="D252" s="1008"/>
      <c r="E252" s="568"/>
      <c r="F252" s="1058"/>
      <c r="G252" s="544" t="s">
        <v>15</v>
      </c>
      <c r="H252" s="541">
        <f t="shared" si="64"/>
        <v>957000</v>
      </c>
      <c r="I252" s="542">
        <f t="shared" si="65"/>
        <v>75000</v>
      </c>
      <c r="J252" s="542">
        <f>J250+J251</f>
        <v>0</v>
      </c>
      <c r="K252" s="542">
        <f>K250+K251</f>
        <v>75000</v>
      </c>
      <c r="L252" s="542">
        <f t="shared" si="66"/>
        <v>882000</v>
      </c>
      <c r="M252" s="542">
        <f>M250+M251</f>
        <v>22000</v>
      </c>
      <c r="N252" s="542">
        <f>N250+N251</f>
        <v>860000</v>
      </c>
    </row>
    <row r="253" spans="1:14" s="454" customFormat="1" ht="15" customHeight="1" hidden="1">
      <c r="A253" s="1009" t="s">
        <v>220</v>
      </c>
      <c r="B253" s="1010"/>
      <c r="C253" s="1011" t="s">
        <v>922</v>
      </c>
      <c r="D253" s="1012"/>
      <c r="E253" s="565" t="s">
        <v>795</v>
      </c>
      <c r="F253" s="1056" t="s">
        <v>796</v>
      </c>
      <c r="G253" s="546" t="s">
        <v>13</v>
      </c>
      <c r="H253" s="541">
        <f t="shared" si="64"/>
        <v>1500000</v>
      </c>
      <c r="I253" s="542">
        <f t="shared" si="65"/>
        <v>0</v>
      </c>
      <c r="J253" s="542">
        <v>0</v>
      </c>
      <c r="K253" s="542">
        <v>0</v>
      </c>
      <c r="L253" s="542">
        <f t="shared" si="66"/>
        <v>1500000</v>
      </c>
      <c r="M253" s="542">
        <v>0</v>
      </c>
      <c r="N253" s="542">
        <v>1500000</v>
      </c>
    </row>
    <row r="254" spans="1:14" s="454" customFormat="1" ht="15" customHeight="1" hidden="1">
      <c r="A254" s="1005"/>
      <c r="B254" s="1028"/>
      <c r="C254" s="1007"/>
      <c r="D254" s="1028"/>
      <c r="E254" s="567"/>
      <c r="F254" s="1057"/>
      <c r="G254" s="546" t="s">
        <v>14</v>
      </c>
      <c r="H254" s="541">
        <f t="shared" si="64"/>
        <v>0</v>
      </c>
      <c r="I254" s="542">
        <f t="shared" si="65"/>
        <v>0</v>
      </c>
      <c r="J254" s="542">
        <v>0</v>
      </c>
      <c r="K254" s="542">
        <v>0</v>
      </c>
      <c r="L254" s="542">
        <f t="shared" si="66"/>
        <v>0</v>
      </c>
      <c r="M254" s="542">
        <v>0</v>
      </c>
      <c r="N254" s="542">
        <v>0</v>
      </c>
    </row>
    <row r="255" spans="1:14" s="454" customFormat="1" ht="15" customHeight="1" hidden="1">
      <c r="A255" s="1005"/>
      <c r="B255" s="1006"/>
      <c r="C255" s="1007"/>
      <c r="D255" s="1008"/>
      <c r="E255" s="568"/>
      <c r="F255" s="1058"/>
      <c r="G255" s="544" t="s">
        <v>15</v>
      </c>
      <c r="H255" s="541">
        <f t="shared" si="64"/>
        <v>1500000</v>
      </c>
      <c r="I255" s="542">
        <f t="shared" si="65"/>
        <v>0</v>
      </c>
      <c r="J255" s="542">
        <f>J253+J254</f>
        <v>0</v>
      </c>
      <c r="K255" s="542">
        <f>K253+K254</f>
        <v>0</v>
      </c>
      <c r="L255" s="542">
        <f t="shared" si="66"/>
        <v>1500000</v>
      </c>
      <c r="M255" s="542">
        <f>M253+M254</f>
        <v>0</v>
      </c>
      <c r="N255" s="542">
        <f>N253+N254</f>
        <v>1500000</v>
      </c>
    </row>
    <row r="256" spans="1:14" s="454" customFormat="1" ht="15" customHeight="1" hidden="1">
      <c r="A256" s="1005"/>
      <c r="B256" s="1006"/>
      <c r="C256" s="1011" t="s">
        <v>923</v>
      </c>
      <c r="D256" s="1012"/>
      <c r="E256" s="565" t="s">
        <v>788</v>
      </c>
      <c r="F256" s="1056" t="s">
        <v>789</v>
      </c>
      <c r="G256" s="546" t="s">
        <v>13</v>
      </c>
      <c r="H256" s="541">
        <f t="shared" si="64"/>
        <v>115000</v>
      </c>
      <c r="I256" s="542">
        <f t="shared" si="65"/>
        <v>115000</v>
      </c>
      <c r="J256" s="542">
        <v>0</v>
      </c>
      <c r="K256" s="542">
        <v>115000</v>
      </c>
      <c r="L256" s="542">
        <f t="shared" si="66"/>
        <v>0</v>
      </c>
      <c r="M256" s="542">
        <v>0</v>
      </c>
      <c r="N256" s="542">
        <v>0</v>
      </c>
    </row>
    <row r="257" spans="1:14" s="454" customFormat="1" ht="15" customHeight="1" hidden="1">
      <c r="A257" s="1005"/>
      <c r="B257" s="1028"/>
      <c r="C257" s="1007"/>
      <c r="D257" s="1028"/>
      <c r="E257" s="567"/>
      <c r="F257" s="1057"/>
      <c r="G257" s="546" t="s">
        <v>14</v>
      </c>
      <c r="H257" s="541">
        <f t="shared" si="64"/>
        <v>0</v>
      </c>
      <c r="I257" s="542">
        <f t="shared" si="65"/>
        <v>0</v>
      </c>
      <c r="J257" s="542">
        <v>0</v>
      </c>
      <c r="K257" s="542">
        <v>0</v>
      </c>
      <c r="L257" s="542">
        <f t="shared" si="66"/>
        <v>0</v>
      </c>
      <c r="M257" s="542">
        <v>0</v>
      </c>
      <c r="N257" s="542">
        <v>0</v>
      </c>
    </row>
    <row r="258" spans="1:14" s="454" customFormat="1" ht="15" customHeight="1" hidden="1">
      <c r="A258" s="1005"/>
      <c r="B258" s="1006"/>
      <c r="C258" s="1007"/>
      <c r="D258" s="1008"/>
      <c r="E258" s="568"/>
      <c r="F258" s="1058"/>
      <c r="G258" s="544" t="s">
        <v>15</v>
      </c>
      <c r="H258" s="541">
        <f t="shared" si="64"/>
        <v>115000</v>
      </c>
      <c r="I258" s="542">
        <f t="shared" si="65"/>
        <v>115000</v>
      </c>
      <c r="J258" s="542">
        <f>J256+J257</f>
        <v>0</v>
      </c>
      <c r="K258" s="542">
        <f>K256+K257</f>
        <v>115000</v>
      </c>
      <c r="L258" s="542">
        <f t="shared" si="66"/>
        <v>0</v>
      </c>
      <c r="M258" s="542">
        <f>M256+M257</f>
        <v>0</v>
      </c>
      <c r="N258" s="542">
        <f>N256+N257</f>
        <v>0</v>
      </c>
    </row>
    <row r="259" spans="1:14" s="454" customFormat="1" ht="15" customHeight="1" hidden="1">
      <c r="A259" s="1005"/>
      <c r="B259" s="1006"/>
      <c r="C259" s="1011" t="s">
        <v>924</v>
      </c>
      <c r="D259" s="1012"/>
      <c r="E259" s="565" t="s">
        <v>759</v>
      </c>
      <c r="F259" s="1056" t="s">
        <v>761</v>
      </c>
      <c r="G259" s="546" t="s">
        <v>13</v>
      </c>
      <c r="H259" s="512">
        <f t="shared" si="64"/>
        <v>1480532</v>
      </c>
      <c r="I259" s="513">
        <f t="shared" si="65"/>
        <v>1480532</v>
      </c>
      <c r="J259" s="513">
        <v>1480532</v>
      </c>
      <c r="K259" s="513">
        <v>0</v>
      </c>
      <c r="L259" s="513">
        <f t="shared" si="66"/>
        <v>0</v>
      </c>
      <c r="M259" s="513">
        <v>0</v>
      </c>
      <c r="N259" s="513">
        <v>0</v>
      </c>
    </row>
    <row r="260" spans="1:14" s="454" customFormat="1" ht="15" customHeight="1" hidden="1">
      <c r="A260" s="1005"/>
      <c r="B260" s="1028"/>
      <c r="C260" s="1007"/>
      <c r="D260" s="1028"/>
      <c r="E260" s="567"/>
      <c r="F260" s="1057"/>
      <c r="G260" s="546" t="s">
        <v>14</v>
      </c>
      <c r="H260" s="512">
        <f t="shared" si="64"/>
        <v>0</v>
      </c>
      <c r="I260" s="513">
        <f t="shared" si="65"/>
        <v>0</v>
      </c>
      <c r="J260" s="513">
        <v>0</v>
      </c>
      <c r="K260" s="513">
        <v>0</v>
      </c>
      <c r="L260" s="513">
        <f t="shared" si="66"/>
        <v>0</v>
      </c>
      <c r="M260" s="513">
        <v>0</v>
      </c>
      <c r="N260" s="513">
        <v>0</v>
      </c>
    </row>
    <row r="261" spans="1:14" s="454" customFormat="1" ht="15" customHeight="1" hidden="1">
      <c r="A261" s="1005"/>
      <c r="B261" s="1006"/>
      <c r="C261" s="1007"/>
      <c r="D261" s="1008"/>
      <c r="E261" s="568"/>
      <c r="F261" s="1058"/>
      <c r="G261" s="544" t="s">
        <v>15</v>
      </c>
      <c r="H261" s="541">
        <f t="shared" si="64"/>
        <v>1480532</v>
      </c>
      <c r="I261" s="542">
        <f t="shared" si="65"/>
        <v>1480532</v>
      </c>
      <c r="J261" s="542">
        <f>J259+J260</f>
        <v>1480532</v>
      </c>
      <c r="K261" s="542">
        <f>K259+K260</f>
        <v>0</v>
      </c>
      <c r="L261" s="542">
        <f t="shared" si="66"/>
        <v>0</v>
      </c>
      <c r="M261" s="542">
        <f>M259+M260</f>
        <v>0</v>
      </c>
      <c r="N261" s="542">
        <f>N259+N260</f>
        <v>0</v>
      </c>
    </row>
    <row r="262" spans="1:14" s="454" customFormat="1" ht="15" customHeight="1">
      <c r="A262" s="1009" t="s">
        <v>220</v>
      </c>
      <c r="B262" s="1010"/>
      <c r="C262" s="1011" t="s">
        <v>924</v>
      </c>
      <c r="D262" s="1012"/>
      <c r="E262" s="565" t="s">
        <v>686</v>
      </c>
      <c r="F262" s="1056" t="s">
        <v>688</v>
      </c>
      <c r="G262" s="546" t="s">
        <v>13</v>
      </c>
      <c r="H262" s="512">
        <f t="shared" si="64"/>
        <v>4586821</v>
      </c>
      <c r="I262" s="513">
        <f t="shared" si="65"/>
        <v>4586821</v>
      </c>
      <c r="J262" s="513">
        <v>0</v>
      </c>
      <c r="K262" s="513">
        <v>4586821</v>
      </c>
      <c r="L262" s="513">
        <f t="shared" si="66"/>
        <v>0</v>
      </c>
      <c r="M262" s="513">
        <v>0</v>
      </c>
      <c r="N262" s="513">
        <v>0</v>
      </c>
    </row>
    <row r="263" spans="1:14" s="454" customFormat="1" ht="15" customHeight="1">
      <c r="A263" s="1005"/>
      <c r="B263" s="1028"/>
      <c r="C263" s="1007"/>
      <c r="D263" s="1028"/>
      <c r="E263" s="567"/>
      <c r="F263" s="1057"/>
      <c r="G263" s="546" t="s">
        <v>14</v>
      </c>
      <c r="H263" s="512">
        <f t="shared" si="64"/>
        <v>1610905</v>
      </c>
      <c r="I263" s="513">
        <f t="shared" si="65"/>
        <v>1610905</v>
      </c>
      <c r="J263" s="513">
        <v>0</v>
      </c>
      <c r="K263" s="513">
        <v>1610905</v>
      </c>
      <c r="L263" s="513">
        <f t="shared" si="66"/>
        <v>0</v>
      </c>
      <c r="M263" s="513">
        <v>0</v>
      </c>
      <c r="N263" s="513">
        <v>0</v>
      </c>
    </row>
    <row r="264" spans="1:14" s="454" customFormat="1" ht="15" customHeight="1">
      <c r="A264" s="1005"/>
      <c r="B264" s="1006"/>
      <c r="C264" s="1007"/>
      <c r="D264" s="1008"/>
      <c r="E264" s="568"/>
      <c r="F264" s="1058"/>
      <c r="G264" s="544" t="s">
        <v>15</v>
      </c>
      <c r="H264" s="541">
        <f t="shared" si="64"/>
        <v>6197726</v>
      </c>
      <c r="I264" s="542">
        <f t="shared" si="65"/>
        <v>6197726</v>
      </c>
      <c r="J264" s="542">
        <f>J262+J263</f>
        <v>0</v>
      </c>
      <c r="K264" s="542">
        <f>K262+K263</f>
        <v>6197726</v>
      </c>
      <c r="L264" s="542">
        <f t="shared" si="66"/>
        <v>0</v>
      </c>
      <c r="M264" s="542">
        <f>M262+M263</f>
        <v>0</v>
      </c>
      <c r="N264" s="542">
        <f>N262+N263</f>
        <v>0</v>
      </c>
    </row>
    <row r="265" spans="1:14" s="454" customFormat="1" ht="15" customHeight="1" hidden="1">
      <c r="A265" s="1005"/>
      <c r="B265" s="1006"/>
      <c r="C265" s="1007"/>
      <c r="D265" s="1008"/>
      <c r="E265" s="567"/>
      <c r="F265" s="1056" t="s">
        <v>779</v>
      </c>
      <c r="G265" s="546" t="s">
        <v>13</v>
      </c>
      <c r="H265" s="512">
        <f>I265+L265</f>
        <v>38563</v>
      </c>
      <c r="I265" s="513">
        <f>J265+K265</f>
        <v>0</v>
      </c>
      <c r="J265" s="513">
        <v>0</v>
      </c>
      <c r="K265" s="513">
        <v>0</v>
      </c>
      <c r="L265" s="513">
        <f>M265+N265</f>
        <v>38563</v>
      </c>
      <c r="M265" s="513">
        <v>0</v>
      </c>
      <c r="N265" s="513">
        <v>38563</v>
      </c>
    </row>
    <row r="266" spans="1:14" s="454" customFormat="1" ht="15" customHeight="1" hidden="1">
      <c r="A266" s="1005"/>
      <c r="B266" s="1028"/>
      <c r="C266" s="1007"/>
      <c r="D266" s="1028"/>
      <c r="E266" s="567"/>
      <c r="F266" s="1057"/>
      <c r="G266" s="546" t="s">
        <v>14</v>
      </c>
      <c r="H266" s="512">
        <f>I266+L266</f>
        <v>0</v>
      </c>
      <c r="I266" s="513">
        <f>J266+K266</f>
        <v>0</v>
      </c>
      <c r="J266" s="513">
        <v>0</v>
      </c>
      <c r="K266" s="513">
        <v>0</v>
      </c>
      <c r="L266" s="513">
        <f>M266+N266</f>
        <v>0</v>
      </c>
      <c r="M266" s="513">
        <v>0</v>
      </c>
      <c r="N266" s="513">
        <v>0</v>
      </c>
    </row>
    <row r="267" spans="1:14" s="454" customFormat="1" ht="15" customHeight="1" hidden="1">
      <c r="A267" s="1005"/>
      <c r="B267" s="1006"/>
      <c r="C267" s="1007"/>
      <c r="D267" s="1008"/>
      <c r="E267" s="568"/>
      <c r="F267" s="1058"/>
      <c r="G267" s="544" t="s">
        <v>15</v>
      </c>
      <c r="H267" s="541">
        <f>I267+L267</f>
        <v>38563</v>
      </c>
      <c r="I267" s="542">
        <f>J267+K267</f>
        <v>0</v>
      </c>
      <c r="J267" s="542">
        <f>J265+J266</f>
        <v>0</v>
      </c>
      <c r="K267" s="542">
        <f>K265+K266</f>
        <v>0</v>
      </c>
      <c r="L267" s="542">
        <f>M267+N267</f>
        <v>38563</v>
      </c>
      <c r="M267" s="542">
        <f>M265+M266</f>
        <v>0</v>
      </c>
      <c r="N267" s="542">
        <f>N265+N266</f>
        <v>38563</v>
      </c>
    </row>
    <row r="268" spans="1:14" s="454" customFormat="1" ht="15" customHeight="1" hidden="1">
      <c r="A268" s="1005"/>
      <c r="B268" s="1006"/>
      <c r="C268" s="1007"/>
      <c r="D268" s="1008"/>
      <c r="E268" s="565" t="s">
        <v>699</v>
      </c>
      <c r="F268" s="1056" t="s">
        <v>703</v>
      </c>
      <c r="G268" s="546" t="s">
        <v>13</v>
      </c>
      <c r="H268" s="541">
        <f t="shared" si="64"/>
        <v>1669826</v>
      </c>
      <c r="I268" s="542">
        <f t="shared" si="65"/>
        <v>0</v>
      </c>
      <c r="J268" s="542">
        <v>0</v>
      </c>
      <c r="K268" s="542">
        <v>0</v>
      </c>
      <c r="L268" s="542">
        <f t="shared" si="66"/>
        <v>1669826</v>
      </c>
      <c r="M268" s="542">
        <v>0</v>
      </c>
      <c r="N268" s="542">
        <v>1669826</v>
      </c>
    </row>
    <row r="269" spans="1:14" s="454" customFormat="1" ht="15" customHeight="1" hidden="1">
      <c r="A269" s="1005"/>
      <c r="B269" s="1028"/>
      <c r="C269" s="1007"/>
      <c r="D269" s="1028"/>
      <c r="E269" s="567"/>
      <c r="F269" s="1057"/>
      <c r="G269" s="546" t="s">
        <v>14</v>
      </c>
      <c r="H269" s="541">
        <f t="shared" si="64"/>
        <v>0</v>
      </c>
      <c r="I269" s="542">
        <f t="shared" si="65"/>
        <v>0</v>
      </c>
      <c r="J269" s="542">
        <v>0</v>
      </c>
      <c r="K269" s="542">
        <v>0</v>
      </c>
      <c r="L269" s="542">
        <f t="shared" si="66"/>
        <v>0</v>
      </c>
      <c r="M269" s="542">
        <v>0</v>
      </c>
      <c r="N269" s="542">
        <v>0</v>
      </c>
    </row>
    <row r="270" spans="1:14" s="454" customFormat="1" ht="15" customHeight="1" hidden="1">
      <c r="A270" s="1005"/>
      <c r="B270" s="1006"/>
      <c r="C270" s="1007"/>
      <c r="D270" s="1008"/>
      <c r="E270" s="568"/>
      <c r="F270" s="1058"/>
      <c r="G270" s="544" t="s">
        <v>15</v>
      </c>
      <c r="H270" s="541">
        <f t="shared" si="64"/>
        <v>1669826</v>
      </c>
      <c r="I270" s="542">
        <f t="shared" si="65"/>
        <v>0</v>
      </c>
      <c r="J270" s="542">
        <f>J268+J269</f>
        <v>0</v>
      </c>
      <c r="K270" s="542">
        <f>K268+K269</f>
        <v>0</v>
      </c>
      <c r="L270" s="542">
        <f t="shared" si="66"/>
        <v>1669826</v>
      </c>
      <c r="M270" s="542">
        <f>M268+M269</f>
        <v>0</v>
      </c>
      <c r="N270" s="542">
        <f>N268+N269</f>
        <v>1669826</v>
      </c>
    </row>
    <row r="271" spans="1:14" s="454" customFormat="1" ht="14.25" customHeight="1">
      <c r="A271" s="1005"/>
      <c r="B271" s="1006"/>
      <c r="C271" s="1007"/>
      <c r="D271" s="1008"/>
      <c r="E271" s="565" t="s">
        <v>699</v>
      </c>
      <c r="F271" s="1056" t="s">
        <v>701</v>
      </c>
      <c r="G271" s="546" t="s">
        <v>13</v>
      </c>
      <c r="H271" s="541">
        <f t="shared" si="64"/>
        <v>1034755</v>
      </c>
      <c r="I271" s="542">
        <f t="shared" si="65"/>
        <v>1034755</v>
      </c>
      <c r="J271" s="542">
        <v>0</v>
      </c>
      <c r="K271" s="542">
        <v>1034755</v>
      </c>
      <c r="L271" s="542">
        <f t="shared" si="66"/>
        <v>0</v>
      </c>
      <c r="M271" s="542">
        <v>0</v>
      </c>
      <c r="N271" s="542">
        <v>0</v>
      </c>
    </row>
    <row r="272" spans="1:14" s="454" customFormat="1" ht="14.25" customHeight="1">
      <c r="A272" s="1005"/>
      <c r="B272" s="1028"/>
      <c r="C272" s="1007"/>
      <c r="D272" s="1028"/>
      <c r="E272" s="567"/>
      <c r="F272" s="1057"/>
      <c r="G272" s="546" t="s">
        <v>14</v>
      </c>
      <c r="H272" s="541">
        <f t="shared" si="64"/>
        <v>216205</v>
      </c>
      <c r="I272" s="542">
        <f t="shared" si="65"/>
        <v>216205</v>
      </c>
      <c r="J272" s="542">
        <v>0</v>
      </c>
      <c r="K272" s="542">
        <v>216205</v>
      </c>
      <c r="L272" s="542">
        <f t="shared" si="66"/>
        <v>0</v>
      </c>
      <c r="M272" s="542">
        <v>0</v>
      </c>
      <c r="N272" s="542">
        <v>0</v>
      </c>
    </row>
    <row r="273" spans="1:14" s="454" customFormat="1" ht="14.25" customHeight="1">
      <c r="A273" s="1005"/>
      <c r="B273" s="1006"/>
      <c r="C273" s="1007"/>
      <c r="D273" s="1008"/>
      <c r="E273" s="568"/>
      <c r="F273" s="1058"/>
      <c r="G273" s="544" t="s">
        <v>15</v>
      </c>
      <c r="H273" s="541">
        <f t="shared" si="64"/>
        <v>1250960</v>
      </c>
      <c r="I273" s="542">
        <f t="shared" si="65"/>
        <v>1250960</v>
      </c>
      <c r="J273" s="542">
        <f>J271+J272</f>
        <v>0</v>
      </c>
      <c r="K273" s="542">
        <f>K271+K272</f>
        <v>1250960</v>
      </c>
      <c r="L273" s="542">
        <f t="shared" si="66"/>
        <v>0</v>
      </c>
      <c r="M273" s="542">
        <f>M271+M272</f>
        <v>0</v>
      </c>
      <c r="N273" s="542">
        <f>N271+N272</f>
        <v>0</v>
      </c>
    </row>
    <row r="274" spans="1:14" s="545" customFormat="1" ht="14.25" customHeight="1">
      <c r="A274" s="1001"/>
      <c r="B274" s="1002"/>
      <c r="C274" s="1003"/>
      <c r="D274" s="1004"/>
      <c r="E274" s="568"/>
      <c r="F274" s="1056" t="s">
        <v>791</v>
      </c>
      <c r="G274" s="546" t="s">
        <v>13</v>
      </c>
      <c r="H274" s="541">
        <f t="shared" si="64"/>
        <v>200000</v>
      </c>
      <c r="I274" s="542">
        <f t="shared" si="65"/>
        <v>100000</v>
      </c>
      <c r="J274" s="542">
        <v>0</v>
      </c>
      <c r="K274" s="542">
        <v>100000</v>
      </c>
      <c r="L274" s="542">
        <f t="shared" si="66"/>
        <v>100000</v>
      </c>
      <c r="M274" s="542">
        <v>0</v>
      </c>
      <c r="N274" s="542">
        <v>100000</v>
      </c>
    </row>
    <row r="275" spans="1:14" s="545" customFormat="1" ht="14.25" customHeight="1">
      <c r="A275" s="1001"/>
      <c r="B275" s="1028"/>
      <c r="C275" s="1003"/>
      <c r="D275" s="1028"/>
      <c r="E275" s="568"/>
      <c r="F275" s="1057"/>
      <c r="G275" s="546" t="s">
        <v>14</v>
      </c>
      <c r="H275" s="541">
        <f t="shared" si="64"/>
        <v>-77968</v>
      </c>
      <c r="I275" s="542">
        <f t="shared" si="65"/>
        <v>0</v>
      </c>
      <c r="J275" s="542">
        <v>0</v>
      </c>
      <c r="K275" s="542">
        <v>0</v>
      </c>
      <c r="L275" s="542">
        <f t="shared" si="66"/>
        <v>-77968</v>
      </c>
      <c r="M275" s="542">
        <v>0</v>
      </c>
      <c r="N275" s="542">
        <v>-77968</v>
      </c>
    </row>
    <row r="276" spans="1:14" s="454" customFormat="1" ht="14.25" customHeight="1">
      <c r="A276" s="1005"/>
      <c r="B276" s="1006"/>
      <c r="C276" s="1007"/>
      <c r="D276" s="1008"/>
      <c r="E276" s="568"/>
      <c r="F276" s="1058"/>
      <c r="G276" s="544" t="s">
        <v>15</v>
      </c>
      <c r="H276" s="541">
        <f t="shared" si="64"/>
        <v>122032</v>
      </c>
      <c r="I276" s="542">
        <f t="shared" si="65"/>
        <v>100000</v>
      </c>
      <c r="J276" s="542">
        <f>J274+J275</f>
        <v>0</v>
      </c>
      <c r="K276" s="542">
        <f>K274+K275</f>
        <v>100000</v>
      </c>
      <c r="L276" s="542">
        <f t="shared" si="66"/>
        <v>22032</v>
      </c>
      <c r="M276" s="542">
        <f>M274+M275</f>
        <v>0</v>
      </c>
      <c r="N276" s="542">
        <f>N274+N275</f>
        <v>22032</v>
      </c>
    </row>
    <row r="277" spans="1:14" s="454" customFormat="1" ht="15" customHeight="1" hidden="1">
      <c r="A277" s="1009" t="s">
        <v>220</v>
      </c>
      <c r="B277" s="1010"/>
      <c r="C277" s="1011" t="s">
        <v>924</v>
      </c>
      <c r="D277" s="1012"/>
      <c r="E277" s="565" t="s">
        <v>709</v>
      </c>
      <c r="F277" s="1056" t="s">
        <v>794</v>
      </c>
      <c r="G277" s="546" t="s">
        <v>13</v>
      </c>
      <c r="H277" s="541">
        <f t="shared" si="64"/>
        <v>4254742</v>
      </c>
      <c r="I277" s="542">
        <f t="shared" si="65"/>
        <v>1353759</v>
      </c>
      <c r="J277" s="542">
        <v>17895</v>
      </c>
      <c r="K277" s="542">
        <f>375000+960864</f>
        <v>1335864</v>
      </c>
      <c r="L277" s="542">
        <f t="shared" si="66"/>
        <v>2900983</v>
      </c>
      <c r="M277" s="542">
        <v>123000</v>
      </c>
      <c r="N277" s="542">
        <v>2777983</v>
      </c>
    </row>
    <row r="278" spans="1:14" s="454" customFormat="1" ht="15" customHeight="1" hidden="1">
      <c r="A278" s="1005"/>
      <c r="B278" s="1028"/>
      <c r="C278" s="1007"/>
      <c r="D278" s="1028"/>
      <c r="E278" s="567"/>
      <c r="F278" s="1057"/>
      <c r="G278" s="546" t="s">
        <v>14</v>
      </c>
      <c r="H278" s="541">
        <f t="shared" si="64"/>
        <v>0</v>
      </c>
      <c r="I278" s="542">
        <f t="shared" si="65"/>
        <v>0</v>
      </c>
      <c r="J278" s="542">
        <v>0</v>
      </c>
      <c r="K278" s="542">
        <v>0</v>
      </c>
      <c r="L278" s="542">
        <f t="shared" si="66"/>
        <v>0</v>
      </c>
      <c r="M278" s="542">
        <v>0</v>
      </c>
      <c r="N278" s="542">
        <v>0</v>
      </c>
    </row>
    <row r="279" spans="1:14" s="454" customFormat="1" ht="15" customHeight="1" hidden="1">
      <c r="A279" s="1014"/>
      <c r="B279" s="1015"/>
      <c r="C279" s="1016"/>
      <c r="D279" s="1017"/>
      <c r="E279" s="569"/>
      <c r="F279" s="1058"/>
      <c r="G279" s="571" t="s">
        <v>15</v>
      </c>
      <c r="H279" s="512">
        <f t="shared" si="64"/>
        <v>4254742</v>
      </c>
      <c r="I279" s="513">
        <f t="shared" si="65"/>
        <v>1353759</v>
      </c>
      <c r="J279" s="513">
        <f>J277+J278</f>
        <v>17895</v>
      </c>
      <c r="K279" s="513">
        <f>K277+K278</f>
        <v>1335864</v>
      </c>
      <c r="L279" s="513">
        <f t="shared" si="66"/>
        <v>2900983</v>
      </c>
      <c r="M279" s="513">
        <f>M277+M278</f>
        <v>123000</v>
      </c>
      <c r="N279" s="513">
        <f>N277+N278</f>
        <v>2777983</v>
      </c>
    </row>
    <row r="280" spans="1:14" s="545" customFormat="1" ht="15" customHeight="1" hidden="1">
      <c r="A280" s="991" t="s">
        <v>76</v>
      </c>
      <c r="B280" s="1013"/>
      <c r="C280" s="993" t="s">
        <v>925</v>
      </c>
      <c r="D280" s="994"/>
      <c r="E280" s="570" t="s">
        <v>771</v>
      </c>
      <c r="F280" s="1056" t="s">
        <v>772</v>
      </c>
      <c r="G280" s="546" t="s">
        <v>13</v>
      </c>
      <c r="H280" s="541">
        <f t="shared" si="64"/>
        <v>456736</v>
      </c>
      <c r="I280" s="542">
        <f t="shared" si="65"/>
        <v>54736</v>
      </c>
      <c r="J280" s="542">
        <v>0</v>
      </c>
      <c r="K280" s="542">
        <v>54736</v>
      </c>
      <c r="L280" s="542">
        <f t="shared" si="66"/>
        <v>402000</v>
      </c>
      <c r="M280" s="542">
        <v>0</v>
      </c>
      <c r="N280" s="542">
        <v>402000</v>
      </c>
    </row>
    <row r="281" spans="1:14" s="545" customFormat="1" ht="15" customHeight="1" hidden="1">
      <c r="A281" s="1001"/>
      <c r="B281" s="1028"/>
      <c r="C281" s="1003"/>
      <c r="D281" s="1028"/>
      <c r="E281" s="568"/>
      <c r="F281" s="1057"/>
      <c r="G281" s="546" t="s">
        <v>14</v>
      </c>
      <c r="H281" s="541">
        <f aca="true" t="shared" si="67" ref="H281:H312">I281+L281</f>
        <v>0</v>
      </c>
      <c r="I281" s="542">
        <f aca="true" t="shared" si="68" ref="I281:I312">J281+K281</f>
        <v>0</v>
      </c>
      <c r="J281" s="542">
        <v>0</v>
      </c>
      <c r="K281" s="542">
        <v>0</v>
      </c>
      <c r="L281" s="542">
        <f aca="true" t="shared" si="69" ref="L281:L312">M281+N281</f>
        <v>0</v>
      </c>
      <c r="M281" s="542">
        <v>0</v>
      </c>
      <c r="N281" s="542">
        <v>0</v>
      </c>
    </row>
    <row r="282" spans="1:14" s="454" customFormat="1" ht="15" customHeight="1" hidden="1">
      <c r="A282" s="1005"/>
      <c r="B282" s="1006"/>
      <c r="C282" s="1007"/>
      <c r="D282" s="1008"/>
      <c r="E282" s="568"/>
      <c r="F282" s="1058"/>
      <c r="G282" s="544" t="s">
        <v>15</v>
      </c>
      <c r="H282" s="541">
        <f t="shared" si="67"/>
        <v>456736</v>
      </c>
      <c r="I282" s="542">
        <f t="shared" si="68"/>
        <v>54736</v>
      </c>
      <c r="J282" s="542">
        <f>J280+J281</f>
        <v>0</v>
      </c>
      <c r="K282" s="542">
        <f>K280+K281</f>
        <v>54736</v>
      </c>
      <c r="L282" s="542">
        <f t="shared" si="69"/>
        <v>402000</v>
      </c>
      <c r="M282" s="542">
        <f>M280+M281</f>
        <v>0</v>
      </c>
      <c r="N282" s="542">
        <f>N280+N281</f>
        <v>402000</v>
      </c>
    </row>
    <row r="283" spans="1:14" s="545" customFormat="1" ht="15" customHeight="1" hidden="1">
      <c r="A283" s="1001"/>
      <c r="B283" s="1002"/>
      <c r="C283" s="1003"/>
      <c r="D283" s="1004"/>
      <c r="E283" s="570" t="s">
        <v>773</v>
      </c>
      <c r="F283" s="1056" t="s">
        <v>775</v>
      </c>
      <c r="G283" s="546" t="s">
        <v>13</v>
      </c>
      <c r="H283" s="541">
        <f t="shared" si="67"/>
        <v>1841464</v>
      </c>
      <c r="I283" s="542">
        <f t="shared" si="68"/>
        <v>0</v>
      </c>
      <c r="J283" s="542">
        <v>0</v>
      </c>
      <c r="K283" s="542">
        <v>0</v>
      </c>
      <c r="L283" s="542">
        <f t="shared" si="69"/>
        <v>1841464</v>
      </c>
      <c r="M283" s="542">
        <v>0</v>
      </c>
      <c r="N283" s="542">
        <v>1841464</v>
      </c>
    </row>
    <row r="284" spans="1:14" s="545" customFormat="1" ht="15" customHeight="1" hidden="1">
      <c r="A284" s="1001"/>
      <c r="B284" s="1028"/>
      <c r="C284" s="1003"/>
      <c r="D284" s="1028"/>
      <c r="E284" s="568"/>
      <c r="F284" s="1057"/>
      <c r="G284" s="546" t="s">
        <v>14</v>
      </c>
      <c r="H284" s="541">
        <f t="shared" si="67"/>
        <v>0</v>
      </c>
      <c r="I284" s="542">
        <f t="shared" si="68"/>
        <v>0</v>
      </c>
      <c r="J284" s="542">
        <v>0</v>
      </c>
      <c r="K284" s="542">
        <v>0</v>
      </c>
      <c r="L284" s="542">
        <f t="shared" si="69"/>
        <v>0</v>
      </c>
      <c r="M284" s="542">
        <v>0</v>
      </c>
      <c r="N284" s="542">
        <v>0</v>
      </c>
    </row>
    <row r="285" spans="1:14" s="454" customFormat="1" ht="15" customHeight="1" hidden="1">
      <c r="A285" s="1005"/>
      <c r="B285" s="1006"/>
      <c r="C285" s="1007"/>
      <c r="D285" s="1008"/>
      <c r="E285" s="568"/>
      <c r="F285" s="1058"/>
      <c r="G285" s="544" t="s">
        <v>15</v>
      </c>
      <c r="H285" s="541">
        <f t="shared" si="67"/>
        <v>1841464</v>
      </c>
      <c r="I285" s="542">
        <f t="shared" si="68"/>
        <v>0</v>
      </c>
      <c r="J285" s="542">
        <f>J283+J284</f>
        <v>0</v>
      </c>
      <c r="K285" s="542">
        <f>K283+K284</f>
        <v>0</v>
      </c>
      <c r="L285" s="542">
        <f t="shared" si="69"/>
        <v>1841464</v>
      </c>
      <c r="M285" s="542">
        <f>M283+M284</f>
        <v>0</v>
      </c>
      <c r="N285" s="542">
        <f>N283+N284</f>
        <v>1841464</v>
      </c>
    </row>
    <row r="286" spans="1:14" s="454" customFormat="1" ht="15" customHeight="1" hidden="1">
      <c r="A286" s="1005"/>
      <c r="B286" s="1006"/>
      <c r="C286" s="1007"/>
      <c r="D286" s="1008"/>
      <c r="E286" s="565" t="s">
        <v>780</v>
      </c>
      <c r="F286" s="1056" t="s">
        <v>782</v>
      </c>
      <c r="G286" s="546" t="s">
        <v>13</v>
      </c>
      <c r="H286" s="541">
        <f t="shared" si="67"/>
        <v>708800</v>
      </c>
      <c r="I286" s="542">
        <f t="shared" si="68"/>
        <v>23800</v>
      </c>
      <c r="J286" s="542">
        <v>0</v>
      </c>
      <c r="K286" s="542">
        <v>23800</v>
      </c>
      <c r="L286" s="542">
        <f t="shared" si="69"/>
        <v>685000</v>
      </c>
      <c r="M286" s="542">
        <v>0</v>
      </c>
      <c r="N286" s="542">
        <v>685000</v>
      </c>
    </row>
    <row r="287" spans="1:14" s="454" customFormat="1" ht="15" customHeight="1" hidden="1">
      <c r="A287" s="1005"/>
      <c r="B287" s="1028"/>
      <c r="C287" s="1007"/>
      <c r="D287" s="1028"/>
      <c r="E287" s="567"/>
      <c r="F287" s="1057"/>
      <c r="G287" s="546" t="s">
        <v>14</v>
      </c>
      <c r="H287" s="541">
        <f t="shared" si="67"/>
        <v>0</v>
      </c>
      <c r="I287" s="542">
        <f t="shared" si="68"/>
        <v>0</v>
      </c>
      <c r="J287" s="542">
        <v>0</v>
      </c>
      <c r="K287" s="542">
        <v>0</v>
      </c>
      <c r="L287" s="542">
        <f t="shared" si="69"/>
        <v>0</v>
      </c>
      <c r="M287" s="542">
        <v>0</v>
      </c>
      <c r="N287" s="542">
        <v>0</v>
      </c>
    </row>
    <row r="288" spans="1:14" s="454" customFormat="1" ht="15" customHeight="1" hidden="1">
      <c r="A288" s="1005"/>
      <c r="B288" s="1006"/>
      <c r="C288" s="1007"/>
      <c r="D288" s="1008"/>
      <c r="E288" s="568"/>
      <c r="F288" s="1058"/>
      <c r="G288" s="544" t="s">
        <v>15</v>
      </c>
      <c r="H288" s="541">
        <f t="shared" si="67"/>
        <v>708800</v>
      </c>
      <c r="I288" s="542">
        <f t="shared" si="68"/>
        <v>23800</v>
      </c>
      <c r="J288" s="542">
        <f>J286+J287</f>
        <v>0</v>
      </c>
      <c r="K288" s="542">
        <f>K286+K287</f>
        <v>23800</v>
      </c>
      <c r="L288" s="542">
        <f t="shared" si="69"/>
        <v>685000</v>
      </c>
      <c r="M288" s="542">
        <f>M286+M287</f>
        <v>0</v>
      </c>
      <c r="N288" s="542">
        <f>N286+N287</f>
        <v>685000</v>
      </c>
    </row>
    <row r="289" spans="1:14" s="454" customFormat="1" ht="14.25" customHeight="1">
      <c r="A289" s="1009" t="s">
        <v>76</v>
      </c>
      <c r="B289" s="1010"/>
      <c r="C289" s="1011" t="s">
        <v>925</v>
      </c>
      <c r="D289" s="1012"/>
      <c r="E289" s="565" t="s">
        <v>709</v>
      </c>
      <c r="F289" s="1056" t="s">
        <v>710</v>
      </c>
      <c r="G289" s="546" t="s">
        <v>13</v>
      </c>
      <c r="H289" s="541">
        <f>I289+L289</f>
        <v>0</v>
      </c>
      <c r="I289" s="542">
        <f>J289+K289</f>
        <v>0</v>
      </c>
      <c r="J289" s="542">
        <v>0</v>
      </c>
      <c r="K289" s="542">
        <v>0</v>
      </c>
      <c r="L289" s="542">
        <f>M289+N289</f>
        <v>0</v>
      </c>
      <c r="M289" s="542">
        <v>0</v>
      </c>
      <c r="N289" s="542">
        <v>0</v>
      </c>
    </row>
    <row r="290" spans="1:14" s="454" customFormat="1" ht="14.25" customHeight="1">
      <c r="A290" s="1005"/>
      <c r="B290" s="1028"/>
      <c r="C290" s="1007"/>
      <c r="D290" s="1028"/>
      <c r="E290" s="567"/>
      <c r="F290" s="1057"/>
      <c r="G290" s="546" t="s">
        <v>14</v>
      </c>
      <c r="H290" s="541">
        <f>I290+L290</f>
        <v>31083052</v>
      </c>
      <c r="I290" s="542">
        <f>J290+K290</f>
        <v>12081721</v>
      </c>
      <c r="J290" s="542">
        <v>0</v>
      </c>
      <c r="K290" s="542">
        <v>12081721</v>
      </c>
      <c r="L290" s="542">
        <f>M290+N290</f>
        <v>19001331</v>
      </c>
      <c r="M290" s="542">
        <v>0</v>
      </c>
      <c r="N290" s="542">
        <v>19001331</v>
      </c>
    </row>
    <row r="291" spans="1:14" s="454" customFormat="1" ht="14.25" customHeight="1">
      <c r="A291" s="1005"/>
      <c r="B291" s="1006"/>
      <c r="C291" s="1007"/>
      <c r="D291" s="1008"/>
      <c r="E291" s="568"/>
      <c r="F291" s="1058"/>
      <c r="G291" s="544" t="s">
        <v>15</v>
      </c>
      <c r="H291" s="541">
        <f>I291+L291</f>
        <v>31083052</v>
      </c>
      <c r="I291" s="542">
        <f>J291+K291</f>
        <v>12081721</v>
      </c>
      <c r="J291" s="542">
        <f>J289+J290</f>
        <v>0</v>
      </c>
      <c r="K291" s="542">
        <f>K289+K290</f>
        <v>12081721</v>
      </c>
      <c r="L291" s="542">
        <f>M291+N291</f>
        <v>19001331</v>
      </c>
      <c r="M291" s="542">
        <f>M289+M290</f>
        <v>0</v>
      </c>
      <c r="N291" s="542">
        <f>N289+N290</f>
        <v>19001331</v>
      </c>
    </row>
    <row r="292" spans="1:14" s="454" customFormat="1" ht="14.25" customHeight="1">
      <c r="A292" s="1009" t="s">
        <v>351</v>
      </c>
      <c r="B292" s="1010"/>
      <c r="C292" s="1011" t="s">
        <v>926</v>
      </c>
      <c r="D292" s="1012"/>
      <c r="E292" s="565" t="s">
        <v>709</v>
      </c>
      <c r="F292" s="1056" t="s">
        <v>712</v>
      </c>
      <c r="G292" s="546" t="s">
        <v>13</v>
      </c>
      <c r="H292" s="512">
        <f t="shared" si="67"/>
        <v>2577488</v>
      </c>
      <c r="I292" s="513">
        <f t="shared" si="68"/>
        <v>2577488</v>
      </c>
      <c r="J292" s="513">
        <v>0</v>
      </c>
      <c r="K292" s="513">
        <v>2577488</v>
      </c>
      <c r="L292" s="513">
        <f t="shared" si="69"/>
        <v>0</v>
      </c>
      <c r="M292" s="513">
        <v>0</v>
      </c>
      <c r="N292" s="513">
        <v>0</v>
      </c>
    </row>
    <row r="293" spans="1:14" s="454" customFormat="1" ht="14.25" customHeight="1">
      <c r="A293" s="1005"/>
      <c r="B293" s="1028"/>
      <c r="C293" s="1007"/>
      <c r="D293" s="1028"/>
      <c r="E293" s="567"/>
      <c r="F293" s="1057"/>
      <c r="G293" s="546" t="s">
        <v>14</v>
      </c>
      <c r="H293" s="512">
        <f t="shared" si="67"/>
        <v>438794</v>
      </c>
      <c r="I293" s="513">
        <f t="shared" si="68"/>
        <v>438794</v>
      </c>
      <c r="J293" s="513">
        <v>0</v>
      </c>
      <c r="K293" s="513">
        <v>438794</v>
      </c>
      <c r="L293" s="513">
        <f t="shared" si="69"/>
        <v>0</v>
      </c>
      <c r="M293" s="513">
        <v>0</v>
      </c>
      <c r="N293" s="513">
        <v>0</v>
      </c>
    </row>
    <row r="294" spans="1:14" s="454" customFormat="1" ht="14.25" customHeight="1">
      <c r="A294" s="1005"/>
      <c r="B294" s="1006"/>
      <c r="C294" s="1007"/>
      <c r="D294" s="1008"/>
      <c r="E294" s="568"/>
      <c r="F294" s="1058"/>
      <c r="G294" s="544" t="s">
        <v>15</v>
      </c>
      <c r="H294" s="541">
        <f t="shared" si="67"/>
        <v>3016282</v>
      </c>
      <c r="I294" s="542">
        <f t="shared" si="68"/>
        <v>3016282</v>
      </c>
      <c r="J294" s="542">
        <f>J292+J293</f>
        <v>0</v>
      </c>
      <c r="K294" s="542">
        <f>K292+K293</f>
        <v>3016282</v>
      </c>
      <c r="L294" s="542">
        <f t="shared" si="69"/>
        <v>0</v>
      </c>
      <c r="M294" s="542">
        <f>M292+M293</f>
        <v>0</v>
      </c>
      <c r="N294" s="542">
        <f>N292+N293</f>
        <v>0</v>
      </c>
    </row>
    <row r="295" spans="1:14" s="545" customFormat="1" ht="15" customHeight="1" hidden="1">
      <c r="A295" s="991" t="s">
        <v>352</v>
      </c>
      <c r="B295" s="1013"/>
      <c r="C295" s="993" t="s">
        <v>927</v>
      </c>
      <c r="D295" s="994"/>
      <c r="E295" s="570" t="s">
        <v>534</v>
      </c>
      <c r="F295" s="1056" t="s">
        <v>635</v>
      </c>
      <c r="G295" s="546" t="s">
        <v>13</v>
      </c>
      <c r="H295" s="512">
        <f t="shared" si="67"/>
        <v>9857893</v>
      </c>
      <c r="I295" s="513">
        <f t="shared" si="68"/>
        <v>9857893</v>
      </c>
      <c r="J295" s="513">
        <v>9857893</v>
      </c>
      <c r="K295" s="513">
        <v>0</v>
      </c>
      <c r="L295" s="513">
        <f t="shared" si="69"/>
        <v>0</v>
      </c>
      <c r="M295" s="513">
        <v>0</v>
      </c>
      <c r="N295" s="513">
        <v>0</v>
      </c>
    </row>
    <row r="296" spans="1:14" s="545" customFormat="1" ht="15" customHeight="1" hidden="1">
      <c r="A296" s="1001"/>
      <c r="B296" s="1028"/>
      <c r="C296" s="1003"/>
      <c r="D296" s="1028"/>
      <c r="E296" s="568"/>
      <c r="F296" s="1057"/>
      <c r="G296" s="546" t="s">
        <v>14</v>
      </c>
      <c r="H296" s="512">
        <f t="shared" si="67"/>
        <v>0</v>
      </c>
      <c r="I296" s="513">
        <f t="shared" si="68"/>
        <v>0</v>
      </c>
      <c r="J296" s="513">
        <v>0</v>
      </c>
      <c r="K296" s="513">
        <v>0</v>
      </c>
      <c r="L296" s="513">
        <f t="shared" si="69"/>
        <v>0</v>
      </c>
      <c r="M296" s="513">
        <v>0</v>
      </c>
      <c r="N296" s="513">
        <v>0</v>
      </c>
    </row>
    <row r="297" spans="1:14" s="454" customFormat="1" ht="15" customHeight="1" hidden="1">
      <c r="A297" s="1005"/>
      <c r="B297" s="1006"/>
      <c r="C297" s="1007"/>
      <c r="D297" s="1008"/>
      <c r="E297" s="568"/>
      <c r="F297" s="1058"/>
      <c r="G297" s="544" t="s">
        <v>15</v>
      </c>
      <c r="H297" s="541">
        <f t="shared" si="67"/>
        <v>9857893</v>
      </c>
      <c r="I297" s="542">
        <f t="shared" si="68"/>
        <v>9857893</v>
      </c>
      <c r="J297" s="542">
        <f>J295+J296</f>
        <v>9857893</v>
      </c>
      <c r="K297" s="542">
        <f>K295+K296</f>
        <v>0</v>
      </c>
      <c r="L297" s="542">
        <f t="shared" si="69"/>
        <v>0</v>
      </c>
      <c r="M297" s="542">
        <f>M295+M296</f>
        <v>0</v>
      </c>
      <c r="N297" s="542">
        <f>N295+N296</f>
        <v>0</v>
      </c>
    </row>
    <row r="298" spans="1:14" s="454" customFormat="1" ht="15" customHeight="1" hidden="1">
      <c r="A298" s="1005"/>
      <c r="B298" s="1006"/>
      <c r="C298" s="1011" t="s">
        <v>928</v>
      </c>
      <c r="D298" s="1012"/>
      <c r="E298" s="565" t="s">
        <v>762</v>
      </c>
      <c r="F298" s="1056" t="s">
        <v>764</v>
      </c>
      <c r="G298" s="546" t="s">
        <v>13</v>
      </c>
      <c r="H298" s="512">
        <f t="shared" si="67"/>
        <v>1025231</v>
      </c>
      <c r="I298" s="513">
        <f t="shared" si="68"/>
        <v>1025231</v>
      </c>
      <c r="J298" s="513">
        <v>1025231</v>
      </c>
      <c r="K298" s="513">
        <v>0</v>
      </c>
      <c r="L298" s="513">
        <f t="shared" si="69"/>
        <v>0</v>
      </c>
      <c r="M298" s="513">
        <v>0</v>
      </c>
      <c r="N298" s="513">
        <v>0</v>
      </c>
    </row>
    <row r="299" spans="1:14" s="454" customFormat="1" ht="15" customHeight="1" hidden="1">
      <c r="A299" s="1005"/>
      <c r="B299" s="1028"/>
      <c r="C299" s="1007"/>
      <c r="D299" s="1028"/>
      <c r="E299" s="567"/>
      <c r="F299" s="1057"/>
      <c r="G299" s="546" t="s">
        <v>14</v>
      </c>
      <c r="H299" s="512">
        <f t="shared" si="67"/>
        <v>0</v>
      </c>
      <c r="I299" s="513">
        <f t="shared" si="68"/>
        <v>0</v>
      </c>
      <c r="J299" s="513">
        <v>0</v>
      </c>
      <c r="K299" s="513">
        <v>0</v>
      </c>
      <c r="L299" s="513">
        <f t="shared" si="69"/>
        <v>0</v>
      </c>
      <c r="M299" s="513">
        <v>0</v>
      </c>
      <c r="N299" s="513">
        <v>0</v>
      </c>
    </row>
    <row r="300" spans="1:14" s="454" customFormat="1" ht="15" customHeight="1" hidden="1">
      <c r="A300" s="1005"/>
      <c r="B300" s="1006"/>
      <c r="C300" s="1007"/>
      <c r="D300" s="1008"/>
      <c r="E300" s="568"/>
      <c r="F300" s="1058"/>
      <c r="G300" s="544" t="s">
        <v>15</v>
      </c>
      <c r="H300" s="541">
        <f t="shared" si="67"/>
        <v>1025231</v>
      </c>
      <c r="I300" s="542">
        <f t="shared" si="68"/>
        <v>1025231</v>
      </c>
      <c r="J300" s="542">
        <f>J298+J299</f>
        <v>1025231</v>
      </c>
      <c r="K300" s="542">
        <f>K298+K299</f>
        <v>0</v>
      </c>
      <c r="L300" s="542">
        <f t="shared" si="69"/>
        <v>0</v>
      </c>
      <c r="M300" s="542">
        <f>M298+M299</f>
        <v>0</v>
      </c>
      <c r="N300" s="542">
        <f>N298+N299</f>
        <v>0</v>
      </c>
    </row>
    <row r="301" spans="1:14" s="545" customFormat="1" ht="13.5" customHeight="1" hidden="1">
      <c r="A301" s="1001"/>
      <c r="B301" s="1002"/>
      <c r="C301" s="1003"/>
      <c r="D301" s="1004"/>
      <c r="E301" s="570" t="s">
        <v>766</v>
      </c>
      <c r="F301" s="1056" t="s">
        <v>767</v>
      </c>
      <c r="G301" s="546" t="s">
        <v>13</v>
      </c>
      <c r="H301" s="512">
        <f t="shared" si="67"/>
        <v>3338214</v>
      </c>
      <c r="I301" s="513">
        <f t="shared" si="68"/>
        <v>3338214</v>
      </c>
      <c r="J301" s="513">
        <v>3329304</v>
      </c>
      <c r="K301" s="513">
        <v>8910</v>
      </c>
      <c r="L301" s="513">
        <f t="shared" si="69"/>
        <v>0</v>
      </c>
      <c r="M301" s="513">
        <v>0</v>
      </c>
      <c r="N301" s="513">
        <v>0</v>
      </c>
    </row>
    <row r="302" spans="1:14" s="545" customFormat="1" ht="13.5" customHeight="1" hidden="1">
      <c r="A302" s="1001"/>
      <c r="B302" s="1028"/>
      <c r="C302" s="1003"/>
      <c r="D302" s="1028"/>
      <c r="E302" s="568"/>
      <c r="F302" s="1057"/>
      <c r="G302" s="546" t="s">
        <v>14</v>
      </c>
      <c r="H302" s="512">
        <f t="shared" si="67"/>
        <v>0</v>
      </c>
      <c r="I302" s="513">
        <f t="shared" si="68"/>
        <v>0</v>
      </c>
      <c r="J302" s="513">
        <v>0</v>
      </c>
      <c r="K302" s="513">
        <v>0</v>
      </c>
      <c r="L302" s="513">
        <f t="shared" si="69"/>
        <v>0</v>
      </c>
      <c r="M302" s="513">
        <v>0</v>
      </c>
      <c r="N302" s="513">
        <v>0</v>
      </c>
    </row>
    <row r="303" spans="1:14" s="454" customFormat="1" ht="13.5" customHeight="1" hidden="1">
      <c r="A303" s="1005"/>
      <c r="B303" s="1006"/>
      <c r="C303" s="1007"/>
      <c r="D303" s="1008"/>
      <c r="E303" s="568"/>
      <c r="F303" s="1058"/>
      <c r="G303" s="544" t="s">
        <v>15</v>
      </c>
      <c r="H303" s="541">
        <f t="shared" si="67"/>
        <v>3338214</v>
      </c>
      <c r="I303" s="542">
        <f t="shared" si="68"/>
        <v>3338214</v>
      </c>
      <c r="J303" s="542">
        <f>J301+J302</f>
        <v>3329304</v>
      </c>
      <c r="K303" s="542">
        <f>K301+K302</f>
        <v>8910</v>
      </c>
      <c r="L303" s="542">
        <f t="shared" si="69"/>
        <v>0</v>
      </c>
      <c r="M303" s="542">
        <f>M301+M302</f>
        <v>0</v>
      </c>
      <c r="N303" s="542">
        <f>N301+N302</f>
        <v>0</v>
      </c>
    </row>
    <row r="304" spans="1:14" s="545" customFormat="1" ht="15" customHeight="1" hidden="1">
      <c r="A304" s="1001"/>
      <c r="B304" s="1002"/>
      <c r="C304" s="1003"/>
      <c r="D304" s="1004"/>
      <c r="E304" s="570" t="s">
        <v>768</v>
      </c>
      <c r="F304" s="1056" t="s">
        <v>770</v>
      </c>
      <c r="G304" s="546" t="s">
        <v>13</v>
      </c>
      <c r="H304" s="512">
        <f>I304+L304</f>
        <v>524539</v>
      </c>
      <c r="I304" s="513">
        <f>J304+K304</f>
        <v>524539</v>
      </c>
      <c r="J304" s="513">
        <v>524539</v>
      </c>
      <c r="K304" s="513">
        <v>0</v>
      </c>
      <c r="L304" s="513">
        <f>M304+N304</f>
        <v>0</v>
      </c>
      <c r="M304" s="513">
        <v>0</v>
      </c>
      <c r="N304" s="513">
        <v>0</v>
      </c>
    </row>
    <row r="305" spans="1:14" s="545" customFormat="1" ht="15" customHeight="1" hidden="1">
      <c r="A305" s="1001"/>
      <c r="B305" s="1028"/>
      <c r="C305" s="1003"/>
      <c r="D305" s="1028"/>
      <c r="E305" s="568"/>
      <c r="F305" s="1057"/>
      <c r="G305" s="546" t="s">
        <v>14</v>
      </c>
      <c r="H305" s="512">
        <f>I305+L305</f>
        <v>0</v>
      </c>
      <c r="I305" s="513">
        <f>J305+K305</f>
        <v>0</v>
      </c>
      <c r="J305" s="513">
        <v>0</v>
      </c>
      <c r="K305" s="513">
        <v>0</v>
      </c>
      <c r="L305" s="513">
        <f>M305+N305</f>
        <v>0</v>
      </c>
      <c r="M305" s="513">
        <v>0</v>
      </c>
      <c r="N305" s="513">
        <v>0</v>
      </c>
    </row>
    <row r="306" spans="1:14" s="454" customFormat="1" ht="15" customHeight="1" hidden="1">
      <c r="A306" s="1005"/>
      <c r="B306" s="1006"/>
      <c r="C306" s="1007"/>
      <c r="D306" s="1008"/>
      <c r="E306" s="568"/>
      <c r="F306" s="1058"/>
      <c r="G306" s="544" t="s">
        <v>15</v>
      </c>
      <c r="H306" s="541">
        <f>I306+L306</f>
        <v>524539</v>
      </c>
      <c r="I306" s="542">
        <f>J306+K306</f>
        <v>524539</v>
      </c>
      <c r="J306" s="542">
        <f>J304+J305</f>
        <v>524539</v>
      </c>
      <c r="K306" s="542">
        <f>K304+K305</f>
        <v>0</v>
      </c>
      <c r="L306" s="542">
        <f>M306+N306</f>
        <v>0</v>
      </c>
      <c r="M306" s="542">
        <f>M304+M305</f>
        <v>0</v>
      </c>
      <c r="N306" s="542">
        <f>N304+N305</f>
        <v>0</v>
      </c>
    </row>
    <row r="307" spans="1:14" s="545" customFormat="1" ht="15" customHeight="1" hidden="1">
      <c r="A307" s="991" t="s">
        <v>222</v>
      </c>
      <c r="B307" s="992"/>
      <c r="C307" s="993" t="s">
        <v>929</v>
      </c>
      <c r="D307" s="994"/>
      <c r="E307" s="575" t="s">
        <v>638</v>
      </c>
      <c r="F307" s="1056" t="s">
        <v>644</v>
      </c>
      <c r="G307" s="546" t="s">
        <v>13</v>
      </c>
      <c r="H307" s="512">
        <f t="shared" si="67"/>
        <v>4545970</v>
      </c>
      <c r="I307" s="513">
        <f t="shared" si="68"/>
        <v>0</v>
      </c>
      <c r="J307" s="513">
        <v>0</v>
      </c>
      <c r="K307" s="513">
        <v>0</v>
      </c>
      <c r="L307" s="513">
        <f t="shared" si="69"/>
        <v>4545970</v>
      </c>
      <c r="M307" s="513">
        <v>0</v>
      </c>
      <c r="N307" s="513">
        <v>4545970</v>
      </c>
    </row>
    <row r="308" spans="1:14" s="545" customFormat="1" ht="15" customHeight="1" hidden="1">
      <c r="A308" s="1001"/>
      <c r="B308" s="1028"/>
      <c r="C308" s="1003"/>
      <c r="D308" s="1028"/>
      <c r="E308" s="576"/>
      <c r="F308" s="1057"/>
      <c r="G308" s="546" t="s">
        <v>14</v>
      </c>
      <c r="H308" s="512">
        <f t="shared" si="67"/>
        <v>0</v>
      </c>
      <c r="I308" s="513">
        <f t="shared" si="68"/>
        <v>0</v>
      </c>
      <c r="J308" s="513">
        <v>0</v>
      </c>
      <c r="K308" s="513">
        <v>0</v>
      </c>
      <c r="L308" s="513">
        <f t="shared" si="69"/>
        <v>0</v>
      </c>
      <c r="M308" s="513">
        <v>0</v>
      </c>
      <c r="N308" s="513">
        <v>0</v>
      </c>
    </row>
    <row r="309" spans="1:14" s="454" customFormat="1" ht="15" customHeight="1" hidden="1">
      <c r="A309" s="1005"/>
      <c r="B309" s="1006"/>
      <c r="C309" s="1007"/>
      <c r="D309" s="1008"/>
      <c r="E309" s="568"/>
      <c r="F309" s="1058"/>
      <c r="G309" s="544" t="s">
        <v>15</v>
      </c>
      <c r="H309" s="541">
        <f t="shared" si="67"/>
        <v>4545970</v>
      </c>
      <c r="I309" s="542">
        <f t="shared" si="68"/>
        <v>0</v>
      </c>
      <c r="J309" s="542">
        <f>J307+J308</f>
        <v>0</v>
      </c>
      <c r="K309" s="542">
        <f>K307+K308</f>
        <v>0</v>
      </c>
      <c r="L309" s="542">
        <f t="shared" si="69"/>
        <v>4545970</v>
      </c>
      <c r="M309" s="542">
        <f>M307+M308</f>
        <v>0</v>
      </c>
      <c r="N309" s="542">
        <f>N307+N308</f>
        <v>4545970</v>
      </c>
    </row>
    <row r="310" spans="1:14" s="545" customFormat="1" ht="14.25" customHeight="1">
      <c r="A310" s="991" t="s">
        <v>222</v>
      </c>
      <c r="B310" s="1013"/>
      <c r="C310" s="993" t="s">
        <v>366</v>
      </c>
      <c r="D310" s="994"/>
      <c r="E310" s="570" t="s">
        <v>638</v>
      </c>
      <c r="F310" s="1059" t="s">
        <v>640</v>
      </c>
      <c r="G310" s="577" t="s">
        <v>13</v>
      </c>
      <c r="H310" s="512">
        <f t="shared" si="67"/>
        <v>0</v>
      </c>
      <c r="I310" s="513">
        <f t="shared" si="68"/>
        <v>0</v>
      </c>
      <c r="J310" s="513">
        <v>0</v>
      </c>
      <c r="K310" s="513">
        <v>0</v>
      </c>
      <c r="L310" s="513">
        <f t="shared" si="69"/>
        <v>0</v>
      </c>
      <c r="M310" s="513">
        <v>0</v>
      </c>
      <c r="N310" s="513">
        <v>0</v>
      </c>
    </row>
    <row r="311" spans="1:14" s="545" customFormat="1" ht="14.25" customHeight="1">
      <c r="A311" s="1062"/>
      <c r="B311" s="1063"/>
      <c r="C311" s="1064"/>
      <c r="D311" s="1063"/>
      <c r="E311" s="568"/>
      <c r="F311" s="1060"/>
      <c r="G311" s="577" t="s">
        <v>14</v>
      </c>
      <c r="H311" s="512">
        <f t="shared" si="67"/>
        <v>220022</v>
      </c>
      <c r="I311" s="513">
        <f t="shared" si="68"/>
        <v>0</v>
      </c>
      <c r="J311" s="513">
        <v>0</v>
      </c>
      <c r="K311" s="513">
        <v>0</v>
      </c>
      <c r="L311" s="513">
        <f t="shared" si="69"/>
        <v>220022</v>
      </c>
      <c r="M311" s="513">
        <v>0</v>
      </c>
      <c r="N311" s="513">
        <v>220022</v>
      </c>
    </row>
    <row r="312" spans="1:14" s="454" customFormat="1" ht="14.25" customHeight="1">
      <c r="A312" s="1005"/>
      <c r="B312" s="1029"/>
      <c r="C312" s="1007"/>
      <c r="D312" s="1029"/>
      <c r="E312" s="567"/>
      <c r="F312" s="1061"/>
      <c r="G312" s="565" t="s">
        <v>15</v>
      </c>
      <c r="H312" s="541">
        <f t="shared" si="67"/>
        <v>220022</v>
      </c>
      <c r="I312" s="542">
        <f t="shared" si="68"/>
        <v>0</v>
      </c>
      <c r="J312" s="542">
        <f>J310+J311</f>
        <v>0</v>
      </c>
      <c r="K312" s="542">
        <f>K310+K311</f>
        <v>0</v>
      </c>
      <c r="L312" s="542">
        <f t="shared" si="69"/>
        <v>220022</v>
      </c>
      <c r="M312" s="542">
        <f>M310+M311</f>
        <v>0</v>
      </c>
      <c r="N312" s="542">
        <f>N310+N311</f>
        <v>220022</v>
      </c>
    </row>
    <row r="313" spans="1:14" s="545" customFormat="1" ht="14.25" customHeight="1">
      <c r="A313" s="1001"/>
      <c r="B313" s="1002"/>
      <c r="C313" s="1003"/>
      <c r="D313" s="1004"/>
      <c r="E313" s="568"/>
      <c r="F313" s="1059" t="s">
        <v>642</v>
      </c>
      <c r="G313" s="577" t="s">
        <v>13</v>
      </c>
      <c r="H313" s="512">
        <f>I313+L313</f>
        <v>0</v>
      </c>
      <c r="I313" s="513">
        <f>J313+K313</f>
        <v>0</v>
      </c>
      <c r="J313" s="513">
        <v>0</v>
      </c>
      <c r="K313" s="513">
        <v>0</v>
      </c>
      <c r="L313" s="513">
        <f>M313+N313</f>
        <v>0</v>
      </c>
      <c r="M313" s="513">
        <v>0</v>
      </c>
      <c r="N313" s="513">
        <v>0</v>
      </c>
    </row>
    <row r="314" spans="1:14" s="545" customFormat="1" ht="14.25" customHeight="1">
      <c r="A314" s="1062"/>
      <c r="B314" s="1063"/>
      <c r="C314" s="1064"/>
      <c r="D314" s="1063"/>
      <c r="E314" s="568"/>
      <c r="F314" s="1060"/>
      <c r="G314" s="577" t="s">
        <v>14</v>
      </c>
      <c r="H314" s="512">
        <f>I314+L314</f>
        <v>406698</v>
      </c>
      <c r="I314" s="513">
        <f>J314+K314</f>
        <v>406698</v>
      </c>
      <c r="J314" s="513">
        <v>0</v>
      </c>
      <c r="K314" s="513">
        <v>406698</v>
      </c>
      <c r="L314" s="513">
        <f>M314+N314</f>
        <v>0</v>
      </c>
      <c r="M314" s="513">
        <v>0</v>
      </c>
      <c r="N314" s="513">
        <v>0</v>
      </c>
    </row>
    <row r="315" spans="1:14" s="454" customFormat="1" ht="14.25" customHeight="1">
      <c r="A315" s="1005"/>
      <c r="B315" s="1029"/>
      <c r="C315" s="1007"/>
      <c r="D315" s="1029"/>
      <c r="E315" s="567"/>
      <c r="F315" s="1061"/>
      <c r="G315" s="565" t="s">
        <v>15</v>
      </c>
      <c r="H315" s="541">
        <f>I315+L315</f>
        <v>406698</v>
      </c>
      <c r="I315" s="542">
        <f>J315+K315</f>
        <v>406698</v>
      </c>
      <c r="J315" s="542">
        <f>J313+J314</f>
        <v>0</v>
      </c>
      <c r="K315" s="542">
        <f>K313+K314</f>
        <v>406698</v>
      </c>
      <c r="L315" s="542">
        <f>M315+N315</f>
        <v>0</v>
      </c>
      <c r="M315" s="542">
        <f>M313+M314</f>
        <v>0</v>
      </c>
      <c r="N315" s="542">
        <f>N313+N314</f>
        <v>0</v>
      </c>
    </row>
    <row r="316" spans="1:14" s="535" customFormat="1" ht="3" customHeight="1">
      <c r="A316" s="529"/>
      <c r="B316" s="530"/>
      <c r="C316" s="530"/>
      <c r="D316" s="530"/>
      <c r="E316" s="530"/>
      <c r="F316" s="530"/>
      <c r="G316" s="531"/>
      <c r="H316" s="532"/>
      <c r="I316" s="533"/>
      <c r="J316" s="533"/>
      <c r="K316" s="533"/>
      <c r="L316" s="533"/>
      <c r="M316" s="533"/>
      <c r="N316" s="534"/>
    </row>
    <row r="317" spans="1:14" s="562" customFormat="1" ht="14.25" customHeight="1">
      <c r="A317" s="1046" t="s">
        <v>930</v>
      </c>
      <c r="B317" s="1047"/>
      <c r="C317" s="1047"/>
      <c r="D317" s="1047"/>
      <c r="E317" s="1047"/>
      <c r="F317" s="1048"/>
      <c r="G317" s="578" t="s">
        <v>13</v>
      </c>
      <c r="H317" s="560">
        <f>I317+L317</f>
        <v>6322700</v>
      </c>
      <c r="I317" s="561">
        <f>J317+K317</f>
        <v>3094700</v>
      </c>
      <c r="J317" s="561">
        <f aca="true" t="shared" si="70" ref="J317:K319">J321+J324</f>
        <v>0</v>
      </c>
      <c r="K317" s="561">
        <f t="shared" si="70"/>
        <v>3094700</v>
      </c>
      <c r="L317" s="561">
        <f>M317+N317</f>
        <v>3228000</v>
      </c>
      <c r="M317" s="561">
        <f aca="true" t="shared" si="71" ref="M317:N319">M321+M324</f>
        <v>0</v>
      </c>
      <c r="N317" s="561">
        <f t="shared" si="71"/>
        <v>3228000</v>
      </c>
    </row>
    <row r="318" spans="1:14" s="562" customFormat="1" ht="14.25" customHeight="1">
      <c r="A318" s="1049"/>
      <c r="B318" s="1050"/>
      <c r="C318" s="1050"/>
      <c r="D318" s="1050"/>
      <c r="E318" s="1050"/>
      <c r="F318" s="1051"/>
      <c r="G318" s="578" t="s">
        <v>14</v>
      </c>
      <c r="H318" s="560">
        <f>I318+L318</f>
        <v>2032091</v>
      </c>
      <c r="I318" s="561">
        <f>J318+K318</f>
        <v>2032091</v>
      </c>
      <c r="J318" s="561">
        <f t="shared" si="70"/>
        <v>0</v>
      </c>
      <c r="K318" s="561">
        <f t="shared" si="70"/>
        <v>2032091</v>
      </c>
      <c r="L318" s="561">
        <f>M318+N318</f>
        <v>0</v>
      </c>
      <c r="M318" s="561">
        <f t="shared" si="71"/>
        <v>0</v>
      </c>
      <c r="N318" s="561">
        <f t="shared" si="71"/>
        <v>0</v>
      </c>
    </row>
    <row r="319" spans="1:14" s="562" customFormat="1" ht="14.25" customHeight="1">
      <c r="A319" s="1052"/>
      <c r="B319" s="1053"/>
      <c r="C319" s="1053"/>
      <c r="D319" s="1053"/>
      <c r="E319" s="1053"/>
      <c r="F319" s="1054"/>
      <c r="G319" s="578" t="s">
        <v>15</v>
      </c>
      <c r="H319" s="560">
        <f>I319+L319</f>
        <v>8354791</v>
      </c>
      <c r="I319" s="561">
        <f>J319+K319</f>
        <v>5126791</v>
      </c>
      <c r="J319" s="561">
        <f t="shared" si="70"/>
        <v>0</v>
      </c>
      <c r="K319" s="561">
        <f t="shared" si="70"/>
        <v>5126791</v>
      </c>
      <c r="L319" s="561">
        <f>M319+N319</f>
        <v>3228000</v>
      </c>
      <c r="M319" s="561">
        <f t="shared" si="71"/>
        <v>0</v>
      </c>
      <c r="N319" s="561">
        <f t="shared" si="71"/>
        <v>3228000</v>
      </c>
    </row>
    <row r="320" spans="1:14" s="535" customFormat="1" ht="3.75" customHeight="1">
      <c r="A320" s="579"/>
      <c r="B320" s="530"/>
      <c r="C320" s="530"/>
      <c r="D320" s="530"/>
      <c r="E320" s="530"/>
      <c r="F320" s="530"/>
      <c r="G320" s="531"/>
      <c r="H320" s="532"/>
      <c r="I320" s="533"/>
      <c r="J320" s="533"/>
      <c r="K320" s="533"/>
      <c r="L320" s="533"/>
      <c r="M320" s="533"/>
      <c r="N320" s="534"/>
    </row>
    <row r="321" spans="1:14" s="454" customFormat="1" ht="14.25" customHeight="1">
      <c r="A321" s="1009" t="s">
        <v>220</v>
      </c>
      <c r="B321" s="1010"/>
      <c r="C321" s="1011" t="s">
        <v>924</v>
      </c>
      <c r="D321" s="1012"/>
      <c r="E321" s="565" t="s">
        <v>931</v>
      </c>
      <c r="F321" s="1056" t="s">
        <v>834</v>
      </c>
      <c r="G321" s="546" t="s">
        <v>13</v>
      </c>
      <c r="H321" s="541">
        <f aca="true" t="shared" si="72" ref="H321:H326">I321+L321</f>
        <v>3094700</v>
      </c>
      <c r="I321" s="542">
        <f aca="true" t="shared" si="73" ref="I321:I326">J321+K321</f>
        <v>3094700</v>
      </c>
      <c r="J321" s="542">
        <v>0</v>
      </c>
      <c r="K321" s="542">
        <f>755110+2339590</f>
        <v>3094700</v>
      </c>
      <c r="L321" s="542">
        <f aca="true" t="shared" si="74" ref="L321:L326">M321+N321</f>
        <v>0</v>
      </c>
      <c r="M321" s="542">
        <v>0</v>
      </c>
      <c r="N321" s="542">
        <v>0</v>
      </c>
    </row>
    <row r="322" spans="1:14" s="454" customFormat="1" ht="14.25" customHeight="1">
      <c r="A322" s="1005"/>
      <c r="B322" s="1028"/>
      <c r="C322" s="1007"/>
      <c r="D322" s="1028"/>
      <c r="E322" s="567"/>
      <c r="F322" s="1057"/>
      <c r="G322" s="546" t="s">
        <v>14</v>
      </c>
      <c r="H322" s="541">
        <f t="shared" si="72"/>
        <v>2032091</v>
      </c>
      <c r="I322" s="542">
        <f t="shared" si="73"/>
        <v>2032091</v>
      </c>
      <c r="J322" s="542">
        <v>0</v>
      </c>
      <c r="K322" s="542">
        <f>1202188+829903</f>
        <v>2032091</v>
      </c>
      <c r="L322" s="542">
        <f t="shared" si="74"/>
        <v>0</v>
      </c>
      <c r="M322" s="542">
        <v>0</v>
      </c>
      <c r="N322" s="542">
        <v>0</v>
      </c>
    </row>
    <row r="323" spans="1:14" s="454" customFormat="1" ht="14.25" customHeight="1">
      <c r="A323" s="1014"/>
      <c r="B323" s="1015"/>
      <c r="C323" s="1016"/>
      <c r="D323" s="1017"/>
      <c r="E323" s="569"/>
      <c r="F323" s="1058"/>
      <c r="G323" s="571" t="s">
        <v>15</v>
      </c>
      <c r="H323" s="512">
        <f t="shared" si="72"/>
        <v>5126791</v>
      </c>
      <c r="I323" s="513">
        <f t="shared" si="73"/>
        <v>5126791</v>
      </c>
      <c r="J323" s="513">
        <f>J321+J322</f>
        <v>0</v>
      </c>
      <c r="K323" s="513">
        <f>K321+K322</f>
        <v>5126791</v>
      </c>
      <c r="L323" s="513">
        <f t="shared" si="74"/>
        <v>0</v>
      </c>
      <c r="M323" s="513">
        <f>M321+M322</f>
        <v>0</v>
      </c>
      <c r="N323" s="513">
        <f>N321+N322</f>
        <v>0</v>
      </c>
    </row>
    <row r="324" spans="1:14" s="454" customFormat="1" ht="15" customHeight="1" hidden="1">
      <c r="A324" s="1009" t="s">
        <v>76</v>
      </c>
      <c r="B324" s="1055"/>
      <c r="C324" s="1011" t="s">
        <v>77</v>
      </c>
      <c r="D324" s="1012"/>
      <c r="E324" s="565" t="s">
        <v>515</v>
      </c>
      <c r="F324" s="1056" t="s">
        <v>932</v>
      </c>
      <c r="G324" s="546" t="s">
        <v>13</v>
      </c>
      <c r="H324" s="541">
        <f t="shared" si="72"/>
        <v>3228000</v>
      </c>
      <c r="I324" s="542">
        <f t="shared" si="73"/>
        <v>0</v>
      </c>
      <c r="J324" s="542">
        <v>0</v>
      </c>
      <c r="K324" s="542">
        <v>0</v>
      </c>
      <c r="L324" s="542">
        <f t="shared" si="74"/>
        <v>3228000</v>
      </c>
      <c r="M324" s="542">
        <v>0</v>
      </c>
      <c r="N324" s="542">
        <v>3228000</v>
      </c>
    </row>
    <row r="325" spans="1:14" s="454" customFormat="1" ht="15" customHeight="1" hidden="1">
      <c r="A325" s="1005"/>
      <c r="B325" s="1028"/>
      <c r="C325" s="1007"/>
      <c r="D325" s="1028"/>
      <c r="E325" s="567"/>
      <c r="F325" s="1057"/>
      <c r="G325" s="546" t="s">
        <v>14</v>
      </c>
      <c r="H325" s="541">
        <f t="shared" si="72"/>
        <v>0</v>
      </c>
      <c r="I325" s="542">
        <f t="shared" si="73"/>
        <v>0</v>
      </c>
      <c r="J325" s="542">
        <v>0</v>
      </c>
      <c r="K325" s="542">
        <v>0</v>
      </c>
      <c r="L325" s="542">
        <f t="shared" si="74"/>
        <v>0</v>
      </c>
      <c r="M325" s="542">
        <v>0</v>
      </c>
      <c r="N325" s="542">
        <v>0</v>
      </c>
    </row>
    <row r="326" spans="1:14" s="454" customFormat="1" ht="15" customHeight="1" hidden="1">
      <c r="A326" s="1005"/>
      <c r="B326" s="1006"/>
      <c r="C326" s="1007"/>
      <c r="D326" s="1008"/>
      <c r="E326" s="568"/>
      <c r="F326" s="1058"/>
      <c r="G326" s="544" t="s">
        <v>15</v>
      </c>
      <c r="H326" s="541">
        <f t="shared" si="72"/>
        <v>3228000</v>
      </c>
      <c r="I326" s="542">
        <f t="shared" si="73"/>
        <v>0</v>
      </c>
      <c r="J326" s="542">
        <f>J324+J325</f>
        <v>0</v>
      </c>
      <c r="K326" s="542">
        <f>K324+K325</f>
        <v>0</v>
      </c>
      <c r="L326" s="542">
        <f t="shared" si="74"/>
        <v>3228000</v>
      </c>
      <c r="M326" s="542">
        <f>M324+M325</f>
        <v>0</v>
      </c>
      <c r="N326" s="542">
        <f>N324+N325</f>
        <v>3228000</v>
      </c>
    </row>
    <row r="327" spans="1:14" s="535" customFormat="1" ht="5.25" customHeight="1">
      <c r="A327" s="529"/>
      <c r="B327" s="530"/>
      <c r="C327" s="530"/>
      <c r="D327" s="530"/>
      <c r="E327" s="530"/>
      <c r="F327" s="530"/>
      <c r="G327" s="531"/>
      <c r="H327" s="532"/>
      <c r="I327" s="533"/>
      <c r="J327" s="533"/>
      <c r="K327" s="533"/>
      <c r="L327" s="533"/>
      <c r="M327" s="533"/>
      <c r="N327" s="534"/>
    </row>
    <row r="328" spans="1:14" s="562" customFormat="1" ht="15" customHeight="1" hidden="1">
      <c r="A328" s="1046" t="s">
        <v>933</v>
      </c>
      <c r="B328" s="1047"/>
      <c r="C328" s="1047"/>
      <c r="D328" s="1047"/>
      <c r="E328" s="1047"/>
      <c r="F328" s="1048"/>
      <c r="G328" s="578" t="s">
        <v>13</v>
      </c>
      <c r="H328" s="560">
        <f>I328+L328</f>
        <v>580000</v>
      </c>
      <c r="I328" s="561">
        <f>J328+K328</f>
        <v>100000</v>
      </c>
      <c r="J328" s="561">
        <f aca="true" t="shared" si="75" ref="J328:K330">J332</f>
        <v>0</v>
      </c>
      <c r="K328" s="561">
        <f t="shared" si="75"/>
        <v>100000</v>
      </c>
      <c r="L328" s="561">
        <f>M328+N328</f>
        <v>480000</v>
      </c>
      <c r="M328" s="561">
        <f aca="true" t="shared" si="76" ref="M328:N330">M332</f>
        <v>0</v>
      </c>
      <c r="N328" s="561">
        <f t="shared" si="76"/>
        <v>480000</v>
      </c>
    </row>
    <row r="329" spans="1:14" s="562" customFormat="1" ht="15" customHeight="1" hidden="1">
      <c r="A329" s="1049"/>
      <c r="B329" s="1050"/>
      <c r="C329" s="1050"/>
      <c r="D329" s="1050"/>
      <c r="E329" s="1050"/>
      <c r="F329" s="1051"/>
      <c r="G329" s="578" t="s">
        <v>14</v>
      </c>
      <c r="H329" s="560">
        <f>I329+L329</f>
        <v>0</v>
      </c>
      <c r="I329" s="561">
        <f>J329+K329</f>
        <v>0</v>
      </c>
      <c r="J329" s="561">
        <f t="shared" si="75"/>
        <v>0</v>
      </c>
      <c r="K329" s="561">
        <f t="shared" si="75"/>
        <v>0</v>
      </c>
      <c r="L329" s="561">
        <f>M329+N329</f>
        <v>0</v>
      </c>
      <c r="M329" s="561">
        <f t="shared" si="76"/>
        <v>0</v>
      </c>
      <c r="N329" s="561">
        <f t="shared" si="76"/>
        <v>0</v>
      </c>
    </row>
    <row r="330" spans="1:14" s="562" customFormat="1" ht="15" customHeight="1" hidden="1">
      <c r="A330" s="1052"/>
      <c r="B330" s="1053"/>
      <c r="C330" s="1053"/>
      <c r="D330" s="1053"/>
      <c r="E330" s="1053"/>
      <c r="F330" s="1054"/>
      <c r="G330" s="578" t="s">
        <v>15</v>
      </c>
      <c r="H330" s="560">
        <f>I330+L330</f>
        <v>580000</v>
      </c>
      <c r="I330" s="561">
        <f>J330+K330</f>
        <v>100000</v>
      </c>
      <c r="J330" s="561">
        <f t="shared" si="75"/>
        <v>0</v>
      </c>
      <c r="K330" s="561">
        <f t="shared" si="75"/>
        <v>100000</v>
      </c>
      <c r="L330" s="561">
        <f>M330+N330</f>
        <v>480000</v>
      </c>
      <c r="M330" s="561">
        <f t="shared" si="76"/>
        <v>0</v>
      </c>
      <c r="N330" s="561">
        <f t="shared" si="76"/>
        <v>480000</v>
      </c>
    </row>
    <row r="331" spans="1:14" s="535" customFormat="1" ht="5.25" customHeight="1" hidden="1">
      <c r="A331" s="579"/>
      <c r="B331" s="530"/>
      <c r="C331" s="530"/>
      <c r="D331" s="530"/>
      <c r="E331" s="530"/>
      <c r="F331" s="530"/>
      <c r="G331" s="531"/>
      <c r="H331" s="532"/>
      <c r="I331" s="533"/>
      <c r="J331" s="533"/>
      <c r="K331" s="533"/>
      <c r="L331" s="533"/>
      <c r="M331" s="533"/>
      <c r="N331" s="534"/>
    </row>
    <row r="332" spans="1:14" s="545" customFormat="1" ht="15" customHeight="1" hidden="1">
      <c r="A332" s="991" t="s">
        <v>16</v>
      </c>
      <c r="B332" s="1013"/>
      <c r="C332" s="993" t="s">
        <v>96</v>
      </c>
      <c r="D332" s="994"/>
      <c r="E332" s="995" t="s">
        <v>934</v>
      </c>
      <c r="F332" s="996"/>
      <c r="G332" s="580" t="s">
        <v>13</v>
      </c>
      <c r="H332" s="541">
        <f>I332+L332</f>
        <v>580000</v>
      </c>
      <c r="I332" s="542">
        <f>J332+K332</f>
        <v>100000</v>
      </c>
      <c r="J332" s="542">
        <v>0</v>
      </c>
      <c r="K332" s="542">
        <v>100000</v>
      </c>
      <c r="L332" s="542">
        <f>M332+N332</f>
        <v>480000</v>
      </c>
      <c r="M332" s="542">
        <v>0</v>
      </c>
      <c r="N332" s="542">
        <v>480000</v>
      </c>
    </row>
    <row r="333" spans="1:14" s="545" customFormat="1" ht="15" customHeight="1" hidden="1">
      <c r="A333" s="1001"/>
      <c r="B333" s="1028"/>
      <c r="C333" s="1003"/>
      <c r="D333" s="1028"/>
      <c r="E333" s="997"/>
      <c r="F333" s="998"/>
      <c r="G333" s="580" t="s">
        <v>14</v>
      </c>
      <c r="H333" s="541">
        <f>I333+L333</f>
        <v>0</v>
      </c>
      <c r="I333" s="542">
        <f>J333+K333</f>
        <v>0</v>
      </c>
      <c r="J333" s="542">
        <v>0</v>
      </c>
      <c r="K333" s="542">
        <v>0</v>
      </c>
      <c r="L333" s="542">
        <f>M333+N333</f>
        <v>0</v>
      </c>
      <c r="M333" s="542">
        <v>0</v>
      </c>
      <c r="N333" s="542">
        <v>0</v>
      </c>
    </row>
    <row r="334" spans="1:14" s="454" customFormat="1" ht="15" customHeight="1" hidden="1">
      <c r="A334" s="1005"/>
      <c r="B334" s="1006"/>
      <c r="C334" s="1007"/>
      <c r="D334" s="1008"/>
      <c r="E334" s="999"/>
      <c r="F334" s="1000"/>
      <c r="G334" s="544" t="s">
        <v>15</v>
      </c>
      <c r="H334" s="541">
        <f>I334+L334</f>
        <v>580000</v>
      </c>
      <c r="I334" s="542">
        <f>J334+K334</f>
        <v>100000</v>
      </c>
      <c r="J334" s="542">
        <f>J332+J333</f>
        <v>0</v>
      </c>
      <c r="K334" s="542">
        <f>K332+K333</f>
        <v>100000</v>
      </c>
      <c r="L334" s="542">
        <f>M334+N334</f>
        <v>480000</v>
      </c>
      <c r="M334" s="542">
        <f>M332+M333</f>
        <v>0</v>
      </c>
      <c r="N334" s="542">
        <f>N332+N333</f>
        <v>480000</v>
      </c>
    </row>
    <row r="335" spans="1:14" s="535" customFormat="1" ht="3.75" customHeight="1" hidden="1">
      <c r="A335" s="529"/>
      <c r="B335" s="530"/>
      <c r="C335" s="530"/>
      <c r="D335" s="530"/>
      <c r="E335" s="530"/>
      <c r="F335" s="530"/>
      <c r="G335" s="531"/>
      <c r="H335" s="532"/>
      <c r="I335" s="533"/>
      <c r="J335" s="533"/>
      <c r="K335" s="533"/>
      <c r="L335" s="533"/>
      <c r="M335" s="533"/>
      <c r="N335" s="534"/>
    </row>
    <row r="336" spans="1:14" s="562" customFormat="1" ht="13.5" customHeight="1">
      <c r="A336" s="1037" t="s">
        <v>935</v>
      </c>
      <c r="B336" s="1038"/>
      <c r="C336" s="1038"/>
      <c r="D336" s="1038"/>
      <c r="E336" s="1038"/>
      <c r="F336" s="1039"/>
      <c r="G336" s="581" t="s">
        <v>13</v>
      </c>
      <c r="H336" s="525">
        <f>I336+L336</f>
        <v>103284044</v>
      </c>
      <c r="I336" s="525">
        <f>J336+K336</f>
        <v>52615089</v>
      </c>
      <c r="J336" s="525">
        <f aca="true" t="shared" si="77" ref="J336:K338">J340+J343+J346+J349+J352+J355+J358+J361+J364+J367+J370+J373+J376+J379+J382+J385+J388+J391+J394+J397+J400+J403+J406+J409+J412+J415+J418+J421+J424+J427+J430+J433+J436+J439+J442+J445+J448+J451+J454+J457+J460+J463+J466+J469+J472+J475+J478+J481+J484+J487+J490+J493+J496+J499+J502+J505+J508+J511+J514+J517+J520+J523+J526+J529+J532+J535+J538+J541+J544+J547+J550+J553+J556+J559+J562+J565+J568+J571+J574+J577+J580+J583+J586+J589+J592+J595+J598+J601+J604+J607+J610+J613+J616+J619+J622</f>
        <v>42021553</v>
      </c>
      <c r="K336" s="525">
        <f t="shared" si="77"/>
        <v>10593536</v>
      </c>
      <c r="L336" s="525">
        <f>M336+N336</f>
        <v>50668955</v>
      </c>
      <c r="M336" s="525">
        <f aca="true" t="shared" si="78" ref="M336:N338">M340+M343+M346+M349+M352+M355+M358+M361+M364+M367+M370+M373+M376+M379+M382+M385+M388+M391+M394+M397+M400+M403+M406+M409+M412+M415+M418+M421+M424+M427+M430+M433+M436+M439+M442+M445+M448+M451+M454+M457+M460+M463+M466+M469+M472+M475+M478+M481+M484+M487+M490+M493+M496+M499+M502+M505+M508+M511+M514+M517+M520+M523+M526+M529+M532+M535+M538+M541+M544+M547+M550+M553+M556+M559+M562+M565+M568+M571+M574+M577+M580+M583+M586+M589+M592+M595+M598+M601+M604+M607+M610+M613+M616+M619+M622</f>
        <v>50000</v>
      </c>
      <c r="N336" s="525">
        <f t="shared" si="78"/>
        <v>50618955</v>
      </c>
    </row>
    <row r="337" spans="1:14" s="562" customFormat="1" ht="13.5" customHeight="1">
      <c r="A337" s="1040"/>
      <c r="B337" s="1041"/>
      <c r="C337" s="1041"/>
      <c r="D337" s="1041"/>
      <c r="E337" s="1041"/>
      <c r="F337" s="1042"/>
      <c r="G337" s="581" t="s">
        <v>14</v>
      </c>
      <c r="H337" s="525">
        <f>I337+L337</f>
        <v>-2222450</v>
      </c>
      <c r="I337" s="525">
        <f>J337+K337</f>
        <v>-2272450</v>
      </c>
      <c r="J337" s="525">
        <f t="shared" si="77"/>
        <v>-1153979</v>
      </c>
      <c r="K337" s="525">
        <f t="shared" si="77"/>
        <v>-1118471</v>
      </c>
      <c r="L337" s="525">
        <f>M337+N337</f>
        <v>50000</v>
      </c>
      <c r="M337" s="525">
        <f t="shared" si="78"/>
        <v>50000</v>
      </c>
      <c r="N337" s="525">
        <f t="shared" si="78"/>
        <v>0</v>
      </c>
    </row>
    <row r="338" spans="1:14" s="562" customFormat="1" ht="13.5" customHeight="1">
      <c r="A338" s="1043"/>
      <c r="B338" s="1044"/>
      <c r="C338" s="1044"/>
      <c r="D338" s="1044"/>
      <c r="E338" s="1044"/>
      <c r="F338" s="1045"/>
      <c r="G338" s="581" t="s">
        <v>15</v>
      </c>
      <c r="H338" s="525">
        <f>I338+L338</f>
        <v>101061594</v>
      </c>
      <c r="I338" s="525">
        <f>J338+K338</f>
        <v>50342639</v>
      </c>
      <c r="J338" s="525">
        <f t="shared" si="77"/>
        <v>40867574</v>
      </c>
      <c r="K338" s="525">
        <f t="shared" si="77"/>
        <v>9475065</v>
      </c>
      <c r="L338" s="525">
        <f>M338+N338</f>
        <v>50718955</v>
      </c>
      <c r="M338" s="525">
        <f t="shared" si="78"/>
        <v>100000</v>
      </c>
      <c r="N338" s="525">
        <f t="shared" si="78"/>
        <v>50618955</v>
      </c>
    </row>
    <row r="339" spans="1:14" s="535" customFormat="1" ht="3.75" customHeight="1">
      <c r="A339" s="529"/>
      <c r="B339" s="530"/>
      <c r="C339" s="530"/>
      <c r="D339" s="530"/>
      <c r="E339" s="530"/>
      <c r="F339" s="530"/>
      <c r="G339" s="531"/>
      <c r="H339" s="532"/>
      <c r="I339" s="533"/>
      <c r="J339" s="533"/>
      <c r="K339" s="533"/>
      <c r="L339" s="533"/>
      <c r="M339" s="533"/>
      <c r="N339" s="534"/>
    </row>
    <row r="340" spans="1:14" s="545" customFormat="1" ht="15" customHeight="1" hidden="1">
      <c r="A340" s="991" t="s">
        <v>16</v>
      </c>
      <c r="B340" s="1013"/>
      <c r="C340" s="993" t="s">
        <v>94</v>
      </c>
      <c r="D340" s="994"/>
      <c r="E340" s="995" t="s">
        <v>936</v>
      </c>
      <c r="F340" s="996"/>
      <c r="G340" s="580" t="s">
        <v>13</v>
      </c>
      <c r="H340" s="541">
        <f aca="true" t="shared" si="79" ref="H340:H421">I340+L340</f>
        <v>1300000</v>
      </c>
      <c r="I340" s="542">
        <f aca="true" t="shared" si="80" ref="I340:I421">J340+K340</f>
        <v>0</v>
      </c>
      <c r="J340" s="542">
        <v>0</v>
      </c>
      <c r="K340" s="542">
        <v>0</v>
      </c>
      <c r="L340" s="542">
        <f aca="true" t="shared" si="81" ref="L340:L421">M340+N340</f>
        <v>1300000</v>
      </c>
      <c r="M340" s="542">
        <v>0</v>
      </c>
      <c r="N340" s="542">
        <v>1300000</v>
      </c>
    </row>
    <row r="341" spans="1:14" s="545" customFormat="1" ht="15" customHeight="1" hidden="1">
      <c r="A341" s="1001"/>
      <c r="B341" s="1028"/>
      <c r="C341" s="1003"/>
      <c r="D341" s="1028"/>
      <c r="E341" s="997"/>
      <c r="F341" s="998"/>
      <c r="G341" s="580" t="s">
        <v>14</v>
      </c>
      <c r="H341" s="541">
        <f t="shared" si="79"/>
        <v>0</v>
      </c>
      <c r="I341" s="542">
        <f t="shared" si="80"/>
        <v>0</v>
      </c>
      <c r="J341" s="542">
        <v>0</v>
      </c>
      <c r="K341" s="542">
        <v>0</v>
      </c>
      <c r="L341" s="542">
        <f t="shared" si="81"/>
        <v>0</v>
      </c>
      <c r="M341" s="542">
        <v>0</v>
      </c>
      <c r="N341" s="542">
        <v>0</v>
      </c>
    </row>
    <row r="342" spans="1:14" s="454" customFormat="1" ht="15" customHeight="1" hidden="1">
      <c r="A342" s="1005"/>
      <c r="B342" s="1006"/>
      <c r="C342" s="1007"/>
      <c r="D342" s="1008"/>
      <c r="E342" s="999"/>
      <c r="F342" s="1000"/>
      <c r="G342" s="544" t="s">
        <v>15</v>
      </c>
      <c r="H342" s="541">
        <f t="shared" si="79"/>
        <v>1300000</v>
      </c>
      <c r="I342" s="542">
        <f t="shared" si="80"/>
        <v>0</v>
      </c>
      <c r="J342" s="542">
        <f>J340+J341</f>
        <v>0</v>
      </c>
      <c r="K342" s="542">
        <f>K340+K341</f>
        <v>0</v>
      </c>
      <c r="L342" s="542">
        <f t="shared" si="81"/>
        <v>1300000</v>
      </c>
      <c r="M342" s="542">
        <f>M340+M341</f>
        <v>0</v>
      </c>
      <c r="N342" s="542">
        <f>N340+N341</f>
        <v>1300000</v>
      </c>
    </row>
    <row r="343" spans="1:14" s="454" customFormat="1" ht="15" customHeight="1" hidden="1">
      <c r="A343" s="1005"/>
      <c r="B343" s="1006"/>
      <c r="C343" s="1011" t="s">
        <v>18</v>
      </c>
      <c r="D343" s="1012"/>
      <c r="E343" s="995" t="s">
        <v>937</v>
      </c>
      <c r="F343" s="996"/>
      <c r="G343" s="580" t="s">
        <v>13</v>
      </c>
      <c r="H343" s="541">
        <f t="shared" si="79"/>
        <v>6000000</v>
      </c>
      <c r="I343" s="542">
        <f t="shared" si="80"/>
        <v>6000000</v>
      </c>
      <c r="J343" s="542">
        <v>6000000</v>
      </c>
      <c r="K343" s="542">
        <v>0</v>
      </c>
      <c r="L343" s="542">
        <f t="shared" si="81"/>
        <v>0</v>
      </c>
      <c r="M343" s="542">
        <v>0</v>
      </c>
      <c r="N343" s="542">
        <v>0</v>
      </c>
    </row>
    <row r="344" spans="1:14" s="454" customFormat="1" ht="15" customHeight="1" hidden="1">
      <c r="A344" s="1005"/>
      <c r="B344" s="1028"/>
      <c r="C344" s="1007"/>
      <c r="D344" s="1028"/>
      <c r="E344" s="997"/>
      <c r="F344" s="998"/>
      <c r="G344" s="580" t="s">
        <v>14</v>
      </c>
      <c r="H344" s="541">
        <f t="shared" si="79"/>
        <v>0</v>
      </c>
      <c r="I344" s="542">
        <f t="shared" si="80"/>
        <v>0</v>
      </c>
      <c r="J344" s="542">
        <v>0</v>
      </c>
      <c r="K344" s="542">
        <v>0</v>
      </c>
      <c r="L344" s="542">
        <f t="shared" si="81"/>
        <v>0</v>
      </c>
      <c r="M344" s="542">
        <v>0</v>
      </c>
      <c r="N344" s="542">
        <v>0</v>
      </c>
    </row>
    <row r="345" spans="1:14" s="454" customFormat="1" ht="15" customHeight="1" hidden="1">
      <c r="A345" s="1005"/>
      <c r="B345" s="1006"/>
      <c r="C345" s="1007"/>
      <c r="D345" s="1008"/>
      <c r="E345" s="999"/>
      <c r="F345" s="1000"/>
      <c r="G345" s="544" t="s">
        <v>15</v>
      </c>
      <c r="H345" s="541">
        <f t="shared" si="79"/>
        <v>6000000</v>
      </c>
      <c r="I345" s="542">
        <f t="shared" si="80"/>
        <v>6000000</v>
      </c>
      <c r="J345" s="542">
        <f>J343+J344</f>
        <v>6000000</v>
      </c>
      <c r="K345" s="542">
        <f>K343+K344</f>
        <v>0</v>
      </c>
      <c r="L345" s="542">
        <f t="shared" si="81"/>
        <v>0</v>
      </c>
      <c r="M345" s="542">
        <f>M343+M344</f>
        <v>0</v>
      </c>
      <c r="N345" s="542">
        <f>N343+N344</f>
        <v>0</v>
      </c>
    </row>
    <row r="346" spans="1:14" s="454" customFormat="1" ht="15" customHeight="1" hidden="1">
      <c r="A346" s="1005"/>
      <c r="B346" s="1006"/>
      <c r="C346" s="1011" t="s">
        <v>99</v>
      </c>
      <c r="D346" s="1012"/>
      <c r="E346" s="995" t="s">
        <v>938</v>
      </c>
      <c r="F346" s="996"/>
      <c r="G346" s="580" t="s">
        <v>13</v>
      </c>
      <c r="H346" s="512">
        <f t="shared" si="79"/>
        <v>50000</v>
      </c>
      <c r="I346" s="513">
        <f t="shared" si="80"/>
        <v>50000</v>
      </c>
      <c r="J346" s="513">
        <v>0</v>
      </c>
      <c r="K346" s="513">
        <v>50000</v>
      </c>
      <c r="L346" s="513">
        <f t="shared" si="81"/>
        <v>0</v>
      </c>
      <c r="M346" s="513">
        <v>0</v>
      </c>
      <c r="N346" s="513">
        <v>0</v>
      </c>
    </row>
    <row r="347" spans="1:14" s="454" customFormat="1" ht="15" customHeight="1" hidden="1">
      <c r="A347" s="1005"/>
      <c r="B347" s="1028"/>
      <c r="C347" s="1007"/>
      <c r="D347" s="1028"/>
      <c r="E347" s="997"/>
      <c r="F347" s="998"/>
      <c r="G347" s="580" t="s">
        <v>14</v>
      </c>
      <c r="H347" s="512">
        <f t="shared" si="79"/>
        <v>0</v>
      </c>
      <c r="I347" s="513">
        <f t="shared" si="80"/>
        <v>0</v>
      </c>
      <c r="J347" s="513">
        <v>0</v>
      </c>
      <c r="K347" s="513">
        <v>0</v>
      </c>
      <c r="L347" s="513">
        <f t="shared" si="81"/>
        <v>0</v>
      </c>
      <c r="M347" s="513">
        <v>0</v>
      </c>
      <c r="N347" s="513">
        <v>0</v>
      </c>
    </row>
    <row r="348" spans="1:14" s="454" customFormat="1" ht="15" customHeight="1" hidden="1">
      <c r="A348" s="1005"/>
      <c r="B348" s="1006"/>
      <c r="C348" s="1007"/>
      <c r="D348" s="1008"/>
      <c r="E348" s="999"/>
      <c r="F348" s="1000"/>
      <c r="G348" s="544" t="s">
        <v>15</v>
      </c>
      <c r="H348" s="541">
        <f t="shared" si="79"/>
        <v>50000</v>
      </c>
      <c r="I348" s="542">
        <f t="shared" si="80"/>
        <v>50000</v>
      </c>
      <c r="J348" s="542">
        <f>J346+J347</f>
        <v>0</v>
      </c>
      <c r="K348" s="542">
        <f>K346+K347</f>
        <v>50000</v>
      </c>
      <c r="L348" s="542">
        <f t="shared" si="81"/>
        <v>0</v>
      </c>
      <c r="M348" s="542">
        <f>M346+M347</f>
        <v>0</v>
      </c>
      <c r="N348" s="542">
        <f>N346+N347</f>
        <v>0</v>
      </c>
    </row>
    <row r="349" spans="1:14" s="545" customFormat="1" ht="15" customHeight="1" hidden="1">
      <c r="A349" s="991" t="s">
        <v>102</v>
      </c>
      <c r="B349" s="1013"/>
      <c r="C349" s="993" t="s">
        <v>195</v>
      </c>
      <c r="D349" s="994"/>
      <c r="E349" s="995" t="s">
        <v>939</v>
      </c>
      <c r="F349" s="996"/>
      <c r="G349" s="580" t="s">
        <v>13</v>
      </c>
      <c r="H349" s="512">
        <f t="shared" si="79"/>
        <v>2941937</v>
      </c>
      <c r="I349" s="513">
        <f t="shared" si="80"/>
        <v>2941937</v>
      </c>
      <c r="J349" s="513">
        <v>0</v>
      </c>
      <c r="K349" s="513">
        <v>2941937</v>
      </c>
      <c r="L349" s="513">
        <f t="shared" si="81"/>
        <v>0</v>
      </c>
      <c r="M349" s="513">
        <v>0</v>
      </c>
      <c r="N349" s="513">
        <v>0</v>
      </c>
    </row>
    <row r="350" spans="1:14" s="545" customFormat="1" ht="15" customHeight="1" hidden="1">
      <c r="A350" s="1001"/>
      <c r="B350" s="1028"/>
      <c r="C350" s="1003"/>
      <c r="D350" s="1028"/>
      <c r="E350" s="997"/>
      <c r="F350" s="998"/>
      <c r="G350" s="580" t="s">
        <v>14</v>
      </c>
      <c r="H350" s="512">
        <f t="shared" si="79"/>
        <v>0</v>
      </c>
      <c r="I350" s="513">
        <f t="shared" si="80"/>
        <v>0</v>
      </c>
      <c r="J350" s="513">
        <v>0</v>
      </c>
      <c r="K350" s="513">
        <v>0</v>
      </c>
      <c r="L350" s="513">
        <f t="shared" si="81"/>
        <v>0</v>
      </c>
      <c r="M350" s="513">
        <v>0</v>
      </c>
      <c r="N350" s="513">
        <v>0</v>
      </c>
    </row>
    <row r="351" spans="1:14" s="454" customFormat="1" ht="15" customHeight="1" hidden="1">
      <c r="A351" s="1005"/>
      <c r="B351" s="1006"/>
      <c r="C351" s="1007"/>
      <c r="D351" s="1008"/>
      <c r="E351" s="999"/>
      <c r="F351" s="1000"/>
      <c r="G351" s="544" t="s">
        <v>15</v>
      </c>
      <c r="H351" s="541">
        <f t="shared" si="79"/>
        <v>2941937</v>
      </c>
      <c r="I351" s="542">
        <f t="shared" si="80"/>
        <v>2941937</v>
      </c>
      <c r="J351" s="542">
        <f>J349+J350</f>
        <v>0</v>
      </c>
      <c r="K351" s="542">
        <f>K349+K350</f>
        <v>2941937</v>
      </c>
      <c r="L351" s="542">
        <f t="shared" si="81"/>
        <v>0</v>
      </c>
      <c r="M351" s="542">
        <f>M349+M350</f>
        <v>0</v>
      </c>
      <c r="N351" s="542">
        <f>N349+N350</f>
        <v>0</v>
      </c>
    </row>
    <row r="352" spans="1:14" s="454" customFormat="1" ht="15" customHeight="1" hidden="1">
      <c r="A352" s="1009" t="s">
        <v>19</v>
      </c>
      <c r="B352" s="1010"/>
      <c r="C352" s="1011" t="s">
        <v>111</v>
      </c>
      <c r="D352" s="1012"/>
      <c r="E352" s="995" t="s">
        <v>940</v>
      </c>
      <c r="F352" s="996"/>
      <c r="G352" s="580" t="s">
        <v>13</v>
      </c>
      <c r="H352" s="512">
        <f t="shared" si="79"/>
        <v>1300000</v>
      </c>
      <c r="I352" s="513">
        <f t="shared" si="80"/>
        <v>1300000</v>
      </c>
      <c r="J352" s="513">
        <v>0</v>
      </c>
      <c r="K352" s="513">
        <v>1300000</v>
      </c>
      <c r="L352" s="513">
        <f t="shared" si="81"/>
        <v>0</v>
      </c>
      <c r="M352" s="513">
        <v>0</v>
      </c>
      <c r="N352" s="513">
        <v>0</v>
      </c>
    </row>
    <row r="353" spans="1:14" s="454" customFormat="1" ht="15" customHeight="1" hidden="1">
      <c r="A353" s="1005"/>
      <c r="B353" s="1028"/>
      <c r="C353" s="1007"/>
      <c r="D353" s="1028"/>
      <c r="E353" s="997"/>
      <c r="F353" s="998"/>
      <c r="G353" s="580" t="s">
        <v>14</v>
      </c>
      <c r="H353" s="512">
        <f t="shared" si="79"/>
        <v>0</v>
      </c>
      <c r="I353" s="513">
        <f t="shared" si="80"/>
        <v>0</v>
      </c>
      <c r="J353" s="513">
        <v>0</v>
      </c>
      <c r="K353" s="513">
        <v>0</v>
      </c>
      <c r="L353" s="513">
        <f t="shared" si="81"/>
        <v>0</v>
      </c>
      <c r="M353" s="513">
        <v>0</v>
      </c>
      <c r="N353" s="513">
        <v>0</v>
      </c>
    </row>
    <row r="354" spans="1:14" s="454" customFormat="1" ht="15" customHeight="1" hidden="1">
      <c r="A354" s="1005"/>
      <c r="B354" s="1006"/>
      <c r="C354" s="1007"/>
      <c r="D354" s="1008"/>
      <c r="E354" s="999"/>
      <c r="F354" s="1000"/>
      <c r="G354" s="544" t="s">
        <v>15</v>
      </c>
      <c r="H354" s="541">
        <f t="shared" si="79"/>
        <v>1300000</v>
      </c>
      <c r="I354" s="542">
        <f t="shared" si="80"/>
        <v>1300000</v>
      </c>
      <c r="J354" s="542">
        <f>J352+J353</f>
        <v>0</v>
      </c>
      <c r="K354" s="542">
        <f>K352+K353</f>
        <v>1300000</v>
      </c>
      <c r="L354" s="542">
        <f t="shared" si="81"/>
        <v>0</v>
      </c>
      <c r="M354" s="542">
        <f>M352+M353</f>
        <v>0</v>
      </c>
      <c r="N354" s="542">
        <f>N352+N353</f>
        <v>0</v>
      </c>
    </row>
    <row r="355" spans="1:14" s="545" customFormat="1" ht="13.5" customHeight="1" hidden="1">
      <c r="A355" s="1001"/>
      <c r="B355" s="1002"/>
      <c r="C355" s="993" t="s">
        <v>49</v>
      </c>
      <c r="D355" s="994"/>
      <c r="E355" s="995" t="s">
        <v>941</v>
      </c>
      <c r="F355" s="996"/>
      <c r="G355" s="580" t="s">
        <v>13</v>
      </c>
      <c r="H355" s="512">
        <f t="shared" si="79"/>
        <v>37000000</v>
      </c>
      <c r="I355" s="513">
        <f t="shared" si="80"/>
        <v>823000</v>
      </c>
      <c r="J355" s="513">
        <v>0</v>
      </c>
      <c r="K355" s="513">
        <v>823000</v>
      </c>
      <c r="L355" s="513">
        <f t="shared" si="81"/>
        <v>36177000</v>
      </c>
      <c r="M355" s="513">
        <v>0</v>
      </c>
      <c r="N355" s="513">
        <v>36177000</v>
      </c>
    </row>
    <row r="356" spans="1:14" s="545" customFormat="1" ht="13.5" customHeight="1" hidden="1">
      <c r="A356" s="1001"/>
      <c r="B356" s="1028"/>
      <c r="C356" s="1003"/>
      <c r="D356" s="1028"/>
      <c r="E356" s="997"/>
      <c r="F356" s="998"/>
      <c r="G356" s="580" t="s">
        <v>14</v>
      </c>
      <c r="H356" s="512">
        <f t="shared" si="79"/>
        <v>0</v>
      </c>
      <c r="I356" s="513">
        <f t="shared" si="80"/>
        <v>0</v>
      </c>
      <c r="J356" s="513">
        <v>0</v>
      </c>
      <c r="K356" s="513">
        <v>0</v>
      </c>
      <c r="L356" s="513">
        <f t="shared" si="81"/>
        <v>0</v>
      </c>
      <c r="M356" s="513">
        <v>0</v>
      </c>
      <c r="N356" s="513">
        <v>0</v>
      </c>
    </row>
    <row r="357" spans="1:14" s="545" customFormat="1" ht="13.5" customHeight="1" hidden="1">
      <c r="A357" s="1001"/>
      <c r="B357" s="1028"/>
      <c r="C357" s="1003"/>
      <c r="D357" s="1028"/>
      <c r="E357" s="999"/>
      <c r="F357" s="1000"/>
      <c r="G357" s="580" t="s">
        <v>15</v>
      </c>
      <c r="H357" s="512">
        <f t="shared" si="79"/>
        <v>37000000</v>
      </c>
      <c r="I357" s="513">
        <f t="shared" si="80"/>
        <v>823000</v>
      </c>
      <c r="J357" s="513">
        <f>J355+J356</f>
        <v>0</v>
      </c>
      <c r="K357" s="513">
        <f>K355+K356</f>
        <v>823000</v>
      </c>
      <c r="L357" s="513">
        <f>M357+N357</f>
        <v>36177000</v>
      </c>
      <c r="M357" s="513">
        <f>M355+M356</f>
        <v>0</v>
      </c>
      <c r="N357" s="513">
        <f>N355+N356</f>
        <v>36177000</v>
      </c>
    </row>
    <row r="358" spans="1:14" s="545" customFormat="1" ht="15" customHeight="1" hidden="1">
      <c r="A358" s="1001"/>
      <c r="B358" s="1002"/>
      <c r="C358" s="993" t="s">
        <v>942</v>
      </c>
      <c r="D358" s="994"/>
      <c r="E358" s="995" t="s">
        <v>943</v>
      </c>
      <c r="F358" s="996"/>
      <c r="G358" s="580" t="s">
        <v>13</v>
      </c>
      <c r="H358" s="512">
        <f t="shared" si="79"/>
        <v>3712233</v>
      </c>
      <c r="I358" s="513">
        <f t="shared" si="80"/>
        <v>0</v>
      </c>
      <c r="J358" s="513">
        <v>0</v>
      </c>
      <c r="K358" s="513">
        <v>0</v>
      </c>
      <c r="L358" s="513">
        <f t="shared" si="81"/>
        <v>3712233</v>
      </c>
      <c r="M358" s="513">
        <v>0</v>
      </c>
      <c r="N358" s="513">
        <v>3712233</v>
      </c>
    </row>
    <row r="359" spans="1:14" s="545" customFormat="1" ht="15" customHeight="1" hidden="1">
      <c r="A359" s="1001"/>
      <c r="B359" s="1028"/>
      <c r="C359" s="1003"/>
      <c r="D359" s="1028"/>
      <c r="E359" s="997"/>
      <c r="F359" s="998"/>
      <c r="G359" s="580" t="s">
        <v>14</v>
      </c>
      <c r="H359" s="512">
        <f t="shared" si="79"/>
        <v>0</v>
      </c>
      <c r="I359" s="513">
        <f t="shared" si="80"/>
        <v>0</v>
      </c>
      <c r="J359" s="513">
        <v>0</v>
      </c>
      <c r="K359" s="513">
        <v>0</v>
      </c>
      <c r="L359" s="513">
        <f t="shared" si="81"/>
        <v>0</v>
      </c>
      <c r="M359" s="513">
        <v>0</v>
      </c>
      <c r="N359" s="513">
        <v>0</v>
      </c>
    </row>
    <row r="360" spans="1:14" s="454" customFormat="1" ht="15" customHeight="1" hidden="1">
      <c r="A360" s="1005"/>
      <c r="B360" s="1006"/>
      <c r="C360" s="1007"/>
      <c r="D360" s="1008"/>
      <c r="E360" s="999"/>
      <c r="F360" s="1000"/>
      <c r="G360" s="544" t="s">
        <v>15</v>
      </c>
      <c r="H360" s="541">
        <f t="shared" si="79"/>
        <v>3712233</v>
      </c>
      <c r="I360" s="542">
        <f t="shared" si="80"/>
        <v>0</v>
      </c>
      <c r="J360" s="542">
        <f>J358+J359</f>
        <v>0</v>
      </c>
      <c r="K360" s="542">
        <f>K358+K359</f>
        <v>0</v>
      </c>
      <c r="L360" s="542">
        <f t="shared" si="81"/>
        <v>3712233</v>
      </c>
      <c r="M360" s="542">
        <f>M358+M359</f>
        <v>0</v>
      </c>
      <c r="N360" s="542">
        <f>N358+N359</f>
        <v>3712233</v>
      </c>
    </row>
    <row r="361" spans="1:14" s="545" customFormat="1" ht="18" customHeight="1">
      <c r="A361" s="1001" t="s">
        <v>19</v>
      </c>
      <c r="B361" s="1002"/>
      <c r="C361" s="993" t="s">
        <v>21</v>
      </c>
      <c r="D361" s="994"/>
      <c r="E361" s="995" t="s">
        <v>944</v>
      </c>
      <c r="F361" s="996"/>
      <c r="G361" s="577" t="s">
        <v>13</v>
      </c>
      <c r="H361" s="512">
        <f t="shared" si="79"/>
        <v>0</v>
      </c>
      <c r="I361" s="513">
        <f t="shared" si="80"/>
        <v>0</v>
      </c>
      <c r="J361" s="513">
        <v>0</v>
      </c>
      <c r="K361" s="513">
        <v>0</v>
      </c>
      <c r="L361" s="513">
        <f t="shared" si="81"/>
        <v>0</v>
      </c>
      <c r="M361" s="513">
        <v>0</v>
      </c>
      <c r="N361" s="513">
        <v>0</v>
      </c>
    </row>
    <row r="362" spans="1:14" s="545" customFormat="1" ht="18" customHeight="1">
      <c r="A362" s="1001"/>
      <c r="B362" s="1028"/>
      <c r="C362" s="1003"/>
      <c r="D362" s="1028"/>
      <c r="E362" s="997"/>
      <c r="F362" s="998"/>
      <c r="G362" s="577" t="s">
        <v>14</v>
      </c>
      <c r="H362" s="512">
        <f t="shared" si="79"/>
        <v>76774</v>
      </c>
      <c r="I362" s="513">
        <f t="shared" si="80"/>
        <v>76774</v>
      </c>
      <c r="J362" s="513">
        <v>76774</v>
      </c>
      <c r="K362" s="513">
        <v>0</v>
      </c>
      <c r="L362" s="513">
        <f t="shared" si="81"/>
        <v>0</v>
      </c>
      <c r="M362" s="513">
        <v>0</v>
      </c>
      <c r="N362" s="513">
        <v>0</v>
      </c>
    </row>
    <row r="363" spans="1:14" s="454" customFormat="1" ht="18" customHeight="1">
      <c r="A363" s="1005"/>
      <c r="B363" s="1029"/>
      <c r="C363" s="1007"/>
      <c r="D363" s="1029"/>
      <c r="E363" s="999"/>
      <c r="F363" s="1000"/>
      <c r="G363" s="565" t="s">
        <v>15</v>
      </c>
      <c r="H363" s="541">
        <f t="shared" si="79"/>
        <v>76774</v>
      </c>
      <c r="I363" s="542">
        <f t="shared" si="80"/>
        <v>76774</v>
      </c>
      <c r="J363" s="542">
        <f>J361+J362</f>
        <v>76774</v>
      </c>
      <c r="K363" s="542">
        <f>K361+K362</f>
        <v>0</v>
      </c>
      <c r="L363" s="542">
        <f t="shared" si="81"/>
        <v>0</v>
      </c>
      <c r="M363" s="542">
        <f>M361+M362</f>
        <v>0</v>
      </c>
      <c r="N363" s="542">
        <f>N361+N362</f>
        <v>0</v>
      </c>
    </row>
    <row r="364" spans="1:14" s="545" customFormat="1" ht="19.5" customHeight="1" hidden="1">
      <c r="A364" s="1001"/>
      <c r="B364" s="1002"/>
      <c r="C364" s="993" t="s">
        <v>78</v>
      </c>
      <c r="D364" s="994"/>
      <c r="E364" s="995" t="s">
        <v>945</v>
      </c>
      <c r="F364" s="996"/>
      <c r="G364" s="580" t="s">
        <v>13</v>
      </c>
      <c r="H364" s="512">
        <f t="shared" si="79"/>
        <v>4800000</v>
      </c>
      <c r="I364" s="513">
        <f t="shared" si="80"/>
        <v>4800000</v>
      </c>
      <c r="J364" s="513">
        <v>4800000</v>
      </c>
      <c r="K364" s="513">
        <v>0</v>
      </c>
      <c r="L364" s="513">
        <f t="shared" si="81"/>
        <v>0</v>
      </c>
      <c r="M364" s="513">
        <v>0</v>
      </c>
      <c r="N364" s="513">
        <v>0</v>
      </c>
    </row>
    <row r="365" spans="1:14" s="545" customFormat="1" ht="19.5" customHeight="1" hidden="1">
      <c r="A365" s="1001"/>
      <c r="B365" s="1028"/>
      <c r="C365" s="1003"/>
      <c r="D365" s="1028"/>
      <c r="E365" s="997"/>
      <c r="F365" s="998"/>
      <c r="G365" s="580" t="s">
        <v>14</v>
      </c>
      <c r="H365" s="512">
        <f t="shared" si="79"/>
        <v>0</v>
      </c>
      <c r="I365" s="513">
        <f t="shared" si="80"/>
        <v>0</v>
      </c>
      <c r="J365" s="513">
        <v>0</v>
      </c>
      <c r="K365" s="513">
        <v>0</v>
      </c>
      <c r="L365" s="513">
        <f t="shared" si="81"/>
        <v>0</v>
      </c>
      <c r="M365" s="513">
        <v>0</v>
      </c>
      <c r="N365" s="513">
        <v>0</v>
      </c>
    </row>
    <row r="366" spans="1:14" s="545" customFormat="1" ht="19.5" customHeight="1" hidden="1">
      <c r="A366" s="1001"/>
      <c r="B366" s="1028"/>
      <c r="C366" s="1003"/>
      <c r="D366" s="1028"/>
      <c r="E366" s="999"/>
      <c r="F366" s="1000"/>
      <c r="G366" s="580" t="s">
        <v>15</v>
      </c>
      <c r="H366" s="512">
        <f t="shared" si="79"/>
        <v>4800000</v>
      </c>
      <c r="I366" s="513">
        <f t="shared" si="80"/>
        <v>4800000</v>
      </c>
      <c r="J366" s="513">
        <f>J364+J365</f>
        <v>4800000</v>
      </c>
      <c r="K366" s="513">
        <f>K364+K365</f>
        <v>0</v>
      </c>
      <c r="L366" s="513">
        <f t="shared" si="81"/>
        <v>0</v>
      </c>
      <c r="M366" s="513">
        <f>M364+M365</f>
        <v>0</v>
      </c>
      <c r="N366" s="513">
        <f>N364+N365</f>
        <v>0</v>
      </c>
    </row>
    <row r="367" spans="1:14" s="545" customFormat="1" ht="15" customHeight="1">
      <c r="A367" s="1001"/>
      <c r="B367" s="1002"/>
      <c r="C367" s="993" t="s">
        <v>78</v>
      </c>
      <c r="D367" s="994"/>
      <c r="E367" s="995" t="s">
        <v>946</v>
      </c>
      <c r="F367" s="996"/>
      <c r="G367" s="580" t="s">
        <v>13</v>
      </c>
      <c r="H367" s="512">
        <f t="shared" si="79"/>
        <v>1750000</v>
      </c>
      <c r="I367" s="513">
        <f t="shared" si="80"/>
        <v>1750000</v>
      </c>
      <c r="J367" s="513">
        <v>1750000</v>
      </c>
      <c r="K367" s="513">
        <v>0</v>
      </c>
      <c r="L367" s="513">
        <f t="shared" si="81"/>
        <v>0</v>
      </c>
      <c r="M367" s="513">
        <v>0</v>
      </c>
      <c r="N367" s="513">
        <v>0</v>
      </c>
    </row>
    <row r="368" spans="1:14" s="545" customFormat="1" ht="15" customHeight="1">
      <c r="A368" s="1001"/>
      <c r="B368" s="1028"/>
      <c r="C368" s="1003"/>
      <c r="D368" s="1028"/>
      <c r="E368" s="997"/>
      <c r="F368" s="998"/>
      <c r="G368" s="580" t="s">
        <v>14</v>
      </c>
      <c r="H368" s="512">
        <f t="shared" si="79"/>
        <v>-289987</v>
      </c>
      <c r="I368" s="513">
        <f t="shared" si="80"/>
        <v>-289987</v>
      </c>
      <c r="J368" s="513">
        <v>-289987</v>
      </c>
      <c r="K368" s="513">
        <v>0</v>
      </c>
      <c r="L368" s="513">
        <f t="shared" si="81"/>
        <v>0</v>
      </c>
      <c r="M368" s="513">
        <v>0</v>
      </c>
      <c r="N368" s="513">
        <v>0</v>
      </c>
    </row>
    <row r="369" spans="1:14" s="454" customFormat="1" ht="15" customHeight="1">
      <c r="A369" s="1005"/>
      <c r="B369" s="1006"/>
      <c r="C369" s="1007"/>
      <c r="D369" s="1008"/>
      <c r="E369" s="999"/>
      <c r="F369" s="1000"/>
      <c r="G369" s="544" t="s">
        <v>15</v>
      </c>
      <c r="H369" s="541">
        <f>I369+L369</f>
        <v>1460013</v>
      </c>
      <c r="I369" s="542">
        <f>J369+K369</f>
        <v>1460013</v>
      </c>
      <c r="J369" s="542">
        <f>J367+J368</f>
        <v>1460013</v>
      </c>
      <c r="K369" s="542">
        <f>K367+K368</f>
        <v>0</v>
      </c>
      <c r="L369" s="542">
        <f>M369+N369</f>
        <v>0</v>
      </c>
      <c r="M369" s="542">
        <f>M367+M368</f>
        <v>0</v>
      </c>
      <c r="N369" s="542">
        <f>N367+N368</f>
        <v>0</v>
      </c>
    </row>
    <row r="370" spans="1:14" s="545" customFormat="1" ht="15" customHeight="1" hidden="1">
      <c r="A370" s="1001"/>
      <c r="B370" s="1002"/>
      <c r="C370" s="993" t="s">
        <v>45</v>
      </c>
      <c r="D370" s="994"/>
      <c r="E370" s="995" t="s">
        <v>947</v>
      </c>
      <c r="F370" s="996"/>
      <c r="G370" s="580" t="s">
        <v>13</v>
      </c>
      <c r="H370" s="512">
        <f t="shared" si="79"/>
        <v>150000</v>
      </c>
      <c r="I370" s="513">
        <f t="shared" si="80"/>
        <v>150000</v>
      </c>
      <c r="J370" s="513">
        <v>150000</v>
      </c>
      <c r="K370" s="513">
        <v>0</v>
      </c>
      <c r="L370" s="513">
        <f t="shared" si="81"/>
        <v>0</v>
      </c>
      <c r="M370" s="513">
        <v>0</v>
      </c>
      <c r="N370" s="513">
        <v>0</v>
      </c>
    </row>
    <row r="371" spans="1:14" s="545" customFormat="1" ht="15" customHeight="1" hidden="1">
      <c r="A371" s="1001"/>
      <c r="B371" s="1028"/>
      <c r="C371" s="1003"/>
      <c r="D371" s="1028"/>
      <c r="E371" s="997"/>
      <c r="F371" s="998"/>
      <c r="G371" s="580" t="s">
        <v>14</v>
      </c>
      <c r="H371" s="512">
        <f t="shared" si="79"/>
        <v>0</v>
      </c>
      <c r="I371" s="513">
        <f t="shared" si="80"/>
        <v>0</v>
      </c>
      <c r="J371" s="513">
        <v>0</v>
      </c>
      <c r="K371" s="513">
        <v>0</v>
      </c>
      <c r="L371" s="513">
        <f t="shared" si="81"/>
        <v>0</v>
      </c>
      <c r="M371" s="513">
        <v>0</v>
      </c>
      <c r="N371" s="513">
        <v>0</v>
      </c>
    </row>
    <row r="372" spans="1:14" s="454" customFormat="1" ht="15" customHeight="1" hidden="1">
      <c r="A372" s="1005"/>
      <c r="B372" s="1006"/>
      <c r="C372" s="1007"/>
      <c r="D372" s="1008"/>
      <c r="E372" s="999"/>
      <c r="F372" s="1000"/>
      <c r="G372" s="544" t="s">
        <v>15</v>
      </c>
      <c r="H372" s="541">
        <f>I372+L372</f>
        <v>150000</v>
      </c>
      <c r="I372" s="542">
        <f>J372+K372</f>
        <v>150000</v>
      </c>
      <c r="J372" s="542">
        <f>J370+J371</f>
        <v>150000</v>
      </c>
      <c r="K372" s="542">
        <f>K370+K371</f>
        <v>0</v>
      </c>
      <c r="L372" s="542">
        <f>M372+N372</f>
        <v>0</v>
      </c>
      <c r="M372" s="542">
        <f>M370+M371</f>
        <v>0</v>
      </c>
      <c r="N372" s="542">
        <f>N370+N371</f>
        <v>0</v>
      </c>
    </row>
    <row r="373" spans="1:14" s="545" customFormat="1" ht="15" customHeight="1" hidden="1">
      <c r="A373" s="1001"/>
      <c r="B373" s="1002"/>
      <c r="C373" s="993" t="s">
        <v>51</v>
      </c>
      <c r="D373" s="994"/>
      <c r="E373" s="995" t="s">
        <v>948</v>
      </c>
      <c r="F373" s="996"/>
      <c r="G373" s="580" t="s">
        <v>13</v>
      </c>
      <c r="H373" s="512">
        <f t="shared" si="79"/>
        <v>50000</v>
      </c>
      <c r="I373" s="513">
        <f t="shared" si="80"/>
        <v>50000</v>
      </c>
      <c r="J373" s="513">
        <v>0</v>
      </c>
      <c r="K373" s="513">
        <v>50000</v>
      </c>
      <c r="L373" s="513">
        <f t="shared" si="81"/>
        <v>0</v>
      </c>
      <c r="M373" s="513">
        <v>0</v>
      </c>
      <c r="N373" s="513">
        <v>0</v>
      </c>
    </row>
    <row r="374" spans="1:14" s="545" customFormat="1" ht="15" customHeight="1" hidden="1">
      <c r="A374" s="1001"/>
      <c r="B374" s="1028"/>
      <c r="C374" s="1003"/>
      <c r="D374" s="1028"/>
      <c r="E374" s="997"/>
      <c r="F374" s="998"/>
      <c r="G374" s="580" t="s">
        <v>14</v>
      </c>
      <c r="H374" s="512">
        <f t="shared" si="79"/>
        <v>0</v>
      </c>
      <c r="I374" s="513">
        <f t="shared" si="80"/>
        <v>0</v>
      </c>
      <c r="J374" s="513">
        <v>0</v>
      </c>
      <c r="K374" s="513">
        <v>0</v>
      </c>
      <c r="L374" s="513">
        <f t="shared" si="81"/>
        <v>0</v>
      </c>
      <c r="M374" s="513">
        <v>0</v>
      </c>
      <c r="N374" s="513">
        <v>0</v>
      </c>
    </row>
    <row r="375" spans="1:14" s="454" customFormat="1" ht="15" customHeight="1" hidden="1">
      <c r="A375" s="1005"/>
      <c r="B375" s="1006"/>
      <c r="C375" s="1007"/>
      <c r="D375" s="1008"/>
      <c r="E375" s="999"/>
      <c r="F375" s="1000"/>
      <c r="G375" s="544" t="s">
        <v>15</v>
      </c>
      <c r="H375" s="541">
        <f>I375+L375</f>
        <v>50000</v>
      </c>
      <c r="I375" s="542">
        <f>J375+K375</f>
        <v>50000</v>
      </c>
      <c r="J375" s="542">
        <f>J373+J374</f>
        <v>0</v>
      </c>
      <c r="K375" s="542">
        <f>K373+K374</f>
        <v>50000</v>
      </c>
      <c r="L375" s="542">
        <f>M375+N375</f>
        <v>0</v>
      </c>
      <c r="M375" s="542">
        <f>M373+M374</f>
        <v>0</v>
      </c>
      <c r="N375" s="542">
        <f>N373+N374</f>
        <v>0</v>
      </c>
    </row>
    <row r="376" spans="1:14" s="454" customFormat="1" ht="15" customHeight="1" hidden="1">
      <c r="A376" s="1009" t="s">
        <v>68</v>
      </c>
      <c r="B376" s="1010"/>
      <c r="C376" s="1011" t="s">
        <v>118</v>
      </c>
      <c r="D376" s="1012"/>
      <c r="E376" s="995" t="s">
        <v>949</v>
      </c>
      <c r="F376" s="996"/>
      <c r="G376" s="580" t="s">
        <v>13</v>
      </c>
      <c r="H376" s="541">
        <f t="shared" si="79"/>
        <v>150000</v>
      </c>
      <c r="I376" s="542">
        <f t="shared" si="80"/>
        <v>0</v>
      </c>
      <c r="J376" s="542">
        <v>0</v>
      </c>
      <c r="K376" s="542">
        <v>0</v>
      </c>
      <c r="L376" s="542">
        <f t="shared" si="81"/>
        <v>150000</v>
      </c>
      <c r="M376" s="542">
        <v>0</v>
      </c>
      <c r="N376" s="542">
        <v>150000</v>
      </c>
    </row>
    <row r="377" spans="1:14" s="454" customFormat="1" ht="15" customHeight="1" hidden="1">
      <c r="A377" s="1005"/>
      <c r="B377" s="1028"/>
      <c r="C377" s="1007"/>
      <c r="D377" s="1028"/>
      <c r="E377" s="997"/>
      <c r="F377" s="998"/>
      <c r="G377" s="580" t="s">
        <v>14</v>
      </c>
      <c r="H377" s="541">
        <f t="shared" si="79"/>
        <v>0</v>
      </c>
      <c r="I377" s="542">
        <f t="shared" si="80"/>
        <v>0</v>
      </c>
      <c r="J377" s="542">
        <v>0</v>
      </c>
      <c r="K377" s="542">
        <v>0</v>
      </c>
      <c r="L377" s="542">
        <f t="shared" si="81"/>
        <v>0</v>
      </c>
      <c r="M377" s="542">
        <v>0</v>
      </c>
      <c r="N377" s="542">
        <v>0</v>
      </c>
    </row>
    <row r="378" spans="1:14" s="454" customFormat="1" ht="15" customHeight="1" hidden="1">
      <c r="A378" s="1005"/>
      <c r="B378" s="1006"/>
      <c r="C378" s="1007"/>
      <c r="D378" s="1008"/>
      <c r="E378" s="999"/>
      <c r="F378" s="1000"/>
      <c r="G378" s="544" t="s">
        <v>15</v>
      </c>
      <c r="H378" s="541">
        <f>I378+L378</f>
        <v>150000</v>
      </c>
      <c r="I378" s="542">
        <f>J378+K378</f>
        <v>0</v>
      </c>
      <c r="J378" s="542">
        <f>J376+J377</f>
        <v>0</v>
      </c>
      <c r="K378" s="542">
        <f>K376+K377</f>
        <v>0</v>
      </c>
      <c r="L378" s="542">
        <f>M378+N378</f>
        <v>150000</v>
      </c>
      <c r="M378" s="542">
        <f>M376+M377</f>
        <v>0</v>
      </c>
      <c r="N378" s="542">
        <f>N376+N377</f>
        <v>150000</v>
      </c>
    </row>
    <row r="379" spans="1:14" s="454" customFormat="1" ht="15" customHeight="1">
      <c r="A379" s="1009" t="s">
        <v>70</v>
      </c>
      <c r="B379" s="1010"/>
      <c r="C379" s="1011" t="s">
        <v>72</v>
      </c>
      <c r="D379" s="1012"/>
      <c r="E379" s="995" t="s">
        <v>321</v>
      </c>
      <c r="F379" s="996"/>
      <c r="G379" s="580" t="s">
        <v>13</v>
      </c>
      <c r="H379" s="512">
        <f t="shared" si="79"/>
        <v>781572</v>
      </c>
      <c r="I379" s="513">
        <f t="shared" si="80"/>
        <v>781572</v>
      </c>
      <c r="J379" s="513">
        <v>781572</v>
      </c>
      <c r="K379" s="513">
        <v>0</v>
      </c>
      <c r="L379" s="513">
        <f t="shared" si="81"/>
        <v>0</v>
      </c>
      <c r="M379" s="513">
        <v>0</v>
      </c>
      <c r="N379" s="513">
        <v>0</v>
      </c>
    </row>
    <row r="380" spans="1:14" s="454" customFormat="1" ht="15" customHeight="1">
      <c r="A380" s="1005"/>
      <c r="B380" s="1028"/>
      <c r="C380" s="1007"/>
      <c r="D380" s="1028"/>
      <c r="E380" s="997"/>
      <c r="F380" s="998"/>
      <c r="G380" s="580" t="s">
        <v>14</v>
      </c>
      <c r="H380" s="512">
        <f t="shared" si="79"/>
        <v>-238400</v>
      </c>
      <c r="I380" s="513">
        <f t="shared" si="80"/>
        <v>-238400</v>
      </c>
      <c r="J380" s="513">
        <v>-238400</v>
      </c>
      <c r="K380" s="513">
        <v>0</v>
      </c>
      <c r="L380" s="513">
        <f t="shared" si="81"/>
        <v>0</v>
      </c>
      <c r="M380" s="513">
        <v>0</v>
      </c>
      <c r="N380" s="513">
        <v>0</v>
      </c>
    </row>
    <row r="381" spans="1:14" s="454" customFormat="1" ht="15" customHeight="1">
      <c r="A381" s="1005"/>
      <c r="B381" s="1006"/>
      <c r="C381" s="1007"/>
      <c r="D381" s="1008"/>
      <c r="E381" s="999"/>
      <c r="F381" s="1000"/>
      <c r="G381" s="544" t="s">
        <v>15</v>
      </c>
      <c r="H381" s="541">
        <f>I381+L381</f>
        <v>543172</v>
      </c>
      <c r="I381" s="542">
        <f>J381+K381</f>
        <v>543172</v>
      </c>
      <c r="J381" s="542">
        <f>J379+J380</f>
        <v>543172</v>
      </c>
      <c r="K381" s="542">
        <f>K379+K380</f>
        <v>0</v>
      </c>
      <c r="L381" s="542">
        <f>M381+N381</f>
        <v>0</v>
      </c>
      <c r="M381" s="542">
        <f>M379+M380</f>
        <v>0</v>
      </c>
      <c r="N381" s="542">
        <f>N379+N380</f>
        <v>0</v>
      </c>
    </row>
    <row r="382" spans="1:14" s="454" customFormat="1" ht="15" customHeight="1" hidden="1">
      <c r="A382" s="1009" t="s">
        <v>206</v>
      </c>
      <c r="B382" s="1010"/>
      <c r="C382" s="1011" t="s">
        <v>208</v>
      </c>
      <c r="D382" s="1012"/>
      <c r="E382" s="995" t="s">
        <v>950</v>
      </c>
      <c r="F382" s="996"/>
      <c r="G382" s="580" t="s">
        <v>13</v>
      </c>
      <c r="H382" s="512">
        <f t="shared" si="79"/>
        <v>200000</v>
      </c>
      <c r="I382" s="513">
        <f t="shared" si="80"/>
        <v>200000</v>
      </c>
      <c r="J382" s="513">
        <v>0</v>
      </c>
      <c r="K382" s="513">
        <v>200000</v>
      </c>
      <c r="L382" s="513">
        <f t="shared" si="81"/>
        <v>0</v>
      </c>
      <c r="M382" s="513">
        <v>0</v>
      </c>
      <c r="N382" s="513">
        <v>0</v>
      </c>
    </row>
    <row r="383" spans="1:14" s="454" customFormat="1" ht="15" customHeight="1" hidden="1">
      <c r="A383" s="1005"/>
      <c r="B383" s="1028"/>
      <c r="C383" s="1007"/>
      <c r="D383" s="1028"/>
      <c r="E383" s="997"/>
      <c r="F383" s="998"/>
      <c r="G383" s="580" t="s">
        <v>14</v>
      </c>
      <c r="H383" s="512">
        <f t="shared" si="79"/>
        <v>0</v>
      </c>
      <c r="I383" s="513">
        <f t="shared" si="80"/>
        <v>0</v>
      </c>
      <c r="J383" s="513">
        <v>0</v>
      </c>
      <c r="K383" s="513">
        <v>0</v>
      </c>
      <c r="L383" s="513">
        <f t="shared" si="81"/>
        <v>0</v>
      </c>
      <c r="M383" s="513">
        <v>0</v>
      </c>
      <c r="N383" s="513">
        <v>0</v>
      </c>
    </row>
    <row r="384" spans="1:14" s="454" customFormat="1" ht="15" customHeight="1" hidden="1">
      <c r="A384" s="1005"/>
      <c r="B384" s="1006"/>
      <c r="C384" s="1007"/>
      <c r="D384" s="1008"/>
      <c r="E384" s="999"/>
      <c r="F384" s="1000"/>
      <c r="G384" s="544" t="s">
        <v>15</v>
      </c>
      <c r="H384" s="541">
        <f>I384+L384</f>
        <v>200000</v>
      </c>
      <c r="I384" s="542">
        <f>J384+K384</f>
        <v>200000</v>
      </c>
      <c r="J384" s="542">
        <f>J382+J383</f>
        <v>0</v>
      </c>
      <c r="K384" s="542">
        <f>K382+K383</f>
        <v>200000</v>
      </c>
      <c r="L384" s="542">
        <f>M384+N384</f>
        <v>0</v>
      </c>
      <c r="M384" s="542">
        <f>M382+M383</f>
        <v>0</v>
      </c>
      <c r="N384" s="542">
        <f>N382+N383</f>
        <v>0</v>
      </c>
    </row>
    <row r="385" spans="1:14" s="545" customFormat="1" ht="15" customHeight="1" hidden="1">
      <c r="A385" s="1001"/>
      <c r="B385" s="1002"/>
      <c r="C385" s="993" t="s">
        <v>210</v>
      </c>
      <c r="D385" s="994"/>
      <c r="E385" s="995" t="s">
        <v>951</v>
      </c>
      <c r="F385" s="996"/>
      <c r="G385" s="580" t="s">
        <v>13</v>
      </c>
      <c r="H385" s="512">
        <f t="shared" si="79"/>
        <v>3541050</v>
      </c>
      <c r="I385" s="513">
        <f t="shared" si="80"/>
        <v>3541050</v>
      </c>
      <c r="J385" s="513">
        <v>3541050</v>
      </c>
      <c r="K385" s="513">
        <v>0</v>
      </c>
      <c r="L385" s="513">
        <f t="shared" si="81"/>
        <v>0</v>
      </c>
      <c r="M385" s="513">
        <v>0</v>
      </c>
      <c r="N385" s="513">
        <v>0</v>
      </c>
    </row>
    <row r="386" spans="1:14" s="545" customFormat="1" ht="15" customHeight="1" hidden="1">
      <c r="A386" s="1001"/>
      <c r="B386" s="1028"/>
      <c r="C386" s="1003"/>
      <c r="D386" s="1028"/>
      <c r="E386" s="997"/>
      <c r="F386" s="998"/>
      <c r="G386" s="580" t="s">
        <v>14</v>
      </c>
      <c r="H386" s="512">
        <f t="shared" si="79"/>
        <v>0</v>
      </c>
      <c r="I386" s="513">
        <f t="shared" si="80"/>
        <v>0</v>
      </c>
      <c r="J386" s="513">
        <v>0</v>
      </c>
      <c r="K386" s="513">
        <v>0</v>
      </c>
      <c r="L386" s="513">
        <f t="shared" si="81"/>
        <v>0</v>
      </c>
      <c r="M386" s="513">
        <v>0</v>
      </c>
      <c r="N386" s="513">
        <v>0</v>
      </c>
    </row>
    <row r="387" spans="1:14" s="454" customFormat="1" ht="15" customHeight="1" hidden="1">
      <c r="A387" s="1005"/>
      <c r="B387" s="1006"/>
      <c r="C387" s="1007"/>
      <c r="D387" s="1008"/>
      <c r="E387" s="999"/>
      <c r="F387" s="1000"/>
      <c r="G387" s="544" t="s">
        <v>15</v>
      </c>
      <c r="H387" s="541">
        <f>I387+L387</f>
        <v>3541050</v>
      </c>
      <c r="I387" s="542">
        <f>J387+K387</f>
        <v>3541050</v>
      </c>
      <c r="J387" s="542">
        <f>J385+J386</f>
        <v>3541050</v>
      </c>
      <c r="K387" s="542">
        <f>K385+K386</f>
        <v>0</v>
      </c>
      <c r="L387" s="542">
        <f>M387+N387</f>
        <v>0</v>
      </c>
      <c r="M387" s="542">
        <f>M385+M386</f>
        <v>0</v>
      </c>
      <c r="N387" s="542">
        <f>N385+N386</f>
        <v>0</v>
      </c>
    </row>
    <row r="388" spans="1:14" s="454" customFormat="1" ht="15" customHeight="1" hidden="1">
      <c r="A388" s="1009" t="s">
        <v>28</v>
      </c>
      <c r="B388" s="1010"/>
      <c r="C388" s="1011" t="s">
        <v>131</v>
      </c>
      <c r="D388" s="1012"/>
      <c r="E388" s="995" t="s">
        <v>952</v>
      </c>
      <c r="F388" s="996"/>
      <c r="G388" s="580" t="s">
        <v>13</v>
      </c>
      <c r="H388" s="541">
        <f t="shared" si="79"/>
        <v>135000</v>
      </c>
      <c r="I388" s="542">
        <f t="shared" si="80"/>
        <v>0</v>
      </c>
      <c r="J388" s="542">
        <v>0</v>
      </c>
      <c r="K388" s="542">
        <v>0</v>
      </c>
      <c r="L388" s="542">
        <f t="shared" si="81"/>
        <v>135000</v>
      </c>
      <c r="M388" s="542">
        <v>0</v>
      </c>
      <c r="N388" s="542">
        <v>135000</v>
      </c>
    </row>
    <row r="389" spans="1:14" s="454" customFormat="1" ht="15" customHeight="1" hidden="1">
      <c r="A389" s="1005"/>
      <c r="B389" s="1028"/>
      <c r="C389" s="1007"/>
      <c r="D389" s="1028"/>
      <c r="E389" s="997"/>
      <c r="F389" s="998"/>
      <c r="G389" s="580" t="s">
        <v>14</v>
      </c>
      <c r="H389" s="541">
        <f t="shared" si="79"/>
        <v>0</v>
      </c>
      <c r="I389" s="542">
        <f t="shared" si="80"/>
        <v>0</v>
      </c>
      <c r="J389" s="542">
        <v>0</v>
      </c>
      <c r="K389" s="542">
        <v>0</v>
      </c>
      <c r="L389" s="542">
        <f t="shared" si="81"/>
        <v>0</v>
      </c>
      <c r="M389" s="542">
        <v>0</v>
      </c>
      <c r="N389" s="542">
        <v>0</v>
      </c>
    </row>
    <row r="390" spans="1:14" s="454" customFormat="1" ht="15" customHeight="1" hidden="1">
      <c r="A390" s="1005"/>
      <c r="B390" s="1006"/>
      <c r="C390" s="1007"/>
      <c r="D390" s="1008"/>
      <c r="E390" s="999"/>
      <c r="F390" s="1000"/>
      <c r="G390" s="544" t="s">
        <v>15</v>
      </c>
      <c r="H390" s="541">
        <f>I390+L390</f>
        <v>135000</v>
      </c>
      <c r="I390" s="542">
        <f>J390+K390</f>
        <v>0</v>
      </c>
      <c r="J390" s="542">
        <f>J388+J389</f>
        <v>0</v>
      </c>
      <c r="K390" s="542">
        <f>K388+K389</f>
        <v>0</v>
      </c>
      <c r="L390" s="542">
        <f>M390+N390</f>
        <v>135000</v>
      </c>
      <c r="M390" s="542">
        <f>M388+M389</f>
        <v>0</v>
      </c>
      <c r="N390" s="542">
        <f>N388+N389</f>
        <v>135000</v>
      </c>
    </row>
    <row r="391" spans="1:14" s="454" customFormat="1" ht="15" customHeight="1">
      <c r="A391" s="1009" t="s">
        <v>132</v>
      </c>
      <c r="B391" s="1010"/>
      <c r="C391" s="1011" t="s">
        <v>134</v>
      </c>
      <c r="D391" s="1012"/>
      <c r="E391" s="995" t="s">
        <v>248</v>
      </c>
      <c r="F391" s="996"/>
      <c r="G391" s="580" t="s">
        <v>13</v>
      </c>
      <c r="H391" s="541">
        <f t="shared" si="79"/>
        <v>1000000</v>
      </c>
      <c r="I391" s="542">
        <f t="shared" si="80"/>
        <v>1000000</v>
      </c>
      <c r="J391" s="542">
        <v>1000000</v>
      </c>
      <c r="K391" s="542">
        <v>0</v>
      </c>
      <c r="L391" s="542">
        <f t="shared" si="81"/>
        <v>0</v>
      </c>
      <c r="M391" s="542">
        <v>0</v>
      </c>
      <c r="N391" s="542">
        <v>0</v>
      </c>
    </row>
    <row r="392" spans="1:14" s="454" customFormat="1" ht="15" customHeight="1">
      <c r="A392" s="1005"/>
      <c r="B392" s="1028"/>
      <c r="C392" s="1007"/>
      <c r="D392" s="1028"/>
      <c r="E392" s="997"/>
      <c r="F392" s="998"/>
      <c r="G392" s="580" t="s">
        <v>14</v>
      </c>
      <c r="H392" s="541">
        <f t="shared" si="79"/>
        <v>-1000000</v>
      </c>
      <c r="I392" s="542">
        <f t="shared" si="80"/>
        <v>-1000000</v>
      </c>
      <c r="J392" s="542">
        <v>-1000000</v>
      </c>
      <c r="K392" s="542">
        <v>0</v>
      </c>
      <c r="L392" s="542">
        <f t="shared" si="81"/>
        <v>0</v>
      </c>
      <c r="M392" s="542">
        <v>0</v>
      </c>
      <c r="N392" s="542">
        <v>0</v>
      </c>
    </row>
    <row r="393" spans="1:14" s="454" customFormat="1" ht="15" customHeight="1">
      <c r="A393" s="1005"/>
      <c r="B393" s="1006"/>
      <c r="C393" s="1007"/>
      <c r="D393" s="1008"/>
      <c r="E393" s="999"/>
      <c r="F393" s="1000"/>
      <c r="G393" s="544" t="s">
        <v>15</v>
      </c>
      <c r="H393" s="541">
        <f>I393+L393</f>
        <v>0</v>
      </c>
      <c r="I393" s="542">
        <f>J393+K393</f>
        <v>0</v>
      </c>
      <c r="J393" s="542">
        <f>J391+J392</f>
        <v>0</v>
      </c>
      <c r="K393" s="542">
        <f>K391+K392</f>
        <v>0</v>
      </c>
      <c r="L393" s="542">
        <f>M393+N393</f>
        <v>0</v>
      </c>
      <c r="M393" s="542">
        <f>M391+M392</f>
        <v>0</v>
      </c>
      <c r="N393" s="542">
        <f>N391+N392</f>
        <v>0</v>
      </c>
    </row>
    <row r="394" spans="1:14" s="545" customFormat="1" ht="19.5" customHeight="1" hidden="1">
      <c r="A394" s="991" t="s">
        <v>34</v>
      </c>
      <c r="B394" s="1013"/>
      <c r="C394" s="993" t="s">
        <v>251</v>
      </c>
      <c r="D394" s="994"/>
      <c r="E394" s="995" t="s">
        <v>953</v>
      </c>
      <c r="F394" s="996"/>
      <c r="G394" s="580" t="s">
        <v>13</v>
      </c>
      <c r="H394" s="541">
        <f t="shared" si="79"/>
        <v>2000000</v>
      </c>
      <c r="I394" s="542">
        <f t="shared" si="80"/>
        <v>2000000</v>
      </c>
      <c r="J394" s="542">
        <v>2000000</v>
      </c>
      <c r="K394" s="542">
        <v>0</v>
      </c>
      <c r="L394" s="542">
        <f t="shared" si="81"/>
        <v>0</v>
      </c>
      <c r="M394" s="542">
        <v>0</v>
      </c>
      <c r="N394" s="542">
        <v>0</v>
      </c>
    </row>
    <row r="395" spans="1:14" s="545" customFormat="1" ht="19.5" customHeight="1" hidden="1">
      <c r="A395" s="1001"/>
      <c r="B395" s="1002"/>
      <c r="C395" s="1003"/>
      <c r="D395" s="1004"/>
      <c r="E395" s="997"/>
      <c r="F395" s="998"/>
      <c r="G395" s="580" t="s">
        <v>14</v>
      </c>
      <c r="H395" s="541">
        <f t="shared" si="79"/>
        <v>0</v>
      </c>
      <c r="I395" s="542">
        <f t="shared" si="80"/>
        <v>0</v>
      </c>
      <c r="J395" s="542">
        <v>0</v>
      </c>
      <c r="K395" s="542">
        <v>0</v>
      </c>
      <c r="L395" s="542">
        <f t="shared" si="81"/>
        <v>0</v>
      </c>
      <c r="M395" s="542">
        <v>0</v>
      </c>
      <c r="N395" s="542">
        <v>0</v>
      </c>
    </row>
    <row r="396" spans="1:14" s="545" customFormat="1" ht="19.5" customHeight="1" hidden="1">
      <c r="A396" s="1001"/>
      <c r="B396" s="1028"/>
      <c r="C396" s="1003"/>
      <c r="D396" s="1028"/>
      <c r="E396" s="999"/>
      <c r="F396" s="1000"/>
      <c r="G396" s="580" t="s">
        <v>15</v>
      </c>
      <c r="H396" s="512">
        <f>I396+L396</f>
        <v>2000000</v>
      </c>
      <c r="I396" s="513">
        <f>J396+K396</f>
        <v>2000000</v>
      </c>
      <c r="J396" s="513">
        <f>J394+J395</f>
        <v>2000000</v>
      </c>
      <c r="K396" s="513">
        <f>K394+K395</f>
        <v>0</v>
      </c>
      <c r="L396" s="513">
        <f>M396+N396</f>
        <v>0</v>
      </c>
      <c r="M396" s="513">
        <f>M394+M395</f>
        <v>0</v>
      </c>
      <c r="N396" s="513">
        <f>N394+N395</f>
        <v>0</v>
      </c>
    </row>
    <row r="397" spans="1:14" s="545" customFormat="1" ht="15" customHeight="1" hidden="1">
      <c r="A397" s="1001"/>
      <c r="B397" s="1002"/>
      <c r="C397" s="1003"/>
      <c r="D397" s="1004"/>
      <c r="E397" s="995" t="s">
        <v>954</v>
      </c>
      <c r="F397" s="996"/>
      <c r="G397" s="580" t="s">
        <v>13</v>
      </c>
      <c r="H397" s="541">
        <f t="shared" si="79"/>
        <v>1000000</v>
      </c>
      <c r="I397" s="542">
        <f t="shared" si="80"/>
        <v>1000000</v>
      </c>
      <c r="J397" s="542">
        <v>1000000</v>
      </c>
      <c r="K397" s="542">
        <v>0</v>
      </c>
      <c r="L397" s="542">
        <f t="shared" si="81"/>
        <v>0</v>
      </c>
      <c r="M397" s="542">
        <v>0</v>
      </c>
      <c r="N397" s="542">
        <v>0</v>
      </c>
    </row>
    <row r="398" spans="1:14" s="545" customFormat="1" ht="15" customHeight="1" hidden="1">
      <c r="A398" s="1001"/>
      <c r="B398" s="1002"/>
      <c r="C398" s="1003"/>
      <c r="D398" s="1004"/>
      <c r="E398" s="997"/>
      <c r="F398" s="998"/>
      <c r="G398" s="580" t="s">
        <v>14</v>
      </c>
      <c r="H398" s="541">
        <f t="shared" si="79"/>
        <v>0</v>
      </c>
      <c r="I398" s="542">
        <f t="shared" si="80"/>
        <v>0</v>
      </c>
      <c r="J398" s="542">
        <v>0</v>
      </c>
      <c r="K398" s="542">
        <v>0</v>
      </c>
      <c r="L398" s="542">
        <f t="shared" si="81"/>
        <v>0</v>
      </c>
      <c r="M398" s="542">
        <v>0</v>
      </c>
      <c r="N398" s="542">
        <v>0</v>
      </c>
    </row>
    <row r="399" spans="1:14" s="454" customFormat="1" ht="15" customHeight="1" hidden="1">
      <c r="A399" s="1005"/>
      <c r="B399" s="1006"/>
      <c r="C399" s="1007"/>
      <c r="D399" s="1008"/>
      <c r="E399" s="999"/>
      <c r="F399" s="1000"/>
      <c r="G399" s="544" t="s">
        <v>15</v>
      </c>
      <c r="H399" s="541">
        <f t="shared" si="79"/>
        <v>1000000</v>
      </c>
      <c r="I399" s="542">
        <f t="shared" si="80"/>
        <v>1000000</v>
      </c>
      <c r="J399" s="542">
        <f>J397+J398</f>
        <v>1000000</v>
      </c>
      <c r="K399" s="542">
        <f>K397+K398</f>
        <v>0</v>
      </c>
      <c r="L399" s="542">
        <f t="shared" si="81"/>
        <v>0</v>
      </c>
      <c r="M399" s="542">
        <f>M397+M398</f>
        <v>0</v>
      </c>
      <c r="N399" s="542">
        <f>N397+N398</f>
        <v>0</v>
      </c>
    </row>
    <row r="400" spans="1:14" s="545" customFormat="1" ht="16.5" customHeight="1" hidden="1">
      <c r="A400" s="1001"/>
      <c r="B400" s="1002"/>
      <c r="C400" s="1003"/>
      <c r="D400" s="1004"/>
      <c r="E400" s="995" t="s">
        <v>955</v>
      </c>
      <c r="F400" s="996"/>
      <c r="G400" s="580" t="s">
        <v>13</v>
      </c>
      <c r="H400" s="541">
        <f t="shared" si="79"/>
        <v>4928517</v>
      </c>
      <c r="I400" s="542">
        <f t="shared" si="80"/>
        <v>4928517</v>
      </c>
      <c r="J400" s="542">
        <v>4068132</v>
      </c>
      <c r="K400" s="542">
        <v>860385</v>
      </c>
      <c r="L400" s="542">
        <f t="shared" si="81"/>
        <v>0</v>
      </c>
      <c r="M400" s="542">
        <v>0</v>
      </c>
      <c r="N400" s="542">
        <v>0</v>
      </c>
    </row>
    <row r="401" spans="1:14" s="545" customFormat="1" ht="25.5" customHeight="1" hidden="1">
      <c r="A401" s="1001"/>
      <c r="B401" s="1002"/>
      <c r="C401" s="1003"/>
      <c r="D401" s="1004"/>
      <c r="E401" s="997"/>
      <c r="F401" s="998"/>
      <c r="G401" s="580" t="s">
        <v>14</v>
      </c>
      <c r="H401" s="541">
        <f t="shared" si="79"/>
        <v>0</v>
      </c>
      <c r="I401" s="542">
        <f t="shared" si="80"/>
        <v>0</v>
      </c>
      <c r="J401" s="542">
        <v>0</v>
      </c>
      <c r="K401" s="542">
        <v>0</v>
      </c>
      <c r="L401" s="542">
        <f t="shared" si="81"/>
        <v>0</v>
      </c>
      <c r="M401" s="542">
        <v>0</v>
      </c>
      <c r="N401" s="542">
        <v>0</v>
      </c>
    </row>
    <row r="402" spans="1:14" s="454" customFormat="1" ht="25.5" customHeight="1" hidden="1">
      <c r="A402" s="1005"/>
      <c r="B402" s="1006"/>
      <c r="C402" s="1007"/>
      <c r="D402" s="1008"/>
      <c r="E402" s="999"/>
      <c r="F402" s="1000"/>
      <c r="G402" s="544" t="s">
        <v>15</v>
      </c>
      <c r="H402" s="541">
        <f t="shared" si="79"/>
        <v>4928517</v>
      </c>
      <c r="I402" s="542">
        <f t="shared" si="80"/>
        <v>4928517</v>
      </c>
      <c r="J402" s="542">
        <f>J400+J401</f>
        <v>4068132</v>
      </c>
      <c r="K402" s="542">
        <f>K400+K401</f>
        <v>860385</v>
      </c>
      <c r="L402" s="542">
        <f t="shared" si="81"/>
        <v>0</v>
      </c>
      <c r="M402" s="542">
        <f>M400+M401</f>
        <v>0</v>
      </c>
      <c r="N402" s="542">
        <f>N400+N401</f>
        <v>0</v>
      </c>
    </row>
    <row r="403" spans="1:14" s="545" customFormat="1" ht="26.25" customHeight="1" hidden="1">
      <c r="A403" s="1001"/>
      <c r="B403" s="1002"/>
      <c r="C403" s="1003"/>
      <c r="D403" s="1004"/>
      <c r="E403" s="995" t="s">
        <v>956</v>
      </c>
      <c r="F403" s="996"/>
      <c r="G403" s="580" t="s">
        <v>13</v>
      </c>
      <c r="H403" s="541">
        <f t="shared" si="79"/>
        <v>470939</v>
      </c>
      <c r="I403" s="542">
        <f t="shared" si="80"/>
        <v>470939</v>
      </c>
      <c r="J403" s="542">
        <v>206000</v>
      </c>
      <c r="K403" s="542">
        <v>264939</v>
      </c>
      <c r="L403" s="542">
        <f t="shared" si="81"/>
        <v>0</v>
      </c>
      <c r="M403" s="542">
        <v>0</v>
      </c>
      <c r="N403" s="542">
        <v>0</v>
      </c>
    </row>
    <row r="404" spans="1:14" s="545" customFormat="1" ht="26.25" customHeight="1" hidden="1">
      <c r="A404" s="1001"/>
      <c r="B404" s="1002"/>
      <c r="C404" s="1003"/>
      <c r="D404" s="1004"/>
      <c r="E404" s="997"/>
      <c r="F404" s="998"/>
      <c r="G404" s="580" t="s">
        <v>14</v>
      </c>
      <c r="H404" s="541">
        <f t="shared" si="79"/>
        <v>0</v>
      </c>
      <c r="I404" s="542">
        <f t="shared" si="80"/>
        <v>0</v>
      </c>
      <c r="J404" s="542">
        <v>0</v>
      </c>
      <c r="K404" s="542">
        <v>0</v>
      </c>
      <c r="L404" s="542">
        <f t="shared" si="81"/>
        <v>0</v>
      </c>
      <c r="M404" s="542">
        <v>0</v>
      </c>
      <c r="N404" s="542">
        <v>0</v>
      </c>
    </row>
    <row r="405" spans="1:14" s="454" customFormat="1" ht="26.25" customHeight="1" hidden="1">
      <c r="A405" s="1005"/>
      <c r="B405" s="1006"/>
      <c r="C405" s="1007"/>
      <c r="D405" s="1008"/>
      <c r="E405" s="999"/>
      <c r="F405" s="1000"/>
      <c r="G405" s="544" t="s">
        <v>15</v>
      </c>
      <c r="H405" s="541">
        <f t="shared" si="79"/>
        <v>470939</v>
      </c>
      <c r="I405" s="542">
        <f t="shared" si="80"/>
        <v>470939</v>
      </c>
      <c r="J405" s="542">
        <f>J403+J404</f>
        <v>206000</v>
      </c>
      <c r="K405" s="542">
        <f>K403+K404</f>
        <v>264939</v>
      </c>
      <c r="L405" s="542">
        <f t="shared" si="81"/>
        <v>0</v>
      </c>
      <c r="M405" s="542">
        <f>M403+M404</f>
        <v>0</v>
      </c>
      <c r="N405" s="542">
        <f>N403+N404</f>
        <v>0</v>
      </c>
    </row>
    <row r="406" spans="1:14" s="545" customFormat="1" ht="18" customHeight="1" hidden="1">
      <c r="A406" s="1001"/>
      <c r="B406" s="1002"/>
      <c r="C406" s="1003"/>
      <c r="D406" s="1004"/>
      <c r="E406" s="995" t="s">
        <v>957</v>
      </c>
      <c r="F406" s="996"/>
      <c r="G406" s="580" t="s">
        <v>13</v>
      </c>
      <c r="H406" s="541">
        <f>I406+L406</f>
        <v>200000</v>
      </c>
      <c r="I406" s="542">
        <f>J406+K406</f>
        <v>200000</v>
      </c>
      <c r="J406" s="542">
        <v>135000</v>
      </c>
      <c r="K406" s="542">
        <v>65000</v>
      </c>
      <c r="L406" s="542">
        <f>M406+N406</f>
        <v>0</v>
      </c>
      <c r="M406" s="542">
        <v>0</v>
      </c>
      <c r="N406" s="542">
        <v>0</v>
      </c>
    </row>
    <row r="407" spans="1:14" s="545" customFormat="1" ht="18" customHeight="1" hidden="1">
      <c r="A407" s="1001"/>
      <c r="B407" s="1002"/>
      <c r="C407" s="1003"/>
      <c r="D407" s="1004"/>
      <c r="E407" s="997"/>
      <c r="F407" s="998"/>
      <c r="G407" s="580" t="s">
        <v>14</v>
      </c>
      <c r="H407" s="541">
        <f>I407+L407</f>
        <v>0</v>
      </c>
      <c r="I407" s="542">
        <f>J407+K407</f>
        <v>0</v>
      </c>
      <c r="J407" s="542">
        <v>0</v>
      </c>
      <c r="K407" s="542">
        <v>0</v>
      </c>
      <c r="L407" s="542">
        <f>M407+N407</f>
        <v>0</v>
      </c>
      <c r="M407" s="542">
        <v>0</v>
      </c>
      <c r="N407" s="542">
        <v>0</v>
      </c>
    </row>
    <row r="408" spans="1:14" s="454" customFormat="1" ht="18" customHeight="1" hidden="1">
      <c r="A408" s="1005"/>
      <c r="B408" s="1006"/>
      <c r="C408" s="1007"/>
      <c r="D408" s="1008"/>
      <c r="E408" s="999"/>
      <c r="F408" s="1000"/>
      <c r="G408" s="544" t="s">
        <v>15</v>
      </c>
      <c r="H408" s="541">
        <f>I408+L408</f>
        <v>200000</v>
      </c>
      <c r="I408" s="542">
        <f>J408+K408</f>
        <v>200000</v>
      </c>
      <c r="J408" s="542">
        <f>J406+J407</f>
        <v>135000</v>
      </c>
      <c r="K408" s="542">
        <f>K406+K407</f>
        <v>65000</v>
      </c>
      <c r="L408" s="542">
        <f>M408+N408</f>
        <v>0</v>
      </c>
      <c r="M408" s="542">
        <f>M406+M407</f>
        <v>0</v>
      </c>
      <c r="N408" s="542">
        <f>N406+N407</f>
        <v>0</v>
      </c>
    </row>
    <row r="409" spans="1:14" s="545" customFormat="1" ht="18" customHeight="1" hidden="1">
      <c r="A409" s="1001"/>
      <c r="B409" s="1002"/>
      <c r="C409" s="993" t="s">
        <v>255</v>
      </c>
      <c r="D409" s="994"/>
      <c r="E409" s="995" t="s">
        <v>958</v>
      </c>
      <c r="F409" s="996"/>
      <c r="G409" s="580" t="s">
        <v>13</v>
      </c>
      <c r="H409" s="541">
        <f t="shared" si="79"/>
        <v>720000</v>
      </c>
      <c r="I409" s="542">
        <f t="shared" si="80"/>
        <v>720000</v>
      </c>
      <c r="J409" s="542">
        <v>720000</v>
      </c>
      <c r="K409" s="542">
        <v>0</v>
      </c>
      <c r="L409" s="542">
        <f t="shared" si="81"/>
        <v>0</v>
      </c>
      <c r="M409" s="542">
        <v>0</v>
      </c>
      <c r="N409" s="542">
        <v>0</v>
      </c>
    </row>
    <row r="410" spans="1:14" s="545" customFormat="1" ht="18" customHeight="1" hidden="1">
      <c r="A410" s="1001"/>
      <c r="B410" s="1002"/>
      <c r="C410" s="1003"/>
      <c r="D410" s="1004"/>
      <c r="E410" s="997"/>
      <c r="F410" s="998"/>
      <c r="G410" s="580" t="s">
        <v>14</v>
      </c>
      <c r="H410" s="541">
        <f t="shared" si="79"/>
        <v>0</v>
      </c>
      <c r="I410" s="542">
        <f t="shared" si="80"/>
        <v>0</v>
      </c>
      <c r="J410" s="542">
        <v>0</v>
      </c>
      <c r="K410" s="542">
        <v>0</v>
      </c>
      <c r="L410" s="542">
        <f t="shared" si="81"/>
        <v>0</v>
      </c>
      <c r="M410" s="542">
        <v>0</v>
      </c>
      <c r="N410" s="542">
        <v>0</v>
      </c>
    </row>
    <row r="411" spans="1:14" s="454" customFormat="1" ht="18" customHeight="1" hidden="1">
      <c r="A411" s="1005"/>
      <c r="B411" s="1006"/>
      <c r="C411" s="1007"/>
      <c r="D411" s="1008"/>
      <c r="E411" s="999"/>
      <c r="F411" s="1000"/>
      <c r="G411" s="544" t="s">
        <v>15</v>
      </c>
      <c r="H411" s="541">
        <f t="shared" si="79"/>
        <v>720000</v>
      </c>
      <c r="I411" s="542">
        <f t="shared" si="80"/>
        <v>720000</v>
      </c>
      <c r="J411" s="542">
        <f>J409+J410</f>
        <v>720000</v>
      </c>
      <c r="K411" s="542">
        <f>K409+K410</f>
        <v>0</v>
      </c>
      <c r="L411" s="542">
        <f t="shared" si="81"/>
        <v>0</v>
      </c>
      <c r="M411" s="542">
        <f>M409+M410</f>
        <v>0</v>
      </c>
      <c r="N411" s="542">
        <f>N409+N410</f>
        <v>0</v>
      </c>
    </row>
    <row r="412" spans="1:14" s="545" customFormat="1" ht="18" customHeight="1" hidden="1">
      <c r="A412" s="1001"/>
      <c r="B412" s="1002"/>
      <c r="C412" s="993" t="s">
        <v>328</v>
      </c>
      <c r="D412" s="994"/>
      <c r="E412" s="995" t="s">
        <v>959</v>
      </c>
      <c r="F412" s="996"/>
      <c r="G412" s="580" t="s">
        <v>13</v>
      </c>
      <c r="H412" s="541">
        <f t="shared" si="79"/>
        <v>24212</v>
      </c>
      <c r="I412" s="542">
        <f t="shared" si="80"/>
        <v>24212</v>
      </c>
      <c r="J412" s="542">
        <v>24212</v>
      </c>
      <c r="K412" s="542">
        <v>0</v>
      </c>
      <c r="L412" s="542">
        <f t="shared" si="81"/>
        <v>0</v>
      </c>
      <c r="M412" s="542">
        <v>0</v>
      </c>
      <c r="N412" s="542">
        <v>0</v>
      </c>
    </row>
    <row r="413" spans="1:14" s="545" customFormat="1" ht="18" customHeight="1" hidden="1">
      <c r="A413" s="1001"/>
      <c r="B413" s="1002"/>
      <c r="C413" s="1003"/>
      <c r="D413" s="1004"/>
      <c r="E413" s="997"/>
      <c r="F413" s="998"/>
      <c r="G413" s="580" t="s">
        <v>14</v>
      </c>
      <c r="H413" s="541">
        <f t="shared" si="79"/>
        <v>0</v>
      </c>
      <c r="I413" s="542">
        <f t="shared" si="80"/>
        <v>0</v>
      </c>
      <c r="J413" s="542">
        <v>0</v>
      </c>
      <c r="K413" s="542">
        <v>0</v>
      </c>
      <c r="L413" s="542">
        <f t="shared" si="81"/>
        <v>0</v>
      </c>
      <c r="M413" s="542">
        <v>0</v>
      </c>
      <c r="N413" s="542">
        <v>0</v>
      </c>
    </row>
    <row r="414" spans="1:14" s="454" customFormat="1" ht="18" customHeight="1" hidden="1">
      <c r="A414" s="1005"/>
      <c r="B414" s="1006"/>
      <c r="C414" s="1007"/>
      <c r="D414" s="1008"/>
      <c r="E414" s="999"/>
      <c r="F414" s="1000"/>
      <c r="G414" s="544" t="s">
        <v>15</v>
      </c>
      <c r="H414" s="541">
        <f t="shared" si="79"/>
        <v>24212</v>
      </c>
      <c r="I414" s="542">
        <f t="shared" si="80"/>
        <v>24212</v>
      </c>
      <c r="J414" s="542">
        <f>J412+J413</f>
        <v>24212</v>
      </c>
      <c r="K414" s="542">
        <f>K412+K413</f>
        <v>0</v>
      </c>
      <c r="L414" s="542">
        <f t="shared" si="81"/>
        <v>0</v>
      </c>
      <c r="M414" s="542">
        <f>M412+M413</f>
        <v>0</v>
      </c>
      <c r="N414" s="542">
        <f>N412+N413</f>
        <v>0</v>
      </c>
    </row>
    <row r="415" spans="1:14" s="545" customFormat="1" ht="18" customHeight="1" hidden="1">
      <c r="A415" s="1001"/>
      <c r="B415" s="1002"/>
      <c r="C415" s="1003"/>
      <c r="D415" s="1004"/>
      <c r="E415" s="995" t="s">
        <v>960</v>
      </c>
      <c r="F415" s="996"/>
      <c r="G415" s="580" t="s">
        <v>13</v>
      </c>
      <c r="H415" s="541">
        <f t="shared" si="79"/>
        <v>16222</v>
      </c>
      <c r="I415" s="542">
        <f t="shared" si="80"/>
        <v>16222</v>
      </c>
      <c r="J415" s="542">
        <v>16222</v>
      </c>
      <c r="K415" s="542">
        <v>0</v>
      </c>
      <c r="L415" s="542">
        <f t="shared" si="81"/>
        <v>0</v>
      </c>
      <c r="M415" s="542">
        <v>0</v>
      </c>
      <c r="N415" s="542">
        <v>0</v>
      </c>
    </row>
    <row r="416" spans="1:14" s="545" customFormat="1" ht="18" customHeight="1" hidden="1">
      <c r="A416" s="1001"/>
      <c r="B416" s="1002"/>
      <c r="C416" s="1003"/>
      <c r="D416" s="1004"/>
      <c r="E416" s="997"/>
      <c r="F416" s="998"/>
      <c r="G416" s="580" t="s">
        <v>14</v>
      </c>
      <c r="H416" s="541">
        <f t="shared" si="79"/>
        <v>0</v>
      </c>
      <c r="I416" s="542">
        <f t="shared" si="80"/>
        <v>0</v>
      </c>
      <c r="J416" s="542">
        <v>0</v>
      </c>
      <c r="K416" s="542">
        <v>0</v>
      </c>
      <c r="L416" s="542">
        <f t="shared" si="81"/>
        <v>0</v>
      </c>
      <c r="M416" s="542">
        <v>0</v>
      </c>
      <c r="N416" s="542">
        <v>0</v>
      </c>
    </row>
    <row r="417" spans="1:14" s="454" customFormat="1" ht="18" customHeight="1" hidden="1">
      <c r="A417" s="1005"/>
      <c r="B417" s="1006"/>
      <c r="C417" s="1007"/>
      <c r="D417" s="1008"/>
      <c r="E417" s="999"/>
      <c r="F417" s="1000"/>
      <c r="G417" s="544" t="s">
        <v>15</v>
      </c>
      <c r="H417" s="541">
        <f t="shared" si="79"/>
        <v>16222</v>
      </c>
      <c r="I417" s="542">
        <f t="shared" si="80"/>
        <v>16222</v>
      </c>
      <c r="J417" s="542">
        <f>J415+J416</f>
        <v>16222</v>
      </c>
      <c r="K417" s="542">
        <f>K415+K416</f>
        <v>0</v>
      </c>
      <c r="L417" s="542">
        <f t="shared" si="81"/>
        <v>0</v>
      </c>
      <c r="M417" s="542">
        <f>M415+M416</f>
        <v>0</v>
      </c>
      <c r="N417" s="542">
        <f>N415+N416</f>
        <v>0</v>
      </c>
    </row>
    <row r="418" spans="1:14" s="545" customFormat="1" ht="15" customHeight="1">
      <c r="A418" s="991" t="s">
        <v>34</v>
      </c>
      <c r="B418" s="1013"/>
      <c r="C418" s="993" t="s">
        <v>363</v>
      </c>
      <c r="D418" s="994"/>
      <c r="E418" s="995" t="s">
        <v>961</v>
      </c>
      <c r="F418" s="996"/>
      <c r="G418" s="582" t="s">
        <v>13</v>
      </c>
      <c r="H418" s="541">
        <f t="shared" si="79"/>
        <v>0</v>
      </c>
      <c r="I418" s="542">
        <f t="shared" si="80"/>
        <v>0</v>
      </c>
      <c r="J418" s="542">
        <v>0</v>
      </c>
      <c r="K418" s="542">
        <v>0</v>
      </c>
      <c r="L418" s="542">
        <f t="shared" si="81"/>
        <v>0</v>
      </c>
      <c r="M418" s="542">
        <v>0</v>
      </c>
      <c r="N418" s="542">
        <v>0</v>
      </c>
    </row>
    <row r="419" spans="1:14" s="545" customFormat="1" ht="15" customHeight="1">
      <c r="A419" s="1001"/>
      <c r="B419" s="1028"/>
      <c r="C419" s="1003"/>
      <c r="D419" s="1028"/>
      <c r="E419" s="1024"/>
      <c r="F419" s="1025"/>
      <c r="G419" s="582" t="s">
        <v>14</v>
      </c>
      <c r="H419" s="541">
        <f t="shared" si="79"/>
        <v>198572</v>
      </c>
      <c r="I419" s="542">
        <f t="shared" si="80"/>
        <v>198572</v>
      </c>
      <c r="J419" s="542">
        <v>198572</v>
      </c>
      <c r="K419" s="542">
        <v>0</v>
      </c>
      <c r="L419" s="542">
        <f t="shared" si="81"/>
        <v>0</v>
      </c>
      <c r="M419" s="542">
        <v>0</v>
      </c>
      <c r="N419" s="542">
        <v>0</v>
      </c>
    </row>
    <row r="420" spans="1:14" s="454" customFormat="1" ht="15" customHeight="1">
      <c r="A420" s="1005"/>
      <c r="B420" s="1029"/>
      <c r="C420" s="1007"/>
      <c r="D420" s="1029"/>
      <c r="E420" s="1026"/>
      <c r="F420" s="1027"/>
      <c r="G420" s="583" t="s">
        <v>15</v>
      </c>
      <c r="H420" s="512">
        <f t="shared" si="79"/>
        <v>198572</v>
      </c>
      <c r="I420" s="513">
        <f t="shared" si="80"/>
        <v>198572</v>
      </c>
      <c r="J420" s="513">
        <f>J418+J419</f>
        <v>198572</v>
      </c>
      <c r="K420" s="513">
        <f>K418+K419</f>
        <v>0</v>
      </c>
      <c r="L420" s="513">
        <f t="shared" si="81"/>
        <v>0</v>
      </c>
      <c r="M420" s="513">
        <f>M418+M419</f>
        <v>0</v>
      </c>
      <c r="N420" s="513">
        <f>N418+N419</f>
        <v>0</v>
      </c>
    </row>
    <row r="421" spans="1:14" s="454" customFormat="1" ht="18" customHeight="1" hidden="1">
      <c r="A421" s="1005"/>
      <c r="B421" s="1006"/>
      <c r="C421" s="1011" t="s">
        <v>918</v>
      </c>
      <c r="D421" s="1012"/>
      <c r="E421" s="995" t="s">
        <v>962</v>
      </c>
      <c r="F421" s="996"/>
      <c r="G421" s="580" t="s">
        <v>13</v>
      </c>
      <c r="H421" s="541">
        <f t="shared" si="79"/>
        <v>200000</v>
      </c>
      <c r="I421" s="542">
        <f t="shared" si="80"/>
        <v>0</v>
      </c>
      <c r="J421" s="542">
        <v>0</v>
      </c>
      <c r="K421" s="542">
        <v>0</v>
      </c>
      <c r="L421" s="542">
        <f t="shared" si="81"/>
        <v>200000</v>
      </c>
      <c r="M421" s="542">
        <v>0</v>
      </c>
      <c r="N421" s="542">
        <v>200000</v>
      </c>
    </row>
    <row r="422" spans="1:14" s="454" customFormat="1" ht="18" customHeight="1" hidden="1">
      <c r="A422" s="1005"/>
      <c r="B422" s="1006"/>
      <c r="C422" s="1007"/>
      <c r="D422" s="1008"/>
      <c r="E422" s="997"/>
      <c r="F422" s="998"/>
      <c r="G422" s="580" t="s">
        <v>14</v>
      </c>
      <c r="H422" s="541">
        <f aca="true" t="shared" si="82" ref="H422:H485">I422+L422</f>
        <v>0</v>
      </c>
      <c r="I422" s="542">
        <f aca="true" t="shared" si="83" ref="I422:I485">J422+K422</f>
        <v>0</v>
      </c>
      <c r="J422" s="542">
        <v>0</v>
      </c>
      <c r="K422" s="542">
        <v>0</v>
      </c>
      <c r="L422" s="542">
        <f aca="true" t="shared" si="84" ref="L422:L485">M422+N422</f>
        <v>0</v>
      </c>
      <c r="M422" s="542">
        <v>0</v>
      </c>
      <c r="N422" s="542">
        <v>0</v>
      </c>
    </row>
    <row r="423" spans="1:14" s="454" customFormat="1" ht="18" customHeight="1" hidden="1">
      <c r="A423" s="1005"/>
      <c r="B423" s="1006"/>
      <c r="C423" s="1007"/>
      <c r="D423" s="1008"/>
      <c r="E423" s="999"/>
      <c r="F423" s="1000"/>
      <c r="G423" s="544" t="s">
        <v>15</v>
      </c>
      <c r="H423" s="541">
        <f t="shared" si="82"/>
        <v>200000</v>
      </c>
      <c r="I423" s="542">
        <f t="shared" si="83"/>
        <v>0</v>
      </c>
      <c r="J423" s="542">
        <f>J421+J422</f>
        <v>0</v>
      </c>
      <c r="K423" s="542">
        <f>K421+K422</f>
        <v>0</v>
      </c>
      <c r="L423" s="542">
        <f t="shared" si="84"/>
        <v>200000</v>
      </c>
      <c r="M423" s="542">
        <f>M421+M422</f>
        <v>0</v>
      </c>
      <c r="N423" s="542">
        <f>N421+N422</f>
        <v>200000</v>
      </c>
    </row>
    <row r="424" spans="1:14" s="454" customFormat="1" ht="18" customHeight="1" hidden="1">
      <c r="A424" s="1005"/>
      <c r="B424" s="1006"/>
      <c r="C424" s="1007"/>
      <c r="D424" s="1008"/>
      <c r="E424" s="995" t="s">
        <v>963</v>
      </c>
      <c r="F424" s="996"/>
      <c r="G424" s="580" t="s">
        <v>13</v>
      </c>
      <c r="H424" s="512">
        <f t="shared" si="82"/>
        <v>875000</v>
      </c>
      <c r="I424" s="513">
        <f t="shared" si="83"/>
        <v>375000</v>
      </c>
      <c r="J424" s="513">
        <v>0</v>
      </c>
      <c r="K424" s="513">
        <v>375000</v>
      </c>
      <c r="L424" s="513">
        <f t="shared" si="84"/>
        <v>500000</v>
      </c>
      <c r="M424" s="513">
        <v>0</v>
      </c>
      <c r="N424" s="513">
        <v>500000</v>
      </c>
    </row>
    <row r="425" spans="1:14" s="454" customFormat="1" ht="18" customHeight="1" hidden="1">
      <c r="A425" s="1005"/>
      <c r="B425" s="1006"/>
      <c r="C425" s="1007"/>
      <c r="D425" s="1008"/>
      <c r="E425" s="997"/>
      <c r="F425" s="998"/>
      <c r="G425" s="580" t="s">
        <v>14</v>
      </c>
      <c r="H425" s="512">
        <f t="shared" si="82"/>
        <v>0</v>
      </c>
      <c r="I425" s="513">
        <f t="shared" si="83"/>
        <v>0</v>
      </c>
      <c r="J425" s="513">
        <v>0</v>
      </c>
      <c r="K425" s="513">
        <v>0</v>
      </c>
      <c r="L425" s="513">
        <f t="shared" si="84"/>
        <v>0</v>
      </c>
      <c r="M425" s="513">
        <v>0</v>
      </c>
      <c r="N425" s="513">
        <v>0</v>
      </c>
    </row>
    <row r="426" spans="1:14" s="454" customFormat="1" ht="18" customHeight="1" hidden="1">
      <c r="A426" s="1005"/>
      <c r="B426" s="1006"/>
      <c r="C426" s="1007"/>
      <c r="D426" s="1008"/>
      <c r="E426" s="999"/>
      <c r="F426" s="1000"/>
      <c r="G426" s="544" t="s">
        <v>15</v>
      </c>
      <c r="H426" s="541">
        <f t="shared" si="82"/>
        <v>875000</v>
      </c>
      <c r="I426" s="542">
        <f t="shared" si="83"/>
        <v>375000</v>
      </c>
      <c r="J426" s="542">
        <f>J424+J425</f>
        <v>0</v>
      </c>
      <c r="K426" s="542">
        <f>K424+K425</f>
        <v>375000</v>
      </c>
      <c r="L426" s="542">
        <f t="shared" si="84"/>
        <v>500000</v>
      </c>
      <c r="M426" s="542">
        <f>M424+M425</f>
        <v>0</v>
      </c>
      <c r="N426" s="542">
        <f>N424+N425</f>
        <v>500000</v>
      </c>
    </row>
    <row r="427" spans="1:14" s="454" customFormat="1" ht="18" customHeight="1" hidden="1">
      <c r="A427" s="1005"/>
      <c r="B427" s="1006"/>
      <c r="C427" s="1011" t="s">
        <v>964</v>
      </c>
      <c r="D427" s="1012"/>
      <c r="E427" s="995" t="s">
        <v>965</v>
      </c>
      <c r="F427" s="996"/>
      <c r="G427" s="580" t="s">
        <v>13</v>
      </c>
      <c r="H427" s="512">
        <f t="shared" si="82"/>
        <v>350000</v>
      </c>
      <c r="I427" s="513">
        <f t="shared" si="83"/>
        <v>0</v>
      </c>
      <c r="J427" s="513">
        <v>0</v>
      </c>
      <c r="K427" s="513">
        <v>0</v>
      </c>
      <c r="L427" s="513">
        <f t="shared" si="84"/>
        <v>350000</v>
      </c>
      <c r="M427" s="513">
        <v>0</v>
      </c>
      <c r="N427" s="513">
        <v>350000</v>
      </c>
    </row>
    <row r="428" spans="1:14" s="454" customFormat="1" ht="18" customHeight="1" hidden="1">
      <c r="A428" s="1005"/>
      <c r="B428" s="1006"/>
      <c r="C428" s="1007"/>
      <c r="D428" s="1008"/>
      <c r="E428" s="997"/>
      <c r="F428" s="998"/>
      <c r="G428" s="580" t="s">
        <v>14</v>
      </c>
      <c r="H428" s="512">
        <f t="shared" si="82"/>
        <v>0</v>
      </c>
      <c r="I428" s="513">
        <f t="shared" si="83"/>
        <v>0</v>
      </c>
      <c r="J428" s="513">
        <v>0</v>
      </c>
      <c r="K428" s="513">
        <v>0</v>
      </c>
      <c r="L428" s="513">
        <f t="shared" si="84"/>
        <v>0</v>
      </c>
      <c r="M428" s="513">
        <v>0</v>
      </c>
      <c r="N428" s="513">
        <v>0</v>
      </c>
    </row>
    <row r="429" spans="1:14" s="454" customFormat="1" ht="18" customHeight="1" hidden="1">
      <c r="A429" s="1005"/>
      <c r="B429" s="1006"/>
      <c r="C429" s="1007"/>
      <c r="D429" s="1008"/>
      <c r="E429" s="999"/>
      <c r="F429" s="1000"/>
      <c r="G429" s="544" t="s">
        <v>15</v>
      </c>
      <c r="H429" s="541">
        <f t="shared" si="82"/>
        <v>350000</v>
      </c>
      <c r="I429" s="542">
        <f t="shared" si="83"/>
        <v>0</v>
      </c>
      <c r="J429" s="542">
        <f>J427+J428</f>
        <v>0</v>
      </c>
      <c r="K429" s="542">
        <f>K427+K428</f>
        <v>0</v>
      </c>
      <c r="L429" s="542">
        <f t="shared" si="84"/>
        <v>350000</v>
      </c>
      <c r="M429" s="542">
        <f>M427+M428</f>
        <v>0</v>
      </c>
      <c r="N429" s="542">
        <f>N427+N428</f>
        <v>350000</v>
      </c>
    </row>
    <row r="430" spans="1:14" s="454" customFormat="1" ht="18" customHeight="1" hidden="1">
      <c r="A430" s="1005"/>
      <c r="B430" s="1006"/>
      <c r="C430" s="1011" t="s">
        <v>966</v>
      </c>
      <c r="D430" s="1012"/>
      <c r="E430" s="995" t="s">
        <v>967</v>
      </c>
      <c r="F430" s="996"/>
      <c r="G430" s="580" t="s">
        <v>13</v>
      </c>
      <c r="H430" s="541">
        <f t="shared" si="82"/>
        <v>30000</v>
      </c>
      <c r="I430" s="542">
        <f t="shared" si="83"/>
        <v>30000</v>
      </c>
      <c r="J430" s="542">
        <v>0</v>
      </c>
      <c r="K430" s="542">
        <v>30000</v>
      </c>
      <c r="L430" s="542">
        <f t="shared" si="84"/>
        <v>0</v>
      </c>
      <c r="M430" s="542">
        <v>0</v>
      </c>
      <c r="N430" s="542">
        <v>0</v>
      </c>
    </row>
    <row r="431" spans="1:14" s="454" customFormat="1" ht="18" customHeight="1" hidden="1">
      <c r="A431" s="1005"/>
      <c r="B431" s="1006"/>
      <c r="C431" s="1007"/>
      <c r="D431" s="1008"/>
      <c r="E431" s="997"/>
      <c r="F431" s="998"/>
      <c r="G431" s="580" t="s">
        <v>14</v>
      </c>
      <c r="H431" s="541">
        <f t="shared" si="82"/>
        <v>0</v>
      </c>
      <c r="I431" s="542">
        <f t="shared" si="83"/>
        <v>0</v>
      </c>
      <c r="J431" s="542">
        <v>0</v>
      </c>
      <c r="K431" s="542">
        <v>0</v>
      </c>
      <c r="L431" s="542">
        <f t="shared" si="84"/>
        <v>0</v>
      </c>
      <c r="M431" s="542">
        <v>0</v>
      </c>
      <c r="N431" s="542">
        <v>0</v>
      </c>
    </row>
    <row r="432" spans="1:14" s="454" customFormat="1" ht="18" customHeight="1" hidden="1">
      <c r="A432" s="1005"/>
      <c r="B432" s="1006"/>
      <c r="C432" s="1007"/>
      <c r="D432" s="1008"/>
      <c r="E432" s="999"/>
      <c r="F432" s="1000"/>
      <c r="G432" s="544" t="s">
        <v>15</v>
      </c>
      <c r="H432" s="541">
        <f t="shared" si="82"/>
        <v>30000</v>
      </c>
      <c r="I432" s="542">
        <f t="shared" si="83"/>
        <v>30000</v>
      </c>
      <c r="J432" s="542">
        <f>J430+J431</f>
        <v>0</v>
      </c>
      <c r="K432" s="542">
        <f>K430+K431</f>
        <v>30000</v>
      </c>
      <c r="L432" s="542">
        <f t="shared" si="84"/>
        <v>0</v>
      </c>
      <c r="M432" s="542">
        <f>M430+M431</f>
        <v>0</v>
      </c>
      <c r="N432" s="542">
        <f>N430+N431</f>
        <v>0</v>
      </c>
    </row>
    <row r="433" spans="1:14" s="545" customFormat="1" ht="18" customHeight="1" hidden="1">
      <c r="A433" s="1001"/>
      <c r="B433" s="1002"/>
      <c r="C433" s="1003"/>
      <c r="D433" s="1004"/>
      <c r="E433" s="995" t="s">
        <v>968</v>
      </c>
      <c r="F433" s="996"/>
      <c r="G433" s="580" t="s">
        <v>13</v>
      </c>
      <c r="H433" s="512">
        <f t="shared" si="82"/>
        <v>70000</v>
      </c>
      <c r="I433" s="513">
        <f t="shared" si="83"/>
        <v>0</v>
      </c>
      <c r="J433" s="513">
        <v>0</v>
      </c>
      <c r="K433" s="513">
        <v>0</v>
      </c>
      <c r="L433" s="513">
        <f t="shared" si="84"/>
        <v>70000</v>
      </c>
      <c r="M433" s="513">
        <v>0</v>
      </c>
      <c r="N433" s="513">
        <v>70000</v>
      </c>
    </row>
    <row r="434" spans="1:14" s="545" customFormat="1" ht="18" customHeight="1" hidden="1">
      <c r="A434" s="1001"/>
      <c r="B434" s="1002"/>
      <c r="C434" s="1003"/>
      <c r="D434" s="1004"/>
      <c r="E434" s="997"/>
      <c r="F434" s="998"/>
      <c r="G434" s="580" t="s">
        <v>14</v>
      </c>
      <c r="H434" s="512">
        <f t="shared" si="82"/>
        <v>0</v>
      </c>
      <c r="I434" s="513">
        <f t="shared" si="83"/>
        <v>0</v>
      </c>
      <c r="J434" s="513">
        <v>0</v>
      </c>
      <c r="K434" s="513">
        <v>0</v>
      </c>
      <c r="L434" s="513">
        <f t="shared" si="84"/>
        <v>0</v>
      </c>
      <c r="M434" s="513">
        <v>0</v>
      </c>
      <c r="N434" s="513">
        <v>0</v>
      </c>
    </row>
    <row r="435" spans="1:14" s="454" customFormat="1" ht="18" customHeight="1" hidden="1">
      <c r="A435" s="1005"/>
      <c r="B435" s="1006"/>
      <c r="C435" s="1007"/>
      <c r="D435" s="1008"/>
      <c r="E435" s="999"/>
      <c r="F435" s="1000"/>
      <c r="G435" s="544" t="s">
        <v>15</v>
      </c>
      <c r="H435" s="541">
        <f t="shared" si="82"/>
        <v>70000</v>
      </c>
      <c r="I435" s="542">
        <f t="shared" si="83"/>
        <v>0</v>
      </c>
      <c r="J435" s="542">
        <f>J433+J434</f>
        <v>0</v>
      </c>
      <c r="K435" s="542">
        <f>K433+K434</f>
        <v>0</v>
      </c>
      <c r="L435" s="542">
        <f t="shared" si="84"/>
        <v>70000</v>
      </c>
      <c r="M435" s="542">
        <f>M433+M434</f>
        <v>0</v>
      </c>
      <c r="N435" s="542">
        <f>N433+N434</f>
        <v>70000</v>
      </c>
    </row>
    <row r="436" spans="1:14" s="545" customFormat="1" ht="18" customHeight="1" hidden="1">
      <c r="A436" s="1001"/>
      <c r="B436" s="1002"/>
      <c r="C436" s="1003"/>
      <c r="D436" s="1004"/>
      <c r="E436" s="995" t="s">
        <v>969</v>
      </c>
      <c r="F436" s="996"/>
      <c r="G436" s="580" t="s">
        <v>13</v>
      </c>
      <c r="H436" s="512">
        <f t="shared" si="82"/>
        <v>260000</v>
      </c>
      <c r="I436" s="513">
        <f t="shared" si="83"/>
        <v>0</v>
      </c>
      <c r="J436" s="513">
        <v>0</v>
      </c>
      <c r="K436" s="513">
        <v>0</v>
      </c>
      <c r="L436" s="513">
        <f t="shared" si="84"/>
        <v>260000</v>
      </c>
      <c r="M436" s="513">
        <v>0</v>
      </c>
      <c r="N436" s="513">
        <v>260000</v>
      </c>
    </row>
    <row r="437" spans="1:14" s="545" customFormat="1" ht="18" customHeight="1" hidden="1">
      <c r="A437" s="1001"/>
      <c r="B437" s="1002"/>
      <c r="C437" s="1003"/>
      <c r="D437" s="1004"/>
      <c r="E437" s="997"/>
      <c r="F437" s="998"/>
      <c r="G437" s="580" t="s">
        <v>14</v>
      </c>
      <c r="H437" s="512">
        <f t="shared" si="82"/>
        <v>0</v>
      </c>
      <c r="I437" s="513">
        <f t="shared" si="83"/>
        <v>0</v>
      </c>
      <c r="J437" s="513">
        <v>0</v>
      </c>
      <c r="K437" s="513">
        <v>0</v>
      </c>
      <c r="L437" s="513">
        <f t="shared" si="84"/>
        <v>0</v>
      </c>
      <c r="M437" s="513">
        <v>0</v>
      </c>
      <c r="N437" s="513">
        <v>0</v>
      </c>
    </row>
    <row r="438" spans="1:14" s="454" customFormat="1" ht="18" customHeight="1" hidden="1">
      <c r="A438" s="1005"/>
      <c r="B438" s="1006"/>
      <c r="C438" s="1007"/>
      <c r="D438" s="1008"/>
      <c r="E438" s="999"/>
      <c r="F438" s="1000"/>
      <c r="G438" s="544" t="s">
        <v>15</v>
      </c>
      <c r="H438" s="541">
        <f t="shared" si="82"/>
        <v>260000</v>
      </c>
      <c r="I438" s="542">
        <f t="shared" si="83"/>
        <v>0</v>
      </c>
      <c r="J438" s="542">
        <f>J436+J437</f>
        <v>0</v>
      </c>
      <c r="K438" s="542">
        <f>K436+K437</f>
        <v>0</v>
      </c>
      <c r="L438" s="542">
        <f t="shared" si="84"/>
        <v>260000</v>
      </c>
      <c r="M438" s="542">
        <f>M436+M437</f>
        <v>0</v>
      </c>
      <c r="N438" s="542">
        <f>N436+N437</f>
        <v>260000</v>
      </c>
    </row>
    <row r="439" spans="1:14" s="545" customFormat="1" ht="18" customHeight="1" hidden="1">
      <c r="A439" s="991" t="s">
        <v>220</v>
      </c>
      <c r="B439" s="1013"/>
      <c r="C439" s="993" t="s">
        <v>970</v>
      </c>
      <c r="D439" s="994"/>
      <c r="E439" s="995" t="s">
        <v>971</v>
      </c>
      <c r="F439" s="996"/>
      <c r="G439" s="580" t="s">
        <v>13</v>
      </c>
      <c r="H439" s="541">
        <f t="shared" si="82"/>
        <v>30000</v>
      </c>
      <c r="I439" s="542">
        <f t="shared" si="83"/>
        <v>30000</v>
      </c>
      <c r="J439" s="542">
        <v>0</v>
      </c>
      <c r="K439" s="542">
        <v>30000</v>
      </c>
      <c r="L439" s="542">
        <f t="shared" si="84"/>
        <v>0</v>
      </c>
      <c r="M439" s="542">
        <v>0</v>
      </c>
      <c r="N439" s="542">
        <v>0</v>
      </c>
    </row>
    <row r="440" spans="1:14" s="545" customFormat="1" ht="18" customHeight="1" hidden="1">
      <c r="A440" s="1001"/>
      <c r="B440" s="1002"/>
      <c r="C440" s="1003"/>
      <c r="D440" s="1004"/>
      <c r="E440" s="997"/>
      <c r="F440" s="998"/>
      <c r="G440" s="580" t="s">
        <v>14</v>
      </c>
      <c r="H440" s="541">
        <f t="shared" si="82"/>
        <v>0</v>
      </c>
      <c r="I440" s="542">
        <f t="shared" si="83"/>
        <v>0</v>
      </c>
      <c r="J440" s="542">
        <v>0</v>
      </c>
      <c r="K440" s="542">
        <v>0</v>
      </c>
      <c r="L440" s="542">
        <f t="shared" si="84"/>
        <v>0</v>
      </c>
      <c r="M440" s="542">
        <v>0</v>
      </c>
      <c r="N440" s="542">
        <v>0</v>
      </c>
    </row>
    <row r="441" spans="1:14" s="454" customFormat="1" ht="18" customHeight="1" hidden="1">
      <c r="A441" s="1005"/>
      <c r="B441" s="1006"/>
      <c r="C441" s="1007"/>
      <c r="D441" s="1008"/>
      <c r="E441" s="999"/>
      <c r="F441" s="1000"/>
      <c r="G441" s="544" t="s">
        <v>15</v>
      </c>
      <c r="H441" s="541">
        <f t="shared" si="82"/>
        <v>30000</v>
      </c>
      <c r="I441" s="542">
        <f t="shared" si="83"/>
        <v>30000</v>
      </c>
      <c r="J441" s="542">
        <f>J439+J440</f>
        <v>0</v>
      </c>
      <c r="K441" s="542">
        <f>K439+K440</f>
        <v>30000</v>
      </c>
      <c r="L441" s="542">
        <f t="shared" si="84"/>
        <v>0</v>
      </c>
      <c r="M441" s="542">
        <f>M439+M440</f>
        <v>0</v>
      </c>
      <c r="N441" s="542">
        <f>N439+N440</f>
        <v>0</v>
      </c>
    </row>
    <row r="442" spans="1:14" s="454" customFormat="1" ht="18" customHeight="1" hidden="1">
      <c r="A442" s="1009" t="s">
        <v>76</v>
      </c>
      <c r="B442" s="1010"/>
      <c r="C442" s="1011" t="s">
        <v>972</v>
      </c>
      <c r="D442" s="1012"/>
      <c r="E442" s="995" t="s">
        <v>973</v>
      </c>
      <c r="F442" s="996"/>
      <c r="G442" s="580" t="s">
        <v>13</v>
      </c>
      <c r="H442" s="541">
        <f t="shared" si="82"/>
        <v>444000</v>
      </c>
      <c r="I442" s="542">
        <f t="shared" si="83"/>
        <v>365778</v>
      </c>
      <c r="J442" s="542">
        <v>0</v>
      </c>
      <c r="K442" s="542">
        <v>365778</v>
      </c>
      <c r="L442" s="542">
        <f t="shared" si="84"/>
        <v>78222</v>
      </c>
      <c r="M442" s="542">
        <v>0</v>
      </c>
      <c r="N442" s="542">
        <v>78222</v>
      </c>
    </row>
    <row r="443" spans="1:14" s="454" customFormat="1" ht="18" customHeight="1" hidden="1">
      <c r="A443" s="1005"/>
      <c r="B443" s="1006"/>
      <c r="C443" s="1007"/>
      <c r="D443" s="1008"/>
      <c r="E443" s="997"/>
      <c r="F443" s="998"/>
      <c r="G443" s="580" t="s">
        <v>14</v>
      </c>
      <c r="H443" s="541">
        <f t="shared" si="82"/>
        <v>0</v>
      </c>
      <c r="I443" s="542">
        <f t="shared" si="83"/>
        <v>0</v>
      </c>
      <c r="J443" s="542">
        <v>0</v>
      </c>
      <c r="K443" s="542">
        <v>0</v>
      </c>
      <c r="L443" s="542">
        <f t="shared" si="84"/>
        <v>0</v>
      </c>
      <c r="M443" s="542">
        <v>0</v>
      </c>
      <c r="N443" s="542">
        <v>0</v>
      </c>
    </row>
    <row r="444" spans="1:14" s="454" customFormat="1" ht="18" customHeight="1" hidden="1">
      <c r="A444" s="1005"/>
      <c r="B444" s="1006"/>
      <c r="C444" s="1007"/>
      <c r="D444" s="1008"/>
      <c r="E444" s="999"/>
      <c r="F444" s="1000"/>
      <c r="G444" s="544" t="s">
        <v>15</v>
      </c>
      <c r="H444" s="541">
        <f t="shared" si="82"/>
        <v>444000</v>
      </c>
      <c r="I444" s="542">
        <f t="shared" si="83"/>
        <v>365778</v>
      </c>
      <c r="J444" s="542">
        <f>J442+J443</f>
        <v>0</v>
      </c>
      <c r="K444" s="542">
        <f>K442+K443</f>
        <v>365778</v>
      </c>
      <c r="L444" s="542">
        <f t="shared" si="84"/>
        <v>78222</v>
      </c>
      <c r="M444" s="542">
        <f>M442+M443</f>
        <v>0</v>
      </c>
      <c r="N444" s="542">
        <f>N442+N443</f>
        <v>78222</v>
      </c>
    </row>
    <row r="445" spans="1:14" s="545" customFormat="1" ht="18" customHeight="1" hidden="1">
      <c r="A445" s="1001"/>
      <c r="B445" s="1002"/>
      <c r="C445" s="993" t="s">
        <v>925</v>
      </c>
      <c r="D445" s="994"/>
      <c r="E445" s="995" t="s">
        <v>974</v>
      </c>
      <c r="F445" s="996"/>
      <c r="G445" s="580" t="s">
        <v>13</v>
      </c>
      <c r="H445" s="541">
        <f t="shared" si="82"/>
        <v>100000</v>
      </c>
      <c r="I445" s="542">
        <f t="shared" si="83"/>
        <v>0</v>
      </c>
      <c r="J445" s="542">
        <v>0</v>
      </c>
      <c r="K445" s="542">
        <v>0</v>
      </c>
      <c r="L445" s="542">
        <f t="shared" si="84"/>
        <v>100000</v>
      </c>
      <c r="M445" s="542">
        <v>0</v>
      </c>
      <c r="N445" s="542">
        <v>100000</v>
      </c>
    </row>
    <row r="446" spans="1:14" s="545" customFormat="1" ht="18" customHeight="1" hidden="1">
      <c r="A446" s="1001"/>
      <c r="B446" s="1002"/>
      <c r="C446" s="1003"/>
      <c r="D446" s="1004"/>
      <c r="E446" s="997"/>
      <c r="F446" s="998"/>
      <c r="G446" s="580" t="s">
        <v>14</v>
      </c>
      <c r="H446" s="541">
        <f t="shared" si="82"/>
        <v>0</v>
      </c>
      <c r="I446" s="542">
        <f t="shared" si="83"/>
        <v>0</v>
      </c>
      <c r="J446" s="542">
        <v>0</v>
      </c>
      <c r="K446" s="542">
        <v>0</v>
      </c>
      <c r="L446" s="542">
        <f t="shared" si="84"/>
        <v>0</v>
      </c>
      <c r="M446" s="542">
        <v>0</v>
      </c>
      <c r="N446" s="542">
        <v>0</v>
      </c>
    </row>
    <row r="447" spans="1:14" s="454" customFormat="1" ht="18" customHeight="1" hidden="1">
      <c r="A447" s="1005"/>
      <c r="B447" s="1006"/>
      <c r="C447" s="1007"/>
      <c r="D447" s="1008"/>
      <c r="E447" s="999"/>
      <c r="F447" s="1000"/>
      <c r="G447" s="544" t="s">
        <v>15</v>
      </c>
      <c r="H447" s="541">
        <f t="shared" si="82"/>
        <v>100000</v>
      </c>
      <c r="I447" s="542">
        <f t="shared" si="83"/>
        <v>0</v>
      </c>
      <c r="J447" s="542">
        <f>J445+J446</f>
        <v>0</v>
      </c>
      <c r="K447" s="542">
        <f>K445+K446</f>
        <v>0</v>
      </c>
      <c r="L447" s="542">
        <f t="shared" si="84"/>
        <v>100000</v>
      </c>
      <c r="M447" s="542">
        <f>M445+M446</f>
        <v>0</v>
      </c>
      <c r="N447" s="542">
        <f>N445+N446</f>
        <v>100000</v>
      </c>
    </row>
    <row r="448" spans="1:14" s="454" customFormat="1" ht="18" customHeight="1" hidden="1">
      <c r="A448" s="1009" t="s">
        <v>221</v>
      </c>
      <c r="B448" s="1010"/>
      <c r="C448" s="1011" t="s">
        <v>975</v>
      </c>
      <c r="D448" s="1012"/>
      <c r="E448" s="995" t="s">
        <v>976</v>
      </c>
      <c r="F448" s="996"/>
      <c r="G448" s="580" t="s">
        <v>13</v>
      </c>
      <c r="H448" s="541">
        <f t="shared" si="82"/>
        <v>219000</v>
      </c>
      <c r="I448" s="542">
        <f t="shared" si="83"/>
        <v>219000</v>
      </c>
      <c r="J448" s="542">
        <v>0</v>
      </c>
      <c r="K448" s="542">
        <v>219000</v>
      </c>
      <c r="L448" s="542">
        <f t="shared" si="84"/>
        <v>0</v>
      </c>
      <c r="M448" s="542">
        <v>0</v>
      </c>
      <c r="N448" s="542">
        <v>0</v>
      </c>
    </row>
    <row r="449" spans="1:14" s="454" customFormat="1" ht="18" customHeight="1" hidden="1">
      <c r="A449" s="1005"/>
      <c r="B449" s="1006"/>
      <c r="C449" s="1007"/>
      <c r="D449" s="1008"/>
      <c r="E449" s="997"/>
      <c r="F449" s="998"/>
      <c r="G449" s="580" t="s">
        <v>14</v>
      </c>
      <c r="H449" s="541">
        <f t="shared" si="82"/>
        <v>0</v>
      </c>
      <c r="I449" s="542">
        <f t="shared" si="83"/>
        <v>0</v>
      </c>
      <c r="J449" s="542">
        <v>0</v>
      </c>
      <c r="K449" s="542">
        <v>0</v>
      </c>
      <c r="L449" s="542">
        <f t="shared" si="84"/>
        <v>0</v>
      </c>
      <c r="M449" s="542">
        <v>0</v>
      </c>
      <c r="N449" s="542">
        <v>0</v>
      </c>
    </row>
    <row r="450" spans="1:14" s="454" customFormat="1" ht="18" customHeight="1" hidden="1">
      <c r="A450" s="1005"/>
      <c r="B450" s="1006"/>
      <c r="C450" s="1007"/>
      <c r="D450" s="1008"/>
      <c r="E450" s="999"/>
      <c r="F450" s="1000"/>
      <c r="G450" s="544" t="s">
        <v>15</v>
      </c>
      <c r="H450" s="541">
        <f t="shared" si="82"/>
        <v>219000</v>
      </c>
      <c r="I450" s="542">
        <f t="shared" si="83"/>
        <v>219000</v>
      </c>
      <c r="J450" s="542">
        <f>J448+J449</f>
        <v>0</v>
      </c>
      <c r="K450" s="542">
        <f>K448+K449</f>
        <v>219000</v>
      </c>
      <c r="L450" s="542">
        <f t="shared" si="84"/>
        <v>0</v>
      </c>
      <c r="M450" s="542">
        <f>M448+M449</f>
        <v>0</v>
      </c>
      <c r="N450" s="542">
        <f>N448+N449</f>
        <v>0</v>
      </c>
    </row>
    <row r="451" spans="1:14" s="454" customFormat="1" ht="18" customHeight="1" hidden="1">
      <c r="A451" s="1009" t="s">
        <v>351</v>
      </c>
      <c r="B451" s="1010"/>
      <c r="C451" s="1011" t="s">
        <v>977</v>
      </c>
      <c r="D451" s="1012"/>
      <c r="E451" s="995" t="s">
        <v>978</v>
      </c>
      <c r="F451" s="996"/>
      <c r="G451" s="580" t="s">
        <v>13</v>
      </c>
      <c r="H451" s="512">
        <f t="shared" si="82"/>
        <v>430000</v>
      </c>
      <c r="I451" s="513">
        <f t="shared" si="83"/>
        <v>0</v>
      </c>
      <c r="J451" s="513">
        <v>0</v>
      </c>
      <c r="K451" s="513">
        <v>0</v>
      </c>
      <c r="L451" s="513">
        <f t="shared" si="84"/>
        <v>430000</v>
      </c>
      <c r="M451" s="513">
        <v>0</v>
      </c>
      <c r="N451" s="513">
        <v>430000</v>
      </c>
    </row>
    <row r="452" spans="1:14" s="454" customFormat="1" ht="18" customHeight="1" hidden="1">
      <c r="A452" s="1005"/>
      <c r="B452" s="1006"/>
      <c r="C452" s="1007"/>
      <c r="D452" s="1008"/>
      <c r="E452" s="997"/>
      <c r="F452" s="998"/>
      <c r="G452" s="580" t="s">
        <v>14</v>
      </c>
      <c r="H452" s="512">
        <f t="shared" si="82"/>
        <v>0</v>
      </c>
      <c r="I452" s="513">
        <f t="shared" si="83"/>
        <v>0</v>
      </c>
      <c r="J452" s="513">
        <v>0</v>
      </c>
      <c r="K452" s="513">
        <v>0</v>
      </c>
      <c r="L452" s="513">
        <f t="shared" si="84"/>
        <v>0</v>
      </c>
      <c r="M452" s="513">
        <v>0</v>
      </c>
      <c r="N452" s="513">
        <v>0</v>
      </c>
    </row>
    <row r="453" spans="1:14" s="454" customFormat="1" ht="18" customHeight="1" hidden="1">
      <c r="A453" s="1005"/>
      <c r="B453" s="1006"/>
      <c r="C453" s="1007"/>
      <c r="D453" s="1008"/>
      <c r="E453" s="999"/>
      <c r="F453" s="1000"/>
      <c r="G453" s="544" t="s">
        <v>15</v>
      </c>
      <c r="H453" s="541">
        <f t="shared" si="82"/>
        <v>430000</v>
      </c>
      <c r="I453" s="542">
        <f t="shared" si="83"/>
        <v>0</v>
      </c>
      <c r="J453" s="542">
        <f>J451+J452</f>
        <v>0</v>
      </c>
      <c r="K453" s="542">
        <f>K451+K452</f>
        <v>0</v>
      </c>
      <c r="L453" s="542">
        <f t="shared" si="84"/>
        <v>430000</v>
      </c>
      <c r="M453" s="542">
        <f>M451+M452</f>
        <v>0</v>
      </c>
      <c r="N453" s="542">
        <f>N451+N452</f>
        <v>430000</v>
      </c>
    </row>
    <row r="454" spans="1:14" s="454" customFormat="1" ht="18" customHeight="1" hidden="1">
      <c r="A454" s="1005"/>
      <c r="B454" s="1006"/>
      <c r="C454" s="1011" t="s">
        <v>926</v>
      </c>
      <c r="D454" s="1012"/>
      <c r="E454" s="995" t="s">
        <v>979</v>
      </c>
      <c r="F454" s="996"/>
      <c r="G454" s="580" t="s">
        <v>13</v>
      </c>
      <c r="H454" s="512">
        <f t="shared" si="82"/>
        <v>100000</v>
      </c>
      <c r="I454" s="513">
        <f t="shared" si="83"/>
        <v>0</v>
      </c>
      <c r="J454" s="513">
        <v>0</v>
      </c>
      <c r="K454" s="513">
        <v>0</v>
      </c>
      <c r="L454" s="513">
        <f t="shared" si="84"/>
        <v>100000</v>
      </c>
      <c r="M454" s="513">
        <v>0</v>
      </c>
      <c r="N454" s="513">
        <v>100000</v>
      </c>
    </row>
    <row r="455" spans="1:14" s="454" customFormat="1" ht="18" customHeight="1" hidden="1">
      <c r="A455" s="1005"/>
      <c r="B455" s="1006"/>
      <c r="C455" s="1007"/>
      <c r="D455" s="1008"/>
      <c r="E455" s="997"/>
      <c r="F455" s="998"/>
      <c r="G455" s="580" t="s">
        <v>14</v>
      </c>
      <c r="H455" s="512">
        <f t="shared" si="82"/>
        <v>0</v>
      </c>
      <c r="I455" s="513">
        <f t="shared" si="83"/>
        <v>0</v>
      </c>
      <c r="J455" s="513">
        <v>0</v>
      </c>
      <c r="K455" s="513">
        <v>0</v>
      </c>
      <c r="L455" s="513">
        <f t="shared" si="84"/>
        <v>0</v>
      </c>
      <c r="M455" s="513">
        <v>0</v>
      </c>
      <c r="N455" s="513">
        <v>0</v>
      </c>
    </row>
    <row r="456" spans="1:14" s="454" customFormat="1" ht="18" customHeight="1" hidden="1">
      <c r="A456" s="1005"/>
      <c r="B456" s="1006"/>
      <c r="C456" s="1007"/>
      <c r="D456" s="1008"/>
      <c r="E456" s="999"/>
      <c r="F456" s="1000"/>
      <c r="G456" s="544" t="s">
        <v>15</v>
      </c>
      <c r="H456" s="541">
        <f t="shared" si="82"/>
        <v>100000</v>
      </c>
      <c r="I456" s="542">
        <f t="shared" si="83"/>
        <v>0</v>
      </c>
      <c r="J456" s="542">
        <f>J454+J455</f>
        <v>0</v>
      </c>
      <c r="K456" s="542">
        <f>K454+K455</f>
        <v>0</v>
      </c>
      <c r="L456" s="542">
        <f t="shared" si="84"/>
        <v>100000</v>
      </c>
      <c r="M456" s="542">
        <f>M454+M455</f>
        <v>0</v>
      </c>
      <c r="N456" s="542">
        <f>N454+N455</f>
        <v>100000</v>
      </c>
    </row>
    <row r="457" spans="1:14" s="454" customFormat="1" ht="18" customHeight="1" hidden="1">
      <c r="A457" s="1005"/>
      <c r="B457" s="1006"/>
      <c r="C457" s="1007"/>
      <c r="D457" s="1008"/>
      <c r="E457" s="995" t="s">
        <v>980</v>
      </c>
      <c r="F457" s="996"/>
      <c r="G457" s="580" t="s">
        <v>13</v>
      </c>
      <c r="H457" s="512">
        <f t="shared" si="82"/>
        <v>250000</v>
      </c>
      <c r="I457" s="513">
        <f t="shared" si="83"/>
        <v>0</v>
      </c>
      <c r="J457" s="513">
        <v>0</v>
      </c>
      <c r="K457" s="513">
        <v>0</v>
      </c>
      <c r="L457" s="513">
        <f t="shared" si="84"/>
        <v>250000</v>
      </c>
      <c r="M457" s="513">
        <v>0</v>
      </c>
      <c r="N457" s="513">
        <v>250000</v>
      </c>
    </row>
    <row r="458" spans="1:14" s="454" customFormat="1" ht="18" customHeight="1" hidden="1">
      <c r="A458" s="1005"/>
      <c r="B458" s="1006"/>
      <c r="C458" s="1007"/>
      <c r="D458" s="1008"/>
      <c r="E458" s="997"/>
      <c r="F458" s="998"/>
      <c r="G458" s="580" t="s">
        <v>14</v>
      </c>
      <c r="H458" s="512">
        <f t="shared" si="82"/>
        <v>0</v>
      </c>
      <c r="I458" s="513">
        <f t="shared" si="83"/>
        <v>0</v>
      </c>
      <c r="J458" s="513">
        <v>0</v>
      </c>
      <c r="K458" s="513">
        <v>0</v>
      </c>
      <c r="L458" s="513">
        <f t="shared" si="84"/>
        <v>0</v>
      </c>
      <c r="M458" s="513">
        <v>0</v>
      </c>
      <c r="N458" s="513">
        <v>0</v>
      </c>
    </row>
    <row r="459" spans="1:14" s="454" customFormat="1" ht="18" customHeight="1" hidden="1">
      <c r="A459" s="1005"/>
      <c r="B459" s="1006"/>
      <c r="C459" s="1007"/>
      <c r="D459" s="1008"/>
      <c r="E459" s="999"/>
      <c r="F459" s="1000"/>
      <c r="G459" s="544" t="s">
        <v>15</v>
      </c>
      <c r="H459" s="541">
        <f t="shared" si="82"/>
        <v>250000</v>
      </c>
      <c r="I459" s="542">
        <f t="shared" si="83"/>
        <v>0</v>
      </c>
      <c r="J459" s="542">
        <f>J457+J458</f>
        <v>0</v>
      </c>
      <c r="K459" s="542">
        <f>K457+K458</f>
        <v>0</v>
      </c>
      <c r="L459" s="542">
        <f t="shared" si="84"/>
        <v>250000</v>
      </c>
      <c r="M459" s="542">
        <f>M457+M458</f>
        <v>0</v>
      </c>
      <c r="N459" s="542">
        <f>N457+N458</f>
        <v>250000</v>
      </c>
    </row>
    <row r="460" spans="1:14" s="454" customFormat="1" ht="18" customHeight="1" hidden="1">
      <c r="A460" s="1005"/>
      <c r="B460" s="1006"/>
      <c r="C460" s="1007"/>
      <c r="D460" s="1008"/>
      <c r="E460" s="995" t="s">
        <v>981</v>
      </c>
      <c r="F460" s="996"/>
      <c r="G460" s="580" t="s">
        <v>13</v>
      </c>
      <c r="H460" s="512">
        <f t="shared" si="82"/>
        <v>150000</v>
      </c>
      <c r="I460" s="513">
        <f t="shared" si="83"/>
        <v>0</v>
      </c>
      <c r="J460" s="513">
        <v>0</v>
      </c>
      <c r="K460" s="513">
        <v>0</v>
      </c>
      <c r="L460" s="513">
        <f t="shared" si="84"/>
        <v>150000</v>
      </c>
      <c r="M460" s="513">
        <v>0</v>
      </c>
      <c r="N460" s="513">
        <v>150000</v>
      </c>
    </row>
    <row r="461" spans="1:14" s="454" customFormat="1" ht="18" customHeight="1" hidden="1">
      <c r="A461" s="1005"/>
      <c r="B461" s="1006"/>
      <c r="C461" s="1007"/>
      <c r="D461" s="1008"/>
      <c r="E461" s="997"/>
      <c r="F461" s="998"/>
      <c r="G461" s="580" t="s">
        <v>14</v>
      </c>
      <c r="H461" s="512">
        <f t="shared" si="82"/>
        <v>0</v>
      </c>
      <c r="I461" s="513">
        <f t="shared" si="83"/>
        <v>0</v>
      </c>
      <c r="J461" s="513">
        <v>0</v>
      </c>
      <c r="K461" s="513">
        <v>0</v>
      </c>
      <c r="L461" s="513">
        <f t="shared" si="84"/>
        <v>0</v>
      </c>
      <c r="M461" s="513">
        <v>0</v>
      </c>
      <c r="N461" s="513">
        <v>0</v>
      </c>
    </row>
    <row r="462" spans="1:14" s="454" customFormat="1" ht="18" customHeight="1" hidden="1">
      <c r="A462" s="1005"/>
      <c r="B462" s="1006"/>
      <c r="C462" s="1007"/>
      <c r="D462" s="1008"/>
      <c r="E462" s="999"/>
      <c r="F462" s="1000"/>
      <c r="G462" s="544" t="s">
        <v>15</v>
      </c>
      <c r="H462" s="541">
        <f t="shared" si="82"/>
        <v>150000</v>
      </c>
      <c r="I462" s="542">
        <f t="shared" si="83"/>
        <v>0</v>
      </c>
      <c r="J462" s="542">
        <f>J460+J461</f>
        <v>0</v>
      </c>
      <c r="K462" s="542">
        <f>K460+K461</f>
        <v>0</v>
      </c>
      <c r="L462" s="542">
        <f t="shared" si="84"/>
        <v>150000</v>
      </c>
      <c r="M462" s="542">
        <f>M460+M461</f>
        <v>0</v>
      </c>
      <c r="N462" s="542">
        <f>N460+N461</f>
        <v>150000</v>
      </c>
    </row>
    <row r="463" spans="1:14" s="545" customFormat="1" ht="18" customHeight="1" hidden="1">
      <c r="A463" s="1001"/>
      <c r="B463" s="1002"/>
      <c r="C463" s="1003"/>
      <c r="D463" s="1004"/>
      <c r="E463" s="995" t="s">
        <v>982</v>
      </c>
      <c r="F463" s="996"/>
      <c r="G463" s="580" t="s">
        <v>13</v>
      </c>
      <c r="H463" s="541">
        <f t="shared" si="82"/>
        <v>320000</v>
      </c>
      <c r="I463" s="542">
        <f t="shared" si="83"/>
        <v>0</v>
      </c>
      <c r="J463" s="542">
        <v>0</v>
      </c>
      <c r="K463" s="542">
        <v>0</v>
      </c>
      <c r="L463" s="542">
        <f t="shared" si="84"/>
        <v>320000</v>
      </c>
      <c r="M463" s="542">
        <v>0</v>
      </c>
      <c r="N463" s="542">
        <v>320000</v>
      </c>
    </row>
    <row r="464" spans="1:14" s="545" customFormat="1" ht="18" customHeight="1" hidden="1">
      <c r="A464" s="1001"/>
      <c r="B464" s="1002"/>
      <c r="C464" s="1003"/>
      <c r="D464" s="1004"/>
      <c r="E464" s="997"/>
      <c r="F464" s="998"/>
      <c r="G464" s="580" t="s">
        <v>14</v>
      </c>
      <c r="H464" s="541">
        <f t="shared" si="82"/>
        <v>0</v>
      </c>
      <c r="I464" s="542">
        <f t="shared" si="83"/>
        <v>0</v>
      </c>
      <c r="J464" s="542">
        <v>0</v>
      </c>
      <c r="K464" s="542">
        <v>0</v>
      </c>
      <c r="L464" s="542">
        <f t="shared" si="84"/>
        <v>0</v>
      </c>
      <c r="M464" s="542">
        <v>0</v>
      </c>
      <c r="N464" s="542">
        <v>0</v>
      </c>
    </row>
    <row r="465" spans="1:14" s="454" customFormat="1" ht="18" customHeight="1" hidden="1">
      <c r="A465" s="1005"/>
      <c r="B465" s="1006"/>
      <c r="C465" s="1007"/>
      <c r="D465" s="1008"/>
      <c r="E465" s="999"/>
      <c r="F465" s="1000"/>
      <c r="G465" s="544" t="s">
        <v>15</v>
      </c>
      <c r="H465" s="541">
        <f t="shared" si="82"/>
        <v>320000</v>
      </c>
      <c r="I465" s="542">
        <f t="shared" si="83"/>
        <v>0</v>
      </c>
      <c r="J465" s="542">
        <f>J463+J464</f>
        <v>0</v>
      </c>
      <c r="K465" s="542">
        <f>K463+K464</f>
        <v>0</v>
      </c>
      <c r="L465" s="542">
        <f t="shared" si="84"/>
        <v>320000</v>
      </c>
      <c r="M465" s="542">
        <f>M463+M464</f>
        <v>0</v>
      </c>
      <c r="N465" s="542">
        <f>N463+N464</f>
        <v>320000</v>
      </c>
    </row>
    <row r="466" spans="1:14" s="545" customFormat="1" ht="18" customHeight="1" hidden="1">
      <c r="A466" s="1001"/>
      <c r="B466" s="1002"/>
      <c r="C466" s="1003"/>
      <c r="D466" s="1004"/>
      <c r="E466" s="995" t="s">
        <v>983</v>
      </c>
      <c r="F466" s="996"/>
      <c r="G466" s="580" t="s">
        <v>13</v>
      </c>
      <c r="H466" s="512">
        <f t="shared" si="82"/>
        <v>230000</v>
      </c>
      <c r="I466" s="513">
        <f t="shared" si="83"/>
        <v>0</v>
      </c>
      <c r="J466" s="513">
        <v>0</v>
      </c>
      <c r="K466" s="513">
        <v>0</v>
      </c>
      <c r="L466" s="513">
        <f t="shared" si="84"/>
        <v>230000</v>
      </c>
      <c r="M466" s="513">
        <v>0</v>
      </c>
      <c r="N466" s="513">
        <v>230000</v>
      </c>
    </row>
    <row r="467" spans="1:14" s="545" customFormat="1" ht="18" customHeight="1" hidden="1">
      <c r="A467" s="1001"/>
      <c r="B467" s="1002"/>
      <c r="C467" s="1003"/>
      <c r="D467" s="1004"/>
      <c r="E467" s="997"/>
      <c r="F467" s="998"/>
      <c r="G467" s="580" t="s">
        <v>14</v>
      </c>
      <c r="H467" s="512">
        <f t="shared" si="82"/>
        <v>0</v>
      </c>
      <c r="I467" s="513">
        <f t="shared" si="83"/>
        <v>0</v>
      </c>
      <c r="J467" s="513">
        <v>0</v>
      </c>
      <c r="K467" s="513">
        <v>0</v>
      </c>
      <c r="L467" s="513">
        <f t="shared" si="84"/>
        <v>0</v>
      </c>
      <c r="M467" s="513">
        <v>0</v>
      </c>
      <c r="N467" s="513">
        <v>0</v>
      </c>
    </row>
    <row r="468" spans="1:14" s="454" customFormat="1" ht="18" customHeight="1" hidden="1">
      <c r="A468" s="1005"/>
      <c r="B468" s="1006"/>
      <c r="C468" s="1007"/>
      <c r="D468" s="1008"/>
      <c r="E468" s="999"/>
      <c r="F468" s="1000"/>
      <c r="G468" s="544" t="s">
        <v>15</v>
      </c>
      <c r="H468" s="541">
        <f t="shared" si="82"/>
        <v>230000</v>
      </c>
      <c r="I468" s="542">
        <f t="shared" si="83"/>
        <v>0</v>
      </c>
      <c r="J468" s="542">
        <f>J466+J467</f>
        <v>0</v>
      </c>
      <c r="K468" s="542">
        <f>K466+K467</f>
        <v>0</v>
      </c>
      <c r="L468" s="542">
        <f t="shared" si="84"/>
        <v>230000</v>
      </c>
      <c r="M468" s="542">
        <f>M466+M467</f>
        <v>0</v>
      </c>
      <c r="N468" s="542">
        <f>N466+N467</f>
        <v>230000</v>
      </c>
    </row>
    <row r="469" spans="1:14" s="545" customFormat="1" ht="18" customHeight="1" hidden="1">
      <c r="A469" s="991" t="s">
        <v>352</v>
      </c>
      <c r="B469" s="1013"/>
      <c r="C469" s="993" t="s">
        <v>928</v>
      </c>
      <c r="D469" s="994"/>
      <c r="E469" s="995" t="s">
        <v>984</v>
      </c>
      <c r="F469" s="996"/>
      <c r="G469" s="580" t="s">
        <v>13</v>
      </c>
      <c r="H469" s="541">
        <f t="shared" si="82"/>
        <v>65000</v>
      </c>
      <c r="I469" s="542">
        <f t="shared" si="83"/>
        <v>58500</v>
      </c>
      <c r="J469" s="542">
        <v>0</v>
      </c>
      <c r="K469" s="542">
        <v>58500</v>
      </c>
      <c r="L469" s="542">
        <f t="shared" si="84"/>
        <v>6500</v>
      </c>
      <c r="M469" s="542">
        <v>0</v>
      </c>
      <c r="N469" s="542">
        <v>6500</v>
      </c>
    </row>
    <row r="470" spans="1:14" s="545" customFormat="1" ht="18" customHeight="1" hidden="1">
      <c r="A470" s="1001"/>
      <c r="B470" s="1002"/>
      <c r="C470" s="1003"/>
      <c r="D470" s="1004"/>
      <c r="E470" s="997"/>
      <c r="F470" s="998"/>
      <c r="G470" s="580" t="s">
        <v>14</v>
      </c>
      <c r="H470" s="541">
        <f t="shared" si="82"/>
        <v>0</v>
      </c>
      <c r="I470" s="542">
        <f t="shared" si="83"/>
        <v>0</v>
      </c>
      <c r="J470" s="542">
        <v>0</v>
      </c>
      <c r="K470" s="542">
        <v>0</v>
      </c>
      <c r="L470" s="542">
        <f t="shared" si="84"/>
        <v>0</v>
      </c>
      <c r="M470" s="542">
        <v>0</v>
      </c>
      <c r="N470" s="542">
        <v>0</v>
      </c>
    </row>
    <row r="471" spans="1:14" s="454" customFormat="1" ht="18" customHeight="1" hidden="1">
      <c r="A471" s="1005"/>
      <c r="B471" s="1006"/>
      <c r="C471" s="1007"/>
      <c r="D471" s="1008"/>
      <c r="E471" s="999"/>
      <c r="F471" s="1000"/>
      <c r="G471" s="544" t="s">
        <v>15</v>
      </c>
      <c r="H471" s="541">
        <f t="shared" si="82"/>
        <v>65000</v>
      </c>
      <c r="I471" s="542">
        <f t="shared" si="83"/>
        <v>58500</v>
      </c>
      <c r="J471" s="542">
        <f>J469+J470</f>
        <v>0</v>
      </c>
      <c r="K471" s="542">
        <f>K469+K470</f>
        <v>58500</v>
      </c>
      <c r="L471" s="542">
        <f t="shared" si="84"/>
        <v>6500</v>
      </c>
      <c r="M471" s="542">
        <f>M469+M470</f>
        <v>0</v>
      </c>
      <c r="N471" s="542">
        <f>N469+N470</f>
        <v>6500</v>
      </c>
    </row>
    <row r="472" spans="1:14" s="545" customFormat="1" ht="15" customHeight="1">
      <c r="A472" s="991" t="s">
        <v>222</v>
      </c>
      <c r="B472" s="1013"/>
      <c r="C472" s="993" t="s">
        <v>985</v>
      </c>
      <c r="D472" s="994"/>
      <c r="E472" s="995" t="s">
        <v>986</v>
      </c>
      <c r="F472" s="996"/>
      <c r="G472" s="580" t="s">
        <v>13</v>
      </c>
      <c r="H472" s="512">
        <f t="shared" si="82"/>
        <v>240000</v>
      </c>
      <c r="I472" s="513">
        <f t="shared" si="83"/>
        <v>240000</v>
      </c>
      <c r="J472" s="513">
        <v>0</v>
      </c>
      <c r="K472" s="513">
        <v>240000</v>
      </c>
      <c r="L472" s="513">
        <f t="shared" si="84"/>
        <v>0</v>
      </c>
      <c r="M472" s="513">
        <v>0</v>
      </c>
      <c r="N472" s="513">
        <v>0</v>
      </c>
    </row>
    <row r="473" spans="1:14" s="545" customFormat="1" ht="15" customHeight="1">
      <c r="A473" s="1001"/>
      <c r="B473" s="1002"/>
      <c r="C473" s="1003"/>
      <c r="D473" s="1004"/>
      <c r="E473" s="997"/>
      <c r="F473" s="998"/>
      <c r="G473" s="580" t="s">
        <v>14</v>
      </c>
      <c r="H473" s="512">
        <f t="shared" si="82"/>
        <v>-240000</v>
      </c>
      <c r="I473" s="513">
        <f t="shared" si="83"/>
        <v>-240000</v>
      </c>
      <c r="J473" s="513">
        <v>0</v>
      </c>
      <c r="K473" s="513">
        <v>-240000</v>
      </c>
      <c r="L473" s="513">
        <f t="shared" si="84"/>
        <v>0</v>
      </c>
      <c r="M473" s="513">
        <v>0</v>
      </c>
      <c r="N473" s="513">
        <v>0</v>
      </c>
    </row>
    <row r="474" spans="1:14" s="454" customFormat="1" ht="15" customHeight="1">
      <c r="A474" s="1005"/>
      <c r="B474" s="1006"/>
      <c r="C474" s="1007"/>
      <c r="D474" s="1008"/>
      <c r="E474" s="999"/>
      <c r="F474" s="1000"/>
      <c r="G474" s="544" t="s">
        <v>15</v>
      </c>
      <c r="H474" s="541">
        <f t="shared" si="82"/>
        <v>0</v>
      </c>
      <c r="I474" s="542">
        <f t="shared" si="83"/>
        <v>0</v>
      </c>
      <c r="J474" s="542">
        <f>J472+J473</f>
        <v>0</v>
      </c>
      <c r="K474" s="542">
        <f>K472+K473</f>
        <v>0</v>
      </c>
      <c r="L474" s="542">
        <f t="shared" si="84"/>
        <v>0</v>
      </c>
      <c r="M474" s="542">
        <f>M472+M473</f>
        <v>0</v>
      </c>
      <c r="N474" s="542">
        <f>N472+N473</f>
        <v>0</v>
      </c>
    </row>
    <row r="475" spans="1:14" s="545" customFormat="1" ht="18" customHeight="1" hidden="1">
      <c r="A475" s="1001"/>
      <c r="B475" s="1002"/>
      <c r="C475" s="1003"/>
      <c r="D475" s="1004"/>
      <c r="E475" s="995" t="s">
        <v>987</v>
      </c>
      <c r="F475" s="996"/>
      <c r="G475" s="580" t="s">
        <v>13</v>
      </c>
      <c r="H475" s="512">
        <f t="shared" si="82"/>
        <v>200000</v>
      </c>
      <c r="I475" s="513">
        <f t="shared" si="83"/>
        <v>200000</v>
      </c>
      <c r="J475" s="513">
        <v>0</v>
      </c>
      <c r="K475" s="513">
        <v>200000</v>
      </c>
      <c r="L475" s="513">
        <f t="shared" si="84"/>
        <v>0</v>
      </c>
      <c r="M475" s="513">
        <v>0</v>
      </c>
      <c r="N475" s="513">
        <v>0</v>
      </c>
    </row>
    <row r="476" spans="1:14" s="545" customFormat="1" ht="18" customHeight="1" hidden="1">
      <c r="A476" s="1001"/>
      <c r="B476" s="1002"/>
      <c r="C476" s="1003"/>
      <c r="D476" s="1004"/>
      <c r="E476" s="997"/>
      <c r="F476" s="998"/>
      <c r="G476" s="580" t="s">
        <v>14</v>
      </c>
      <c r="H476" s="512">
        <f t="shared" si="82"/>
        <v>0</v>
      </c>
      <c r="I476" s="513">
        <f t="shared" si="83"/>
        <v>0</v>
      </c>
      <c r="J476" s="513">
        <v>0</v>
      </c>
      <c r="K476" s="513">
        <v>0</v>
      </c>
      <c r="L476" s="513">
        <f t="shared" si="84"/>
        <v>0</v>
      </c>
      <c r="M476" s="513">
        <v>0</v>
      </c>
      <c r="N476" s="513">
        <v>0</v>
      </c>
    </row>
    <row r="477" spans="1:14" s="454" customFormat="1" ht="18" customHeight="1" hidden="1">
      <c r="A477" s="1005"/>
      <c r="B477" s="1006"/>
      <c r="C477" s="1007"/>
      <c r="D477" s="1008"/>
      <c r="E477" s="999"/>
      <c r="F477" s="1000"/>
      <c r="G477" s="544" t="s">
        <v>15</v>
      </c>
      <c r="H477" s="541">
        <f t="shared" si="82"/>
        <v>200000</v>
      </c>
      <c r="I477" s="542">
        <f t="shared" si="83"/>
        <v>200000</v>
      </c>
      <c r="J477" s="542">
        <f>J475+J476</f>
        <v>0</v>
      </c>
      <c r="K477" s="542">
        <f>K475+K476</f>
        <v>200000</v>
      </c>
      <c r="L477" s="542">
        <f t="shared" si="84"/>
        <v>0</v>
      </c>
      <c r="M477" s="542">
        <f>M475+M476</f>
        <v>0</v>
      </c>
      <c r="N477" s="542">
        <f>N475+N476</f>
        <v>0</v>
      </c>
    </row>
    <row r="478" spans="1:14" s="545" customFormat="1" ht="18" customHeight="1" hidden="1">
      <c r="A478" s="1001"/>
      <c r="B478" s="1002"/>
      <c r="C478" s="1003"/>
      <c r="D478" s="1004"/>
      <c r="E478" s="995" t="s">
        <v>988</v>
      </c>
      <c r="F478" s="996"/>
      <c r="G478" s="580" t="s">
        <v>13</v>
      </c>
      <c r="H478" s="512">
        <f t="shared" si="82"/>
        <v>10000</v>
      </c>
      <c r="I478" s="513">
        <f t="shared" si="83"/>
        <v>10000</v>
      </c>
      <c r="J478" s="513">
        <v>0</v>
      </c>
      <c r="K478" s="513">
        <v>10000</v>
      </c>
      <c r="L478" s="513">
        <f t="shared" si="84"/>
        <v>0</v>
      </c>
      <c r="M478" s="513">
        <v>0</v>
      </c>
      <c r="N478" s="513">
        <v>0</v>
      </c>
    </row>
    <row r="479" spans="1:14" s="545" customFormat="1" ht="18" customHeight="1" hidden="1">
      <c r="A479" s="1001"/>
      <c r="B479" s="1002"/>
      <c r="C479" s="1003"/>
      <c r="D479" s="1004"/>
      <c r="E479" s="997"/>
      <c r="F479" s="998"/>
      <c r="G479" s="580" t="s">
        <v>14</v>
      </c>
      <c r="H479" s="512">
        <f t="shared" si="82"/>
        <v>0</v>
      </c>
      <c r="I479" s="513">
        <f t="shared" si="83"/>
        <v>0</v>
      </c>
      <c r="J479" s="513">
        <v>0</v>
      </c>
      <c r="K479" s="513">
        <v>0</v>
      </c>
      <c r="L479" s="513">
        <f t="shared" si="84"/>
        <v>0</v>
      </c>
      <c r="M479" s="513">
        <v>0</v>
      </c>
      <c r="N479" s="513">
        <v>0</v>
      </c>
    </row>
    <row r="480" spans="1:14" s="454" customFormat="1" ht="18" customHeight="1" hidden="1">
      <c r="A480" s="1005"/>
      <c r="B480" s="1006"/>
      <c r="C480" s="1007"/>
      <c r="D480" s="1008"/>
      <c r="E480" s="999"/>
      <c r="F480" s="1000"/>
      <c r="G480" s="544" t="s">
        <v>15</v>
      </c>
      <c r="H480" s="541">
        <f t="shared" si="82"/>
        <v>10000</v>
      </c>
      <c r="I480" s="542">
        <f t="shared" si="83"/>
        <v>10000</v>
      </c>
      <c r="J480" s="542">
        <f>J478+J479</f>
        <v>0</v>
      </c>
      <c r="K480" s="542">
        <f>K478+K479</f>
        <v>10000</v>
      </c>
      <c r="L480" s="542">
        <f t="shared" si="84"/>
        <v>0</v>
      </c>
      <c r="M480" s="542">
        <f>M478+M479</f>
        <v>0</v>
      </c>
      <c r="N480" s="542">
        <f>N478+N479</f>
        <v>0</v>
      </c>
    </row>
    <row r="481" spans="1:14" s="545" customFormat="1" ht="18" customHeight="1" hidden="1">
      <c r="A481" s="1001"/>
      <c r="B481" s="1002"/>
      <c r="C481" s="1003"/>
      <c r="D481" s="1004"/>
      <c r="E481" s="995" t="s">
        <v>989</v>
      </c>
      <c r="F481" s="996"/>
      <c r="G481" s="580" t="s">
        <v>13</v>
      </c>
      <c r="H481" s="512">
        <f t="shared" si="82"/>
        <v>20000</v>
      </c>
      <c r="I481" s="513">
        <f t="shared" si="83"/>
        <v>20000</v>
      </c>
      <c r="J481" s="513">
        <v>0</v>
      </c>
      <c r="K481" s="513">
        <v>20000</v>
      </c>
      <c r="L481" s="513">
        <f t="shared" si="84"/>
        <v>0</v>
      </c>
      <c r="M481" s="513">
        <v>0</v>
      </c>
      <c r="N481" s="513">
        <v>0</v>
      </c>
    </row>
    <row r="482" spans="1:14" s="545" customFormat="1" ht="18" customHeight="1" hidden="1">
      <c r="A482" s="1001"/>
      <c r="B482" s="1002"/>
      <c r="C482" s="1003"/>
      <c r="D482" s="1004"/>
      <c r="E482" s="997"/>
      <c r="F482" s="998"/>
      <c r="G482" s="580" t="s">
        <v>14</v>
      </c>
      <c r="H482" s="512">
        <f t="shared" si="82"/>
        <v>0</v>
      </c>
      <c r="I482" s="513">
        <f t="shared" si="83"/>
        <v>0</v>
      </c>
      <c r="J482" s="513">
        <v>0</v>
      </c>
      <c r="K482" s="513">
        <v>0</v>
      </c>
      <c r="L482" s="513">
        <f t="shared" si="84"/>
        <v>0</v>
      </c>
      <c r="M482" s="513">
        <v>0</v>
      </c>
      <c r="N482" s="513">
        <v>0</v>
      </c>
    </row>
    <row r="483" spans="1:14" s="454" customFormat="1" ht="18" customHeight="1" hidden="1">
      <c r="A483" s="1005"/>
      <c r="B483" s="1006"/>
      <c r="C483" s="1007"/>
      <c r="D483" s="1008"/>
      <c r="E483" s="999"/>
      <c r="F483" s="1000"/>
      <c r="G483" s="544" t="s">
        <v>15</v>
      </c>
      <c r="H483" s="541">
        <f t="shared" si="82"/>
        <v>20000</v>
      </c>
      <c r="I483" s="542">
        <f t="shared" si="83"/>
        <v>20000</v>
      </c>
      <c r="J483" s="542">
        <f>J481+J482</f>
        <v>0</v>
      </c>
      <c r="K483" s="542">
        <f>K481+K482</f>
        <v>20000</v>
      </c>
      <c r="L483" s="542">
        <f t="shared" si="84"/>
        <v>0</v>
      </c>
      <c r="M483" s="542">
        <f>M481+M482</f>
        <v>0</v>
      </c>
      <c r="N483" s="542">
        <f>N481+N482</f>
        <v>0</v>
      </c>
    </row>
    <row r="484" spans="1:14" s="545" customFormat="1" ht="18" customHeight="1" hidden="1">
      <c r="A484" s="1001"/>
      <c r="B484" s="1002"/>
      <c r="C484" s="993" t="s">
        <v>267</v>
      </c>
      <c r="D484" s="994"/>
      <c r="E484" s="1031" t="s">
        <v>990</v>
      </c>
      <c r="F484" s="1032"/>
      <c r="G484" s="580" t="s">
        <v>13</v>
      </c>
      <c r="H484" s="512">
        <f t="shared" si="82"/>
        <v>111000</v>
      </c>
      <c r="I484" s="513">
        <f t="shared" si="83"/>
        <v>111000</v>
      </c>
      <c r="J484" s="513">
        <v>111000</v>
      </c>
      <c r="K484" s="513">
        <v>0</v>
      </c>
      <c r="L484" s="513">
        <f t="shared" si="84"/>
        <v>0</v>
      </c>
      <c r="M484" s="513">
        <v>0</v>
      </c>
      <c r="N484" s="513">
        <v>0</v>
      </c>
    </row>
    <row r="485" spans="1:14" s="545" customFormat="1" ht="18" customHeight="1" hidden="1">
      <c r="A485" s="1001"/>
      <c r="B485" s="1002"/>
      <c r="C485" s="1003"/>
      <c r="D485" s="1004"/>
      <c r="E485" s="1033"/>
      <c r="F485" s="1034"/>
      <c r="G485" s="580" t="s">
        <v>14</v>
      </c>
      <c r="H485" s="512">
        <f t="shared" si="82"/>
        <v>0</v>
      </c>
      <c r="I485" s="513">
        <f t="shared" si="83"/>
        <v>0</v>
      </c>
      <c r="J485" s="513">
        <v>0</v>
      </c>
      <c r="K485" s="513">
        <v>0</v>
      </c>
      <c r="L485" s="513">
        <f t="shared" si="84"/>
        <v>0</v>
      </c>
      <c r="M485" s="513">
        <v>0</v>
      </c>
      <c r="N485" s="513">
        <v>0</v>
      </c>
    </row>
    <row r="486" spans="1:14" s="454" customFormat="1" ht="18" customHeight="1" hidden="1">
      <c r="A486" s="1005"/>
      <c r="B486" s="1006"/>
      <c r="C486" s="1007"/>
      <c r="D486" s="1008"/>
      <c r="E486" s="1035"/>
      <c r="F486" s="1036"/>
      <c r="G486" s="544" t="s">
        <v>15</v>
      </c>
      <c r="H486" s="541">
        <f aca="true" t="shared" si="85" ref="H486:H549">I486+L486</f>
        <v>111000</v>
      </c>
      <c r="I486" s="542">
        <f aca="true" t="shared" si="86" ref="I486:I549">J486+K486</f>
        <v>111000</v>
      </c>
      <c r="J486" s="542">
        <f>J484+J485</f>
        <v>111000</v>
      </c>
      <c r="K486" s="542">
        <f>K484+K485</f>
        <v>0</v>
      </c>
      <c r="L486" s="542">
        <f aca="true" t="shared" si="87" ref="L486:L549">M486+N486</f>
        <v>0</v>
      </c>
      <c r="M486" s="542">
        <f>M484+M485</f>
        <v>0</v>
      </c>
      <c r="N486" s="542">
        <f>N484+N485</f>
        <v>0</v>
      </c>
    </row>
    <row r="487" spans="1:14" s="545" customFormat="1" ht="18" customHeight="1" hidden="1">
      <c r="A487" s="1001"/>
      <c r="B487" s="1002"/>
      <c r="C487" s="1003"/>
      <c r="D487" s="1004"/>
      <c r="E487" s="1031" t="s">
        <v>991</v>
      </c>
      <c r="F487" s="1032"/>
      <c r="G487" s="580" t="s">
        <v>13</v>
      </c>
      <c r="H487" s="512">
        <f t="shared" si="85"/>
        <v>1000000</v>
      </c>
      <c r="I487" s="513">
        <f t="shared" si="86"/>
        <v>1000000</v>
      </c>
      <c r="J487" s="513">
        <v>1000000</v>
      </c>
      <c r="K487" s="513">
        <v>0</v>
      </c>
      <c r="L487" s="513">
        <f t="shared" si="87"/>
        <v>0</v>
      </c>
      <c r="M487" s="513">
        <v>0</v>
      </c>
      <c r="N487" s="513">
        <v>0</v>
      </c>
    </row>
    <row r="488" spans="1:14" s="545" customFormat="1" ht="18" customHeight="1" hidden="1">
      <c r="A488" s="1001"/>
      <c r="B488" s="1002"/>
      <c r="C488" s="1003"/>
      <c r="D488" s="1004"/>
      <c r="E488" s="1033"/>
      <c r="F488" s="1034"/>
      <c r="G488" s="580" t="s">
        <v>14</v>
      </c>
      <c r="H488" s="512">
        <f t="shared" si="85"/>
        <v>0</v>
      </c>
      <c r="I488" s="513">
        <f t="shared" si="86"/>
        <v>0</v>
      </c>
      <c r="J488" s="513">
        <v>0</v>
      </c>
      <c r="K488" s="513">
        <v>0</v>
      </c>
      <c r="L488" s="513">
        <f t="shared" si="87"/>
        <v>0</v>
      </c>
      <c r="M488" s="513">
        <v>0</v>
      </c>
      <c r="N488" s="513">
        <v>0</v>
      </c>
    </row>
    <row r="489" spans="1:14" s="454" customFormat="1" ht="18" customHeight="1" hidden="1">
      <c r="A489" s="1005"/>
      <c r="B489" s="1006"/>
      <c r="C489" s="1007"/>
      <c r="D489" s="1008"/>
      <c r="E489" s="1035"/>
      <c r="F489" s="1036"/>
      <c r="G489" s="544" t="s">
        <v>15</v>
      </c>
      <c r="H489" s="541">
        <f t="shared" si="85"/>
        <v>1000000</v>
      </c>
      <c r="I489" s="542">
        <f t="shared" si="86"/>
        <v>1000000</v>
      </c>
      <c r="J489" s="542">
        <f>J487+J488</f>
        <v>1000000</v>
      </c>
      <c r="K489" s="542">
        <f>K487+K488</f>
        <v>0</v>
      </c>
      <c r="L489" s="542">
        <f t="shared" si="87"/>
        <v>0</v>
      </c>
      <c r="M489" s="542">
        <f>M487+M488</f>
        <v>0</v>
      </c>
      <c r="N489" s="542">
        <f>N487+N488</f>
        <v>0</v>
      </c>
    </row>
    <row r="490" spans="1:14" s="545" customFormat="1" ht="18" customHeight="1" hidden="1">
      <c r="A490" s="1001"/>
      <c r="B490" s="1002"/>
      <c r="C490" s="1003"/>
      <c r="D490" s="1004"/>
      <c r="E490" s="995" t="s">
        <v>992</v>
      </c>
      <c r="F490" s="996"/>
      <c r="G490" s="580" t="s">
        <v>13</v>
      </c>
      <c r="H490" s="512">
        <f t="shared" si="85"/>
        <v>861574</v>
      </c>
      <c r="I490" s="513">
        <f t="shared" si="86"/>
        <v>861574</v>
      </c>
      <c r="J490" s="513">
        <v>861574</v>
      </c>
      <c r="K490" s="513">
        <v>0</v>
      </c>
      <c r="L490" s="513">
        <f t="shared" si="87"/>
        <v>0</v>
      </c>
      <c r="M490" s="513">
        <v>0</v>
      </c>
      <c r="N490" s="513">
        <v>0</v>
      </c>
    </row>
    <row r="491" spans="1:14" s="545" customFormat="1" ht="18" customHeight="1" hidden="1">
      <c r="A491" s="1001"/>
      <c r="B491" s="1002"/>
      <c r="C491" s="1003"/>
      <c r="D491" s="1004"/>
      <c r="E491" s="997"/>
      <c r="F491" s="998"/>
      <c r="G491" s="580" t="s">
        <v>14</v>
      </c>
      <c r="H491" s="512">
        <f t="shared" si="85"/>
        <v>0</v>
      </c>
      <c r="I491" s="513">
        <f t="shared" si="86"/>
        <v>0</v>
      </c>
      <c r="J491" s="513">
        <v>0</v>
      </c>
      <c r="K491" s="513">
        <v>0</v>
      </c>
      <c r="L491" s="513">
        <f t="shared" si="87"/>
        <v>0</v>
      </c>
      <c r="M491" s="513">
        <v>0</v>
      </c>
      <c r="N491" s="513">
        <v>0</v>
      </c>
    </row>
    <row r="492" spans="1:14" s="454" customFormat="1" ht="18" customHeight="1" hidden="1">
      <c r="A492" s="1005"/>
      <c r="B492" s="1006"/>
      <c r="C492" s="1007"/>
      <c r="D492" s="1008"/>
      <c r="E492" s="999"/>
      <c r="F492" s="1000"/>
      <c r="G492" s="544" t="s">
        <v>15</v>
      </c>
      <c r="H492" s="541">
        <f t="shared" si="85"/>
        <v>861574</v>
      </c>
      <c r="I492" s="542">
        <f t="shared" si="86"/>
        <v>861574</v>
      </c>
      <c r="J492" s="542">
        <f>J490+J491</f>
        <v>861574</v>
      </c>
      <c r="K492" s="542">
        <f>K490+K491</f>
        <v>0</v>
      </c>
      <c r="L492" s="542">
        <f t="shared" si="87"/>
        <v>0</v>
      </c>
      <c r="M492" s="542">
        <f>M490+M491</f>
        <v>0</v>
      </c>
      <c r="N492" s="542">
        <f>N490+N491</f>
        <v>0</v>
      </c>
    </row>
    <row r="493" spans="1:14" s="545" customFormat="1" ht="18" customHeight="1" hidden="1">
      <c r="A493" s="1001"/>
      <c r="B493" s="1002"/>
      <c r="C493" s="1003"/>
      <c r="D493" s="1004"/>
      <c r="E493" s="1018" t="s">
        <v>993</v>
      </c>
      <c r="F493" s="996"/>
      <c r="G493" s="580" t="s">
        <v>13</v>
      </c>
      <c r="H493" s="512">
        <f t="shared" si="85"/>
        <v>890516</v>
      </c>
      <c r="I493" s="513">
        <f t="shared" si="86"/>
        <v>890516</v>
      </c>
      <c r="J493" s="513">
        <v>890516</v>
      </c>
      <c r="K493" s="513">
        <v>0</v>
      </c>
      <c r="L493" s="513">
        <f t="shared" si="87"/>
        <v>0</v>
      </c>
      <c r="M493" s="513">
        <v>0</v>
      </c>
      <c r="N493" s="513">
        <v>0</v>
      </c>
    </row>
    <row r="494" spans="1:14" s="545" customFormat="1" ht="18" customHeight="1" hidden="1">
      <c r="A494" s="1001"/>
      <c r="B494" s="1002"/>
      <c r="C494" s="1003"/>
      <c r="D494" s="1004"/>
      <c r="E494" s="997"/>
      <c r="F494" s="998"/>
      <c r="G494" s="580" t="s">
        <v>14</v>
      </c>
      <c r="H494" s="512">
        <f t="shared" si="85"/>
        <v>0</v>
      </c>
      <c r="I494" s="513">
        <f t="shared" si="86"/>
        <v>0</v>
      </c>
      <c r="J494" s="513">
        <v>0</v>
      </c>
      <c r="K494" s="513">
        <v>0</v>
      </c>
      <c r="L494" s="513">
        <f t="shared" si="87"/>
        <v>0</v>
      </c>
      <c r="M494" s="513">
        <v>0</v>
      </c>
      <c r="N494" s="513">
        <v>0</v>
      </c>
    </row>
    <row r="495" spans="1:14" s="454" customFormat="1" ht="18" customHeight="1" hidden="1">
      <c r="A495" s="1005"/>
      <c r="B495" s="1006"/>
      <c r="C495" s="1007"/>
      <c r="D495" s="1008"/>
      <c r="E495" s="999"/>
      <c r="F495" s="1000"/>
      <c r="G495" s="544" t="s">
        <v>15</v>
      </c>
      <c r="H495" s="541">
        <f t="shared" si="85"/>
        <v>890516</v>
      </c>
      <c r="I495" s="542">
        <f t="shared" si="86"/>
        <v>890516</v>
      </c>
      <c r="J495" s="542">
        <f>J493+J494</f>
        <v>890516</v>
      </c>
      <c r="K495" s="542">
        <f>K493+K494</f>
        <v>0</v>
      </c>
      <c r="L495" s="542">
        <f t="shared" si="87"/>
        <v>0</v>
      </c>
      <c r="M495" s="542">
        <f>M493+M494</f>
        <v>0</v>
      </c>
      <c r="N495" s="542">
        <f>N493+N494</f>
        <v>0</v>
      </c>
    </row>
    <row r="496" spans="1:14" s="545" customFormat="1" ht="18" customHeight="1" hidden="1">
      <c r="A496" s="1001"/>
      <c r="B496" s="1002"/>
      <c r="C496" s="1003"/>
      <c r="D496" s="1004"/>
      <c r="E496" s="995" t="s">
        <v>994</v>
      </c>
      <c r="F496" s="996"/>
      <c r="G496" s="580" t="s">
        <v>13</v>
      </c>
      <c r="H496" s="512">
        <f t="shared" si="85"/>
        <v>600000</v>
      </c>
      <c r="I496" s="513">
        <f t="shared" si="86"/>
        <v>600000</v>
      </c>
      <c r="J496" s="513">
        <v>600000</v>
      </c>
      <c r="K496" s="513">
        <v>0</v>
      </c>
      <c r="L496" s="513">
        <f t="shared" si="87"/>
        <v>0</v>
      </c>
      <c r="M496" s="513">
        <v>0</v>
      </c>
      <c r="N496" s="513">
        <v>0</v>
      </c>
    </row>
    <row r="497" spans="1:14" s="545" customFormat="1" ht="18" customHeight="1" hidden="1">
      <c r="A497" s="1001"/>
      <c r="B497" s="1002"/>
      <c r="C497" s="1003"/>
      <c r="D497" s="1004"/>
      <c r="E497" s="997"/>
      <c r="F497" s="998"/>
      <c r="G497" s="580" t="s">
        <v>14</v>
      </c>
      <c r="H497" s="512">
        <f t="shared" si="85"/>
        <v>0</v>
      </c>
      <c r="I497" s="513">
        <f t="shared" si="86"/>
        <v>0</v>
      </c>
      <c r="J497" s="513">
        <v>0</v>
      </c>
      <c r="K497" s="513">
        <v>0</v>
      </c>
      <c r="L497" s="513">
        <f t="shared" si="87"/>
        <v>0</v>
      </c>
      <c r="M497" s="513">
        <v>0</v>
      </c>
      <c r="N497" s="513">
        <v>0</v>
      </c>
    </row>
    <row r="498" spans="1:14" s="454" customFormat="1" ht="18" customHeight="1" hidden="1">
      <c r="A498" s="1005"/>
      <c r="B498" s="1006"/>
      <c r="C498" s="1007"/>
      <c r="D498" s="1008"/>
      <c r="E498" s="999"/>
      <c r="F498" s="1000"/>
      <c r="G498" s="544" t="s">
        <v>15</v>
      </c>
      <c r="H498" s="541">
        <f t="shared" si="85"/>
        <v>600000</v>
      </c>
      <c r="I498" s="542">
        <f t="shared" si="86"/>
        <v>600000</v>
      </c>
      <c r="J498" s="542">
        <f>J496+J497</f>
        <v>600000</v>
      </c>
      <c r="K498" s="542">
        <f>K496+K497</f>
        <v>0</v>
      </c>
      <c r="L498" s="542">
        <f t="shared" si="87"/>
        <v>0</v>
      </c>
      <c r="M498" s="542">
        <f>M496+M497</f>
        <v>0</v>
      </c>
      <c r="N498" s="542">
        <f>N496+N497</f>
        <v>0</v>
      </c>
    </row>
    <row r="499" spans="1:14" s="545" customFormat="1" ht="15" customHeight="1">
      <c r="A499" s="1001"/>
      <c r="B499" s="1002"/>
      <c r="C499" s="993" t="s">
        <v>267</v>
      </c>
      <c r="D499" s="994"/>
      <c r="E499" s="995" t="s">
        <v>995</v>
      </c>
      <c r="F499" s="996"/>
      <c r="G499" s="580" t="s">
        <v>13</v>
      </c>
      <c r="H499" s="512">
        <f t="shared" si="85"/>
        <v>0</v>
      </c>
      <c r="I499" s="513">
        <f t="shared" si="86"/>
        <v>0</v>
      </c>
      <c r="J499" s="513">
        <v>0</v>
      </c>
      <c r="K499" s="513">
        <v>0</v>
      </c>
      <c r="L499" s="513">
        <f t="shared" si="87"/>
        <v>0</v>
      </c>
      <c r="M499" s="513">
        <v>0</v>
      </c>
      <c r="N499" s="513">
        <v>0</v>
      </c>
    </row>
    <row r="500" spans="1:14" s="545" customFormat="1" ht="15" customHeight="1">
      <c r="A500" s="1001"/>
      <c r="B500" s="1002"/>
      <c r="C500" s="1003"/>
      <c r="D500" s="1004"/>
      <c r="E500" s="997"/>
      <c r="F500" s="998"/>
      <c r="G500" s="580" t="s">
        <v>14</v>
      </c>
      <c r="H500" s="512">
        <f t="shared" si="85"/>
        <v>23422</v>
      </c>
      <c r="I500" s="513">
        <f t="shared" si="86"/>
        <v>23422</v>
      </c>
      <c r="J500" s="513">
        <v>0</v>
      </c>
      <c r="K500" s="513">
        <v>23422</v>
      </c>
      <c r="L500" s="513">
        <f t="shared" si="87"/>
        <v>0</v>
      </c>
      <c r="M500" s="513">
        <v>0</v>
      </c>
      <c r="N500" s="513">
        <v>0</v>
      </c>
    </row>
    <row r="501" spans="1:14" s="454" customFormat="1" ht="15" customHeight="1">
      <c r="A501" s="1005"/>
      <c r="B501" s="1006"/>
      <c r="C501" s="1007"/>
      <c r="D501" s="1008"/>
      <c r="E501" s="999"/>
      <c r="F501" s="1000"/>
      <c r="G501" s="544" t="s">
        <v>15</v>
      </c>
      <c r="H501" s="541">
        <f t="shared" si="85"/>
        <v>23422</v>
      </c>
      <c r="I501" s="542">
        <f t="shared" si="86"/>
        <v>23422</v>
      </c>
      <c r="J501" s="542">
        <f>J499+J500</f>
        <v>0</v>
      </c>
      <c r="K501" s="542">
        <f>K499+K500</f>
        <v>23422</v>
      </c>
      <c r="L501" s="542">
        <f t="shared" si="87"/>
        <v>0</v>
      </c>
      <c r="M501" s="542">
        <f>M499+M500</f>
        <v>0</v>
      </c>
      <c r="N501" s="542">
        <f>N499+N500</f>
        <v>0</v>
      </c>
    </row>
    <row r="502" spans="1:14" s="545" customFormat="1" ht="15" customHeight="1">
      <c r="A502" s="1001"/>
      <c r="B502" s="1002"/>
      <c r="C502" s="1003"/>
      <c r="D502" s="1004"/>
      <c r="E502" s="995" t="s">
        <v>996</v>
      </c>
      <c r="F502" s="996"/>
      <c r="G502" s="580" t="s">
        <v>13</v>
      </c>
      <c r="H502" s="512">
        <f t="shared" si="85"/>
        <v>0</v>
      </c>
      <c r="I502" s="513">
        <f t="shared" si="86"/>
        <v>0</v>
      </c>
      <c r="J502" s="513">
        <v>0</v>
      </c>
      <c r="K502" s="513">
        <v>0</v>
      </c>
      <c r="L502" s="513">
        <f t="shared" si="87"/>
        <v>0</v>
      </c>
      <c r="M502" s="513">
        <v>0</v>
      </c>
      <c r="N502" s="513">
        <v>0</v>
      </c>
    </row>
    <row r="503" spans="1:14" s="545" customFormat="1" ht="15" customHeight="1">
      <c r="A503" s="1001"/>
      <c r="B503" s="1002"/>
      <c r="C503" s="1003"/>
      <c r="D503" s="1004"/>
      <c r="E503" s="997"/>
      <c r="F503" s="998"/>
      <c r="G503" s="580" t="s">
        <v>14</v>
      </c>
      <c r="H503" s="512">
        <f t="shared" si="85"/>
        <v>24035</v>
      </c>
      <c r="I503" s="513">
        <f t="shared" si="86"/>
        <v>24035</v>
      </c>
      <c r="J503" s="513">
        <v>0</v>
      </c>
      <c r="K503" s="513">
        <v>24035</v>
      </c>
      <c r="L503" s="513">
        <f t="shared" si="87"/>
        <v>0</v>
      </c>
      <c r="M503" s="513">
        <v>0</v>
      </c>
      <c r="N503" s="513">
        <v>0</v>
      </c>
    </row>
    <row r="504" spans="1:14" s="454" customFormat="1" ht="15" customHeight="1">
      <c r="A504" s="1005"/>
      <c r="B504" s="1006"/>
      <c r="C504" s="1007"/>
      <c r="D504" s="1008"/>
      <c r="E504" s="999"/>
      <c r="F504" s="1000"/>
      <c r="G504" s="544" t="s">
        <v>15</v>
      </c>
      <c r="H504" s="541">
        <f t="shared" si="85"/>
        <v>24035</v>
      </c>
      <c r="I504" s="542">
        <f t="shared" si="86"/>
        <v>24035</v>
      </c>
      <c r="J504" s="542">
        <f>J502+J503</f>
        <v>0</v>
      </c>
      <c r="K504" s="542">
        <f>K502+K503</f>
        <v>24035</v>
      </c>
      <c r="L504" s="542">
        <f t="shared" si="87"/>
        <v>0</v>
      </c>
      <c r="M504" s="542">
        <f>M502+M503</f>
        <v>0</v>
      </c>
      <c r="N504" s="542">
        <f>N502+N503</f>
        <v>0</v>
      </c>
    </row>
    <row r="505" spans="1:14" s="545" customFormat="1" ht="15" customHeight="1">
      <c r="A505" s="1001"/>
      <c r="B505" s="1002"/>
      <c r="C505" s="1003"/>
      <c r="D505" s="1004"/>
      <c r="E505" s="1018" t="s">
        <v>997</v>
      </c>
      <c r="F505" s="1019"/>
      <c r="G505" s="580" t="s">
        <v>13</v>
      </c>
      <c r="H505" s="512">
        <f t="shared" si="85"/>
        <v>28515</v>
      </c>
      <c r="I505" s="513">
        <f t="shared" si="86"/>
        <v>28515</v>
      </c>
      <c r="J505" s="513">
        <v>28515</v>
      </c>
      <c r="K505" s="513">
        <v>0</v>
      </c>
      <c r="L505" s="513">
        <f t="shared" si="87"/>
        <v>0</v>
      </c>
      <c r="M505" s="513">
        <v>0</v>
      </c>
      <c r="N505" s="513">
        <v>0</v>
      </c>
    </row>
    <row r="506" spans="1:14" s="545" customFormat="1" ht="15" customHeight="1">
      <c r="A506" s="1001"/>
      <c r="B506" s="1002"/>
      <c r="C506" s="1003"/>
      <c r="D506" s="1004"/>
      <c r="E506" s="1020"/>
      <c r="F506" s="1021"/>
      <c r="G506" s="580" t="s">
        <v>14</v>
      </c>
      <c r="H506" s="512">
        <f t="shared" si="85"/>
        <v>21062</v>
      </c>
      <c r="I506" s="513">
        <f t="shared" si="86"/>
        <v>21062</v>
      </c>
      <c r="J506" s="513">
        <v>21062</v>
      </c>
      <c r="K506" s="513">
        <v>0</v>
      </c>
      <c r="L506" s="513">
        <f t="shared" si="87"/>
        <v>0</v>
      </c>
      <c r="M506" s="513">
        <v>0</v>
      </c>
      <c r="N506" s="513">
        <v>0</v>
      </c>
    </row>
    <row r="507" spans="1:14" s="454" customFormat="1" ht="15" customHeight="1">
      <c r="A507" s="1005"/>
      <c r="B507" s="1006"/>
      <c r="C507" s="1007"/>
      <c r="D507" s="1008"/>
      <c r="E507" s="1022"/>
      <c r="F507" s="1023"/>
      <c r="G507" s="544" t="s">
        <v>15</v>
      </c>
      <c r="H507" s="541">
        <f t="shared" si="85"/>
        <v>49577</v>
      </c>
      <c r="I507" s="542">
        <f t="shared" si="86"/>
        <v>49577</v>
      </c>
      <c r="J507" s="542">
        <f>J505+J506</f>
        <v>49577</v>
      </c>
      <c r="K507" s="542">
        <f>K505+K506</f>
        <v>0</v>
      </c>
      <c r="L507" s="542">
        <f t="shared" si="87"/>
        <v>0</v>
      </c>
      <c r="M507" s="542">
        <f>M505+M506</f>
        <v>0</v>
      </c>
      <c r="N507" s="542">
        <f>N505+N506</f>
        <v>0</v>
      </c>
    </row>
    <row r="508" spans="1:14" s="545" customFormat="1" ht="18" customHeight="1" hidden="1">
      <c r="A508" s="1001"/>
      <c r="B508" s="1002"/>
      <c r="C508" s="1003"/>
      <c r="D508" s="1004"/>
      <c r="E508" s="1018" t="s">
        <v>998</v>
      </c>
      <c r="F508" s="1019"/>
      <c r="G508" s="580" t="s">
        <v>13</v>
      </c>
      <c r="H508" s="512">
        <f t="shared" si="85"/>
        <v>1183093</v>
      </c>
      <c r="I508" s="513">
        <f t="shared" si="86"/>
        <v>1183093</v>
      </c>
      <c r="J508" s="513">
        <v>1183093</v>
      </c>
      <c r="K508" s="513">
        <v>0</v>
      </c>
      <c r="L508" s="513">
        <f t="shared" si="87"/>
        <v>0</v>
      </c>
      <c r="M508" s="513">
        <v>0</v>
      </c>
      <c r="N508" s="513">
        <v>0</v>
      </c>
    </row>
    <row r="509" spans="1:14" s="545" customFormat="1" ht="18" customHeight="1" hidden="1">
      <c r="A509" s="1001"/>
      <c r="B509" s="1002"/>
      <c r="C509" s="1003"/>
      <c r="D509" s="1004"/>
      <c r="E509" s="1020"/>
      <c r="F509" s="1021"/>
      <c r="G509" s="580" t="s">
        <v>14</v>
      </c>
      <c r="H509" s="512">
        <f t="shared" si="85"/>
        <v>0</v>
      </c>
      <c r="I509" s="513">
        <f t="shared" si="86"/>
        <v>0</v>
      </c>
      <c r="J509" s="513">
        <v>0</v>
      </c>
      <c r="K509" s="513">
        <v>0</v>
      </c>
      <c r="L509" s="513">
        <f t="shared" si="87"/>
        <v>0</v>
      </c>
      <c r="M509" s="513">
        <v>0</v>
      </c>
      <c r="N509" s="513">
        <v>0</v>
      </c>
    </row>
    <row r="510" spans="1:14" s="545" customFormat="1" ht="18" customHeight="1" hidden="1">
      <c r="A510" s="1001"/>
      <c r="B510" s="1002"/>
      <c r="C510" s="1003"/>
      <c r="D510" s="1004"/>
      <c r="E510" s="1022"/>
      <c r="F510" s="1023"/>
      <c r="G510" s="580" t="s">
        <v>15</v>
      </c>
      <c r="H510" s="512">
        <f t="shared" si="85"/>
        <v>1183093</v>
      </c>
      <c r="I510" s="513">
        <f t="shared" si="86"/>
        <v>1183093</v>
      </c>
      <c r="J510" s="513">
        <f>J508+J509</f>
        <v>1183093</v>
      </c>
      <c r="K510" s="513">
        <f>K508+K509</f>
        <v>0</v>
      </c>
      <c r="L510" s="513">
        <f t="shared" si="87"/>
        <v>0</v>
      </c>
      <c r="M510" s="513">
        <f>M508+M509</f>
        <v>0</v>
      </c>
      <c r="N510" s="513">
        <f>N508+N509</f>
        <v>0</v>
      </c>
    </row>
    <row r="511" spans="1:14" s="545" customFormat="1" ht="18" customHeight="1" hidden="1">
      <c r="A511" s="1001"/>
      <c r="B511" s="1002"/>
      <c r="C511" s="1003"/>
      <c r="D511" s="1004"/>
      <c r="E511" s="1018" t="s">
        <v>999</v>
      </c>
      <c r="F511" s="1019"/>
      <c r="G511" s="580" t="s">
        <v>13</v>
      </c>
      <c r="H511" s="512">
        <f t="shared" si="85"/>
        <v>6814127</v>
      </c>
      <c r="I511" s="513">
        <f t="shared" si="86"/>
        <v>6814127</v>
      </c>
      <c r="J511" s="513">
        <v>6814127</v>
      </c>
      <c r="K511" s="513">
        <v>0</v>
      </c>
      <c r="L511" s="513">
        <f t="shared" si="87"/>
        <v>0</v>
      </c>
      <c r="M511" s="513">
        <v>0</v>
      </c>
      <c r="N511" s="513">
        <v>0</v>
      </c>
    </row>
    <row r="512" spans="1:14" s="545" customFormat="1" ht="18" customHeight="1" hidden="1">
      <c r="A512" s="1001"/>
      <c r="B512" s="1002"/>
      <c r="C512" s="1003"/>
      <c r="D512" s="1004"/>
      <c r="E512" s="1020"/>
      <c r="F512" s="1021"/>
      <c r="G512" s="580" t="s">
        <v>14</v>
      </c>
      <c r="H512" s="512">
        <f t="shared" si="85"/>
        <v>0</v>
      </c>
      <c r="I512" s="513">
        <f t="shared" si="86"/>
        <v>0</v>
      </c>
      <c r="J512" s="513">
        <v>0</v>
      </c>
      <c r="K512" s="513">
        <v>0</v>
      </c>
      <c r="L512" s="513">
        <f t="shared" si="87"/>
        <v>0</v>
      </c>
      <c r="M512" s="513">
        <v>0</v>
      </c>
      <c r="N512" s="513">
        <v>0</v>
      </c>
    </row>
    <row r="513" spans="1:14" s="545" customFormat="1" ht="18" customHeight="1" hidden="1">
      <c r="A513" s="1001"/>
      <c r="B513" s="1002"/>
      <c r="C513" s="1003"/>
      <c r="D513" s="1004"/>
      <c r="E513" s="1022"/>
      <c r="F513" s="1023"/>
      <c r="G513" s="580" t="s">
        <v>15</v>
      </c>
      <c r="H513" s="512">
        <f t="shared" si="85"/>
        <v>6814127</v>
      </c>
      <c r="I513" s="513">
        <f t="shared" si="86"/>
        <v>6814127</v>
      </c>
      <c r="J513" s="513">
        <f>J511+J512</f>
        <v>6814127</v>
      </c>
      <c r="K513" s="513">
        <f>K511+K512</f>
        <v>0</v>
      </c>
      <c r="L513" s="513">
        <f t="shared" si="87"/>
        <v>0</v>
      </c>
      <c r="M513" s="513">
        <f>M511+M512</f>
        <v>0</v>
      </c>
      <c r="N513" s="513">
        <f>N511+N512</f>
        <v>0</v>
      </c>
    </row>
    <row r="514" spans="1:14" s="545" customFormat="1" ht="18" customHeight="1" hidden="1">
      <c r="A514" s="1001"/>
      <c r="B514" s="1002"/>
      <c r="C514" s="993" t="s">
        <v>340</v>
      </c>
      <c r="D514" s="994"/>
      <c r="E514" s="995" t="s">
        <v>1000</v>
      </c>
      <c r="F514" s="996"/>
      <c r="G514" s="584" t="s">
        <v>13</v>
      </c>
      <c r="H514" s="512">
        <f t="shared" si="85"/>
        <v>144209</v>
      </c>
      <c r="I514" s="513">
        <f t="shared" si="86"/>
        <v>144209</v>
      </c>
      <c r="J514" s="513">
        <v>129212</v>
      </c>
      <c r="K514" s="513">
        <v>14997</v>
      </c>
      <c r="L514" s="513">
        <f t="shared" si="87"/>
        <v>0</v>
      </c>
      <c r="M514" s="513">
        <v>0</v>
      </c>
      <c r="N514" s="513">
        <v>0</v>
      </c>
    </row>
    <row r="515" spans="1:14" s="545" customFormat="1" ht="18" customHeight="1" hidden="1">
      <c r="A515" s="1001"/>
      <c r="B515" s="1028"/>
      <c r="C515" s="1003"/>
      <c r="D515" s="1028"/>
      <c r="E515" s="1024"/>
      <c r="F515" s="1025"/>
      <c r="G515" s="584" t="s">
        <v>14</v>
      </c>
      <c r="H515" s="512">
        <f t="shared" si="85"/>
        <v>0</v>
      </c>
      <c r="I515" s="513">
        <f t="shared" si="86"/>
        <v>0</v>
      </c>
      <c r="J515" s="513">
        <v>0</v>
      </c>
      <c r="K515" s="513">
        <v>0</v>
      </c>
      <c r="L515" s="513">
        <f t="shared" si="87"/>
        <v>0</v>
      </c>
      <c r="M515" s="513">
        <v>0</v>
      </c>
      <c r="N515" s="513">
        <v>0</v>
      </c>
    </row>
    <row r="516" spans="1:14" s="454" customFormat="1" ht="18" customHeight="1" hidden="1">
      <c r="A516" s="1005"/>
      <c r="B516" s="1029"/>
      <c r="C516" s="1007"/>
      <c r="D516" s="1029"/>
      <c r="E516" s="1026"/>
      <c r="F516" s="1027"/>
      <c r="G516" s="585" t="s">
        <v>15</v>
      </c>
      <c r="H516" s="541">
        <f t="shared" si="85"/>
        <v>144209</v>
      </c>
      <c r="I516" s="542">
        <f t="shared" si="86"/>
        <v>144209</v>
      </c>
      <c r="J516" s="542">
        <f>J514+J515</f>
        <v>129212</v>
      </c>
      <c r="K516" s="542">
        <f>K514+K515</f>
        <v>14997</v>
      </c>
      <c r="L516" s="542">
        <f t="shared" si="87"/>
        <v>0</v>
      </c>
      <c r="M516" s="542">
        <f>M514+M515</f>
        <v>0</v>
      </c>
      <c r="N516" s="542">
        <f>N514+N515</f>
        <v>0</v>
      </c>
    </row>
    <row r="517" spans="1:14" s="545" customFormat="1" ht="18" customHeight="1" hidden="1">
      <c r="A517" s="1001"/>
      <c r="B517" s="1002"/>
      <c r="C517" s="1003"/>
      <c r="D517" s="1004"/>
      <c r="E517" s="995" t="s">
        <v>1001</v>
      </c>
      <c r="F517" s="996"/>
      <c r="G517" s="584" t="s">
        <v>13</v>
      </c>
      <c r="H517" s="512">
        <f t="shared" si="85"/>
        <v>500000</v>
      </c>
      <c r="I517" s="513">
        <f t="shared" si="86"/>
        <v>500000</v>
      </c>
      <c r="J517" s="513">
        <v>500000</v>
      </c>
      <c r="K517" s="513">
        <v>0</v>
      </c>
      <c r="L517" s="513">
        <f t="shared" si="87"/>
        <v>0</v>
      </c>
      <c r="M517" s="513">
        <v>0</v>
      </c>
      <c r="N517" s="513">
        <v>0</v>
      </c>
    </row>
    <row r="518" spans="1:14" s="545" customFormat="1" ht="18" customHeight="1" hidden="1">
      <c r="A518" s="1001"/>
      <c r="B518" s="1028"/>
      <c r="C518" s="1003"/>
      <c r="D518" s="1028"/>
      <c r="E518" s="1024"/>
      <c r="F518" s="1025"/>
      <c r="G518" s="584" t="s">
        <v>14</v>
      </c>
      <c r="H518" s="512">
        <f t="shared" si="85"/>
        <v>0</v>
      </c>
      <c r="I518" s="513">
        <f t="shared" si="86"/>
        <v>0</v>
      </c>
      <c r="J518" s="513">
        <v>0</v>
      </c>
      <c r="K518" s="513">
        <v>0</v>
      </c>
      <c r="L518" s="513">
        <f t="shared" si="87"/>
        <v>0</v>
      </c>
      <c r="M518" s="513">
        <v>0</v>
      </c>
      <c r="N518" s="513">
        <v>0</v>
      </c>
    </row>
    <row r="519" spans="1:14" s="454" customFormat="1" ht="18" customHeight="1" hidden="1">
      <c r="A519" s="1005"/>
      <c r="B519" s="1029"/>
      <c r="C519" s="1007"/>
      <c r="D519" s="1029"/>
      <c r="E519" s="1026"/>
      <c r="F519" s="1027"/>
      <c r="G519" s="585" t="s">
        <v>15</v>
      </c>
      <c r="H519" s="541">
        <f t="shared" si="85"/>
        <v>500000</v>
      </c>
      <c r="I519" s="542">
        <f t="shared" si="86"/>
        <v>500000</v>
      </c>
      <c r="J519" s="542">
        <f>J517+J518</f>
        <v>500000</v>
      </c>
      <c r="K519" s="542">
        <f>K517+K518</f>
        <v>0</v>
      </c>
      <c r="L519" s="542">
        <f t="shared" si="87"/>
        <v>0</v>
      </c>
      <c r="M519" s="542">
        <f>M517+M518</f>
        <v>0</v>
      </c>
      <c r="N519" s="542">
        <f>N517+N518</f>
        <v>0</v>
      </c>
    </row>
    <row r="520" spans="1:14" s="545" customFormat="1" ht="18" customHeight="1" hidden="1">
      <c r="A520" s="1001"/>
      <c r="B520" s="1002"/>
      <c r="C520" s="993" t="s">
        <v>273</v>
      </c>
      <c r="D520" s="994"/>
      <c r="E520" s="995" t="s">
        <v>988</v>
      </c>
      <c r="F520" s="996"/>
      <c r="G520" s="580" t="s">
        <v>13</v>
      </c>
      <c r="H520" s="512">
        <f t="shared" si="85"/>
        <v>51000</v>
      </c>
      <c r="I520" s="513">
        <f t="shared" si="86"/>
        <v>51000</v>
      </c>
      <c r="J520" s="513">
        <v>0</v>
      </c>
      <c r="K520" s="513">
        <v>51000</v>
      </c>
      <c r="L520" s="513">
        <f t="shared" si="87"/>
        <v>0</v>
      </c>
      <c r="M520" s="513">
        <v>0</v>
      </c>
      <c r="N520" s="513">
        <v>0</v>
      </c>
    </row>
    <row r="521" spans="1:14" s="545" customFormat="1" ht="18" customHeight="1" hidden="1">
      <c r="A521" s="1001"/>
      <c r="B521" s="1002"/>
      <c r="C521" s="1003"/>
      <c r="D521" s="1004"/>
      <c r="E521" s="997"/>
      <c r="F521" s="998"/>
      <c r="G521" s="580" t="s">
        <v>14</v>
      </c>
      <c r="H521" s="512">
        <f t="shared" si="85"/>
        <v>0</v>
      </c>
      <c r="I521" s="513">
        <f t="shared" si="86"/>
        <v>0</v>
      </c>
      <c r="J521" s="513">
        <v>0</v>
      </c>
      <c r="K521" s="513">
        <v>0</v>
      </c>
      <c r="L521" s="513">
        <f t="shared" si="87"/>
        <v>0</v>
      </c>
      <c r="M521" s="513">
        <v>0</v>
      </c>
      <c r="N521" s="513">
        <v>0</v>
      </c>
    </row>
    <row r="522" spans="1:14" s="454" customFormat="1" ht="18" customHeight="1" hidden="1">
      <c r="A522" s="1005"/>
      <c r="B522" s="1006"/>
      <c r="C522" s="1007"/>
      <c r="D522" s="1008"/>
      <c r="E522" s="999"/>
      <c r="F522" s="1000"/>
      <c r="G522" s="544" t="s">
        <v>15</v>
      </c>
      <c r="H522" s="541">
        <f t="shared" si="85"/>
        <v>51000</v>
      </c>
      <c r="I522" s="542">
        <f t="shared" si="86"/>
        <v>51000</v>
      </c>
      <c r="J522" s="542">
        <f>J520+J521</f>
        <v>0</v>
      </c>
      <c r="K522" s="542">
        <f>K520+K521</f>
        <v>51000</v>
      </c>
      <c r="L522" s="542">
        <f t="shared" si="87"/>
        <v>0</v>
      </c>
      <c r="M522" s="542">
        <f>M520+M521</f>
        <v>0</v>
      </c>
      <c r="N522" s="542">
        <f>N520+N521</f>
        <v>0</v>
      </c>
    </row>
    <row r="523" spans="1:14" s="545" customFormat="1" ht="15" customHeight="1">
      <c r="A523" s="1001"/>
      <c r="B523" s="1002"/>
      <c r="C523" s="993" t="s">
        <v>273</v>
      </c>
      <c r="D523" s="994"/>
      <c r="E523" s="995" t="s">
        <v>1002</v>
      </c>
      <c r="F523" s="996"/>
      <c r="G523" s="584" t="s">
        <v>13</v>
      </c>
      <c r="H523" s="512">
        <f t="shared" si="85"/>
        <v>0</v>
      </c>
      <c r="I523" s="513">
        <f t="shared" si="86"/>
        <v>0</v>
      </c>
      <c r="J523" s="513">
        <v>0</v>
      </c>
      <c r="K523" s="513">
        <v>0</v>
      </c>
      <c r="L523" s="513">
        <f t="shared" si="87"/>
        <v>0</v>
      </c>
      <c r="M523" s="513">
        <v>0</v>
      </c>
      <c r="N523" s="513">
        <v>0</v>
      </c>
    </row>
    <row r="524" spans="1:14" s="545" customFormat="1" ht="15" customHeight="1">
      <c r="A524" s="1001"/>
      <c r="B524" s="1028"/>
      <c r="C524" s="1003"/>
      <c r="D524" s="1028"/>
      <c r="E524" s="1024"/>
      <c r="F524" s="1025"/>
      <c r="G524" s="584" t="s">
        <v>14</v>
      </c>
      <c r="H524" s="512">
        <f t="shared" si="85"/>
        <v>20000</v>
      </c>
      <c r="I524" s="513">
        <f t="shared" si="86"/>
        <v>20000</v>
      </c>
      <c r="J524" s="513">
        <v>0</v>
      </c>
      <c r="K524" s="513">
        <v>20000</v>
      </c>
      <c r="L524" s="513">
        <f t="shared" si="87"/>
        <v>0</v>
      </c>
      <c r="M524" s="513">
        <v>0</v>
      </c>
      <c r="N524" s="513">
        <v>0</v>
      </c>
    </row>
    <row r="525" spans="1:14" s="454" customFormat="1" ht="15" customHeight="1">
      <c r="A525" s="1005"/>
      <c r="B525" s="1029"/>
      <c r="C525" s="1007"/>
      <c r="D525" s="1029"/>
      <c r="E525" s="1026"/>
      <c r="F525" s="1027"/>
      <c r="G525" s="585" t="s">
        <v>15</v>
      </c>
      <c r="H525" s="541">
        <f t="shared" si="85"/>
        <v>20000</v>
      </c>
      <c r="I525" s="542">
        <f t="shared" si="86"/>
        <v>20000</v>
      </c>
      <c r="J525" s="542">
        <f>J523+J524</f>
        <v>0</v>
      </c>
      <c r="K525" s="542">
        <f>K523+K524</f>
        <v>20000</v>
      </c>
      <c r="L525" s="542">
        <f t="shared" si="87"/>
        <v>0</v>
      </c>
      <c r="M525" s="542">
        <f>M523+M524</f>
        <v>0</v>
      </c>
      <c r="N525" s="542">
        <f>N523+N524</f>
        <v>0</v>
      </c>
    </row>
    <row r="526" spans="1:14" s="545" customFormat="1" ht="18" customHeight="1" hidden="1">
      <c r="A526" s="1001"/>
      <c r="B526" s="1002"/>
      <c r="C526" s="1003"/>
      <c r="D526" s="1004"/>
      <c r="E526" s="995" t="s">
        <v>1003</v>
      </c>
      <c r="F526" s="996"/>
      <c r="G526" s="580" t="s">
        <v>13</v>
      </c>
      <c r="H526" s="512">
        <f t="shared" si="85"/>
        <v>89680</v>
      </c>
      <c r="I526" s="513">
        <f t="shared" si="86"/>
        <v>89680</v>
      </c>
      <c r="J526" s="513">
        <v>89680</v>
      </c>
      <c r="K526" s="513">
        <v>0</v>
      </c>
      <c r="L526" s="513">
        <f t="shared" si="87"/>
        <v>0</v>
      </c>
      <c r="M526" s="513">
        <v>0</v>
      </c>
      <c r="N526" s="513">
        <v>0</v>
      </c>
    </row>
    <row r="527" spans="1:14" s="545" customFormat="1" ht="18" customHeight="1" hidden="1">
      <c r="A527" s="1001"/>
      <c r="B527" s="1002"/>
      <c r="C527" s="1003"/>
      <c r="D527" s="1004"/>
      <c r="E527" s="997"/>
      <c r="F527" s="998"/>
      <c r="G527" s="580" t="s">
        <v>14</v>
      </c>
      <c r="H527" s="512">
        <f t="shared" si="85"/>
        <v>0</v>
      </c>
      <c r="I527" s="513">
        <f t="shared" si="86"/>
        <v>0</v>
      </c>
      <c r="J527" s="513">
        <v>0</v>
      </c>
      <c r="K527" s="513">
        <v>0</v>
      </c>
      <c r="L527" s="513">
        <f t="shared" si="87"/>
        <v>0</v>
      </c>
      <c r="M527" s="513">
        <v>0</v>
      </c>
      <c r="N527" s="513">
        <v>0</v>
      </c>
    </row>
    <row r="528" spans="1:14" s="454" customFormat="1" ht="18" customHeight="1" hidden="1">
      <c r="A528" s="1005"/>
      <c r="B528" s="1006"/>
      <c r="C528" s="1007"/>
      <c r="D528" s="1008"/>
      <c r="E528" s="999"/>
      <c r="F528" s="1000"/>
      <c r="G528" s="544" t="s">
        <v>15</v>
      </c>
      <c r="H528" s="541">
        <f t="shared" si="85"/>
        <v>89680</v>
      </c>
      <c r="I528" s="542">
        <f t="shared" si="86"/>
        <v>89680</v>
      </c>
      <c r="J528" s="542">
        <f>J526+J527</f>
        <v>89680</v>
      </c>
      <c r="K528" s="542">
        <f>K526+K527</f>
        <v>0</v>
      </c>
      <c r="L528" s="542">
        <f t="shared" si="87"/>
        <v>0</v>
      </c>
      <c r="M528" s="542">
        <f>M526+M527</f>
        <v>0</v>
      </c>
      <c r="N528" s="542">
        <f>N526+N527</f>
        <v>0</v>
      </c>
    </row>
    <row r="529" spans="1:14" s="545" customFormat="1" ht="18" customHeight="1" hidden="1">
      <c r="A529" s="1001"/>
      <c r="B529" s="1002"/>
      <c r="C529" s="1003"/>
      <c r="D529" s="1004"/>
      <c r="E529" s="995" t="s">
        <v>1004</v>
      </c>
      <c r="F529" s="996"/>
      <c r="G529" s="580" t="s">
        <v>13</v>
      </c>
      <c r="H529" s="512">
        <f t="shared" si="85"/>
        <v>100000</v>
      </c>
      <c r="I529" s="513">
        <f t="shared" si="86"/>
        <v>100000</v>
      </c>
      <c r="J529" s="513">
        <v>100000</v>
      </c>
      <c r="K529" s="513">
        <v>0</v>
      </c>
      <c r="L529" s="513">
        <f t="shared" si="87"/>
        <v>0</v>
      </c>
      <c r="M529" s="513">
        <v>0</v>
      </c>
      <c r="N529" s="513">
        <v>0</v>
      </c>
    </row>
    <row r="530" spans="1:14" s="545" customFormat="1" ht="18" customHeight="1" hidden="1">
      <c r="A530" s="1001"/>
      <c r="B530" s="1002"/>
      <c r="C530" s="1003"/>
      <c r="D530" s="1004"/>
      <c r="E530" s="997"/>
      <c r="F530" s="998"/>
      <c r="G530" s="580" t="s">
        <v>14</v>
      </c>
      <c r="H530" s="512">
        <f t="shared" si="85"/>
        <v>0</v>
      </c>
      <c r="I530" s="513">
        <f t="shared" si="86"/>
        <v>0</v>
      </c>
      <c r="J530" s="513">
        <v>0</v>
      </c>
      <c r="K530" s="513">
        <v>0</v>
      </c>
      <c r="L530" s="513">
        <f t="shared" si="87"/>
        <v>0</v>
      </c>
      <c r="M530" s="513">
        <v>0</v>
      </c>
      <c r="N530" s="513">
        <v>0</v>
      </c>
    </row>
    <row r="531" spans="1:14" s="454" customFormat="1" ht="18" customHeight="1" hidden="1">
      <c r="A531" s="1005"/>
      <c r="B531" s="1006"/>
      <c r="C531" s="1007"/>
      <c r="D531" s="1008"/>
      <c r="E531" s="999"/>
      <c r="F531" s="1000"/>
      <c r="G531" s="544" t="s">
        <v>15</v>
      </c>
      <c r="H531" s="541">
        <f t="shared" si="85"/>
        <v>100000</v>
      </c>
      <c r="I531" s="542">
        <f t="shared" si="86"/>
        <v>100000</v>
      </c>
      <c r="J531" s="542">
        <f>J529+J530</f>
        <v>100000</v>
      </c>
      <c r="K531" s="542">
        <f>K529+K530</f>
        <v>0</v>
      </c>
      <c r="L531" s="542">
        <f t="shared" si="87"/>
        <v>0</v>
      </c>
      <c r="M531" s="542">
        <f>M529+M530</f>
        <v>0</v>
      </c>
      <c r="N531" s="542">
        <f>N529+N530</f>
        <v>0</v>
      </c>
    </row>
    <row r="532" spans="1:14" s="545" customFormat="1" ht="18" customHeight="1" hidden="1">
      <c r="A532" s="1001"/>
      <c r="B532" s="1002"/>
      <c r="C532" s="993" t="s">
        <v>275</v>
      </c>
      <c r="D532" s="994"/>
      <c r="E532" s="995" t="s">
        <v>1005</v>
      </c>
      <c r="F532" s="996"/>
      <c r="G532" s="580" t="s">
        <v>13</v>
      </c>
      <c r="H532" s="512">
        <f t="shared" si="85"/>
        <v>45000</v>
      </c>
      <c r="I532" s="513">
        <f t="shared" si="86"/>
        <v>45000</v>
      </c>
      <c r="J532" s="513">
        <v>45000</v>
      </c>
      <c r="K532" s="513">
        <v>0</v>
      </c>
      <c r="L532" s="513">
        <f t="shared" si="87"/>
        <v>0</v>
      </c>
      <c r="M532" s="513">
        <v>0</v>
      </c>
      <c r="N532" s="513">
        <v>0</v>
      </c>
    </row>
    <row r="533" spans="1:14" s="545" customFormat="1" ht="18" customHeight="1" hidden="1">
      <c r="A533" s="1001"/>
      <c r="B533" s="1002"/>
      <c r="C533" s="1003"/>
      <c r="D533" s="1004"/>
      <c r="E533" s="997"/>
      <c r="F533" s="998"/>
      <c r="G533" s="580" t="s">
        <v>14</v>
      </c>
      <c r="H533" s="512">
        <f t="shared" si="85"/>
        <v>0</v>
      </c>
      <c r="I533" s="513">
        <f t="shared" si="86"/>
        <v>0</v>
      </c>
      <c r="J533" s="513">
        <v>0</v>
      </c>
      <c r="K533" s="513">
        <v>0</v>
      </c>
      <c r="L533" s="513">
        <f t="shared" si="87"/>
        <v>0</v>
      </c>
      <c r="M533" s="513">
        <v>0</v>
      </c>
      <c r="N533" s="513">
        <v>0</v>
      </c>
    </row>
    <row r="534" spans="1:14" s="454" customFormat="1" ht="18" customHeight="1" hidden="1">
      <c r="A534" s="1005"/>
      <c r="B534" s="1006"/>
      <c r="C534" s="1007"/>
      <c r="D534" s="1008"/>
      <c r="E534" s="999"/>
      <c r="F534" s="1000"/>
      <c r="G534" s="544" t="s">
        <v>15</v>
      </c>
      <c r="H534" s="541">
        <f t="shared" si="85"/>
        <v>45000</v>
      </c>
      <c r="I534" s="542">
        <f t="shared" si="86"/>
        <v>45000</v>
      </c>
      <c r="J534" s="542">
        <f>J532+J533</f>
        <v>45000</v>
      </c>
      <c r="K534" s="542">
        <f>K532+K533</f>
        <v>0</v>
      </c>
      <c r="L534" s="542">
        <f t="shared" si="87"/>
        <v>0</v>
      </c>
      <c r="M534" s="542">
        <f>M532+M533</f>
        <v>0</v>
      </c>
      <c r="N534" s="542">
        <f>N532+N533</f>
        <v>0</v>
      </c>
    </row>
    <row r="535" spans="1:14" s="545" customFormat="1" ht="18" customHeight="1" hidden="1">
      <c r="A535" s="1001"/>
      <c r="B535" s="1002"/>
      <c r="C535" s="993" t="s">
        <v>278</v>
      </c>
      <c r="D535" s="994"/>
      <c r="E535" s="995" t="s">
        <v>1006</v>
      </c>
      <c r="F535" s="996"/>
      <c r="G535" s="580" t="s">
        <v>13</v>
      </c>
      <c r="H535" s="512">
        <f t="shared" si="85"/>
        <v>100000</v>
      </c>
      <c r="I535" s="513">
        <f t="shared" si="86"/>
        <v>100000</v>
      </c>
      <c r="J535" s="513">
        <v>100000</v>
      </c>
      <c r="K535" s="513">
        <v>0</v>
      </c>
      <c r="L535" s="513">
        <f t="shared" si="87"/>
        <v>0</v>
      </c>
      <c r="M535" s="513">
        <v>0</v>
      </c>
      <c r="N535" s="513">
        <v>0</v>
      </c>
    </row>
    <row r="536" spans="1:14" s="545" customFormat="1" ht="18" customHeight="1" hidden="1">
      <c r="A536" s="1001"/>
      <c r="B536" s="1002"/>
      <c r="C536" s="1003"/>
      <c r="D536" s="1004"/>
      <c r="E536" s="997"/>
      <c r="F536" s="998"/>
      <c r="G536" s="580" t="s">
        <v>14</v>
      </c>
      <c r="H536" s="512">
        <f t="shared" si="85"/>
        <v>0</v>
      </c>
      <c r="I536" s="513">
        <f t="shared" si="86"/>
        <v>0</v>
      </c>
      <c r="J536" s="513">
        <v>0</v>
      </c>
      <c r="K536" s="513">
        <v>0</v>
      </c>
      <c r="L536" s="513">
        <f t="shared" si="87"/>
        <v>0</v>
      </c>
      <c r="M536" s="513">
        <v>0</v>
      </c>
      <c r="N536" s="513">
        <v>0</v>
      </c>
    </row>
    <row r="537" spans="1:14" s="454" customFormat="1" ht="18" customHeight="1" hidden="1">
      <c r="A537" s="1005"/>
      <c r="B537" s="1006"/>
      <c r="C537" s="1007"/>
      <c r="D537" s="1008"/>
      <c r="E537" s="999"/>
      <c r="F537" s="1000"/>
      <c r="G537" s="544" t="s">
        <v>15</v>
      </c>
      <c r="H537" s="541">
        <f t="shared" si="85"/>
        <v>100000</v>
      </c>
      <c r="I537" s="542">
        <f t="shared" si="86"/>
        <v>100000</v>
      </c>
      <c r="J537" s="542">
        <f>J535+J536</f>
        <v>100000</v>
      </c>
      <c r="K537" s="542">
        <f>K535+K536</f>
        <v>0</v>
      </c>
      <c r="L537" s="542">
        <f t="shared" si="87"/>
        <v>0</v>
      </c>
      <c r="M537" s="542">
        <f>M535+M536</f>
        <v>0</v>
      </c>
      <c r="N537" s="542">
        <f>N535+N536</f>
        <v>0</v>
      </c>
    </row>
    <row r="538" spans="1:14" s="545" customFormat="1" ht="15" customHeight="1">
      <c r="A538" s="1001"/>
      <c r="B538" s="1002"/>
      <c r="C538" s="993" t="s">
        <v>278</v>
      </c>
      <c r="D538" s="994"/>
      <c r="E538" s="995" t="s">
        <v>1007</v>
      </c>
      <c r="F538" s="996"/>
      <c r="G538" s="584" t="s">
        <v>13</v>
      </c>
      <c r="H538" s="512">
        <f t="shared" si="85"/>
        <v>0</v>
      </c>
      <c r="I538" s="513">
        <f t="shared" si="86"/>
        <v>0</v>
      </c>
      <c r="J538" s="513">
        <v>0</v>
      </c>
      <c r="K538" s="513">
        <v>0</v>
      </c>
      <c r="L538" s="513">
        <f t="shared" si="87"/>
        <v>0</v>
      </c>
      <c r="M538" s="513">
        <v>0</v>
      </c>
      <c r="N538" s="513">
        <v>0</v>
      </c>
    </row>
    <row r="539" spans="1:14" s="545" customFormat="1" ht="15" customHeight="1">
      <c r="A539" s="1001"/>
      <c r="B539" s="1028"/>
      <c r="C539" s="1003"/>
      <c r="D539" s="1028"/>
      <c r="E539" s="1024"/>
      <c r="F539" s="1025"/>
      <c r="G539" s="584" t="s">
        <v>14</v>
      </c>
      <c r="H539" s="512">
        <f t="shared" si="85"/>
        <v>10000</v>
      </c>
      <c r="I539" s="513">
        <f t="shared" si="86"/>
        <v>10000</v>
      </c>
      <c r="J539" s="513">
        <v>0</v>
      </c>
      <c r="K539" s="513">
        <v>10000</v>
      </c>
      <c r="L539" s="513">
        <f t="shared" si="87"/>
        <v>0</v>
      </c>
      <c r="M539" s="513">
        <v>0</v>
      </c>
      <c r="N539" s="513">
        <v>0</v>
      </c>
    </row>
    <row r="540" spans="1:14" s="454" customFormat="1" ht="15" customHeight="1">
      <c r="A540" s="1014"/>
      <c r="B540" s="1030"/>
      <c r="C540" s="1016"/>
      <c r="D540" s="1030"/>
      <c r="E540" s="1026"/>
      <c r="F540" s="1027"/>
      <c r="G540" s="583" t="s">
        <v>15</v>
      </c>
      <c r="H540" s="512">
        <f t="shared" si="85"/>
        <v>10000</v>
      </c>
      <c r="I540" s="513">
        <f t="shared" si="86"/>
        <v>10000</v>
      </c>
      <c r="J540" s="513">
        <f>J538+J539</f>
        <v>0</v>
      </c>
      <c r="K540" s="513">
        <f>K538+K539</f>
        <v>10000</v>
      </c>
      <c r="L540" s="513">
        <f t="shared" si="87"/>
        <v>0</v>
      </c>
      <c r="M540" s="513">
        <f>M538+M539</f>
        <v>0</v>
      </c>
      <c r="N540" s="513">
        <f>N538+N539</f>
        <v>0</v>
      </c>
    </row>
    <row r="541" spans="1:14" s="545" customFormat="1" ht="15" customHeight="1">
      <c r="A541" s="991"/>
      <c r="B541" s="1013"/>
      <c r="C541" s="993"/>
      <c r="D541" s="994"/>
      <c r="E541" s="995" t="s">
        <v>1008</v>
      </c>
      <c r="F541" s="996"/>
      <c r="G541" s="584" t="s">
        <v>13</v>
      </c>
      <c r="H541" s="512">
        <f t="shared" si="85"/>
        <v>0</v>
      </c>
      <c r="I541" s="513">
        <f t="shared" si="86"/>
        <v>0</v>
      </c>
      <c r="J541" s="513">
        <v>0</v>
      </c>
      <c r="K541" s="513">
        <v>0</v>
      </c>
      <c r="L541" s="513">
        <f t="shared" si="87"/>
        <v>0</v>
      </c>
      <c r="M541" s="513">
        <v>0</v>
      </c>
      <c r="N541" s="513">
        <v>0</v>
      </c>
    </row>
    <row r="542" spans="1:14" s="545" customFormat="1" ht="15" customHeight="1">
      <c r="A542" s="1001"/>
      <c r="B542" s="1028"/>
      <c r="C542" s="1003"/>
      <c r="D542" s="1028"/>
      <c r="E542" s="1024"/>
      <c r="F542" s="1025"/>
      <c r="G542" s="584" t="s">
        <v>14</v>
      </c>
      <c r="H542" s="512">
        <f t="shared" si="85"/>
        <v>11400</v>
      </c>
      <c r="I542" s="513">
        <f t="shared" si="86"/>
        <v>11400</v>
      </c>
      <c r="J542" s="513">
        <v>0</v>
      </c>
      <c r="K542" s="513">
        <v>11400</v>
      </c>
      <c r="L542" s="513">
        <f t="shared" si="87"/>
        <v>0</v>
      </c>
      <c r="M542" s="513">
        <v>0</v>
      </c>
      <c r="N542" s="513">
        <v>0</v>
      </c>
    </row>
    <row r="543" spans="1:14" s="454" customFormat="1" ht="15" customHeight="1">
      <c r="A543" s="1005"/>
      <c r="B543" s="1029"/>
      <c r="C543" s="1007"/>
      <c r="D543" s="1029"/>
      <c r="E543" s="1026"/>
      <c r="F543" s="1027"/>
      <c r="G543" s="585" t="s">
        <v>15</v>
      </c>
      <c r="H543" s="541">
        <f t="shared" si="85"/>
        <v>11400</v>
      </c>
      <c r="I543" s="542">
        <f t="shared" si="86"/>
        <v>11400</v>
      </c>
      <c r="J543" s="542">
        <f>J541+J542</f>
        <v>0</v>
      </c>
      <c r="K543" s="542">
        <f>K541+K542</f>
        <v>11400</v>
      </c>
      <c r="L543" s="542">
        <f t="shared" si="87"/>
        <v>0</v>
      </c>
      <c r="M543" s="542">
        <f>M541+M542</f>
        <v>0</v>
      </c>
      <c r="N543" s="542">
        <f>N541+N542</f>
        <v>0</v>
      </c>
    </row>
    <row r="544" spans="1:14" s="545" customFormat="1" ht="14.25" customHeight="1">
      <c r="A544" s="1001"/>
      <c r="B544" s="1002"/>
      <c r="C544" s="1003"/>
      <c r="D544" s="1004"/>
      <c r="E544" s="995" t="s">
        <v>1009</v>
      </c>
      <c r="F544" s="996"/>
      <c r="G544" s="584" t="s">
        <v>13</v>
      </c>
      <c r="H544" s="512">
        <f t="shared" si="85"/>
        <v>0</v>
      </c>
      <c r="I544" s="513">
        <f t="shared" si="86"/>
        <v>0</v>
      </c>
      <c r="J544" s="513">
        <v>0</v>
      </c>
      <c r="K544" s="513">
        <v>0</v>
      </c>
      <c r="L544" s="513">
        <f t="shared" si="87"/>
        <v>0</v>
      </c>
      <c r="M544" s="513">
        <v>0</v>
      </c>
      <c r="N544" s="513">
        <v>0</v>
      </c>
    </row>
    <row r="545" spans="1:14" s="545" customFormat="1" ht="14.25" customHeight="1">
      <c r="A545" s="1001"/>
      <c r="B545" s="1028"/>
      <c r="C545" s="1003"/>
      <c r="D545" s="1028"/>
      <c r="E545" s="1024"/>
      <c r="F545" s="1025"/>
      <c r="G545" s="584" t="s">
        <v>14</v>
      </c>
      <c r="H545" s="512">
        <f t="shared" si="85"/>
        <v>6000</v>
      </c>
      <c r="I545" s="513">
        <f t="shared" si="86"/>
        <v>6000</v>
      </c>
      <c r="J545" s="513">
        <v>0</v>
      </c>
      <c r="K545" s="513">
        <v>6000</v>
      </c>
      <c r="L545" s="513">
        <f t="shared" si="87"/>
        <v>0</v>
      </c>
      <c r="M545" s="513">
        <v>0</v>
      </c>
      <c r="N545" s="513">
        <v>0</v>
      </c>
    </row>
    <row r="546" spans="1:14" s="454" customFormat="1" ht="14.25" customHeight="1">
      <c r="A546" s="1005"/>
      <c r="B546" s="1029"/>
      <c r="C546" s="1007"/>
      <c r="D546" s="1029"/>
      <c r="E546" s="1026"/>
      <c r="F546" s="1027"/>
      <c r="G546" s="585" t="s">
        <v>15</v>
      </c>
      <c r="H546" s="541">
        <f t="shared" si="85"/>
        <v>6000</v>
      </c>
      <c r="I546" s="542">
        <f t="shared" si="86"/>
        <v>6000</v>
      </c>
      <c r="J546" s="542">
        <f>J544+J545</f>
        <v>0</v>
      </c>
      <c r="K546" s="542">
        <f>K544+K545</f>
        <v>6000</v>
      </c>
      <c r="L546" s="542">
        <f t="shared" si="87"/>
        <v>0</v>
      </c>
      <c r="M546" s="542">
        <f>M544+M545</f>
        <v>0</v>
      </c>
      <c r="N546" s="542">
        <f>N544+N545</f>
        <v>0</v>
      </c>
    </row>
    <row r="547" spans="1:14" s="545" customFormat="1" ht="14.25" customHeight="1">
      <c r="A547" s="1001"/>
      <c r="B547" s="1002"/>
      <c r="C547" s="1003"/>
      <c r="D547" s="1004"/>
      <c r="E547" s="995" t="s">
        <v>1010</v>
      </c>
      <c r="F547" s="996"/>
      <c r="G547" s="584" t="s">
        <v>13</v>
      </c>
      <c r="H547" s="512">
        <f t="shared" si="85"/>
        <v>0</v>
      </c>
      <c r="I547" s="513">
        <f t="shared" si="86"/>
        <v>0</v>
      </c>
      <c r="J547" s="513">
        <v>0</v>
      </c>
      <c r="K547" s="513">
        <v>0</v>
      </c>
      <c r="L547" s="513">
        <f t="shared" si="87"/>
        <v>0</v>
      </c>
      <c r="M547" s="513">
        <v>0</v>
      </c>
      <c r="N547" s="513">
        <v>0</v>
      </c>
    </row>
    <row r="548" spans="1:14" s="545" customFormat="1" ht="14.25" customHeight="1">
      <c r="A548" s="1001"/>
      <c r="B548" s="1028"/>
      <c r="C548" s="1003"/>
      <c r="D548" s="1028"/>
      <c r="E548" s="1024"/>
      <c r="F548" s="1025"/>
      <c r="G548" s="584" t="s">
        <v>14</v>
      </c>
      <c r="H548" s="512">
        <f t="shared" si="85"/>
        <v>33000</v>
      </c>
      <c r="I548" s="513">
        <f t="shared" si="86"/>
        <v>33000</v>
      </c>
      <c r="J548" s="513">
        <v>28000</v>
      </c>
      <c r="K548" s="513">
        <v>5000</v>
      </c>
      <c r="L548" s="513">
        <f t="shared" si="87"/>
        <v>0</v>
      </c>
      <c r="M548" s="513">
        <v>0</v>
      </c>
      <c r="N548" s="513">
        <v>0</v>
      </c>
    </row>
    <row r="549" spans="1:14" s="454" customFormat="1" ht="14.25" customHeight="1">
      <c r="A549" s="1005"/>
      <c r="B549" s="1029"/>
      <c r="C549" s="1007"/>
      <c r="D549" s="1029"/>
      <c r="E549" s="1026"/>
      <c r="F549" s="1027"/>
      <c r="G549" s="585" t="s">
        <v>15</v>
      </c>
      <c r="H549" s="541">
        <f t="shared" si="85"/>
        <v>33000</v>
      </c>
      <c r="I549" s="542">
        <f t="shared" si="86"/>
        <v>33000</v>
      </c>
      <c r="J549" s="542">
        <f>J547+J548</f>
        <v>28000</v>
      </c>
      <c r="K549" s="542">
        <f>K547+K548</f>
        <v>5000</v>
      </c>
      <c r="L549" s="542">
        <f t="shared" si="87"/>
        <v>0</v>
      </c>
      <c r="M549" s="542">
        <f>M547+M548</f>
        <v>0</v>
      </c>
      <c r="N549" s="542">
        <f>N547+N548</f>
        <v>0</v>
      </c>
    </row>
    <row r="550" spans="1:14" s="545" customFormat="1" ht="18" customHeight="1" hidden="1">
      <c r="A550" s="1001"/>
      <c r="B550" s="1002"/>
      <c r="C550" s="1003"/>
      <c r="D550" s="1004"/>
      <c r="E550" s="995" t="s">
        <v>1011</v>
      </c>
      <c r="F550" s="996"/>
      <c r="G550" s="580" t="s">
        <v>13</v>
      </c>
      <c r="H550" s="512">
        <f aca="true" t="shared" si="88" ref="H550:H612">I550+L550</f>
        <v>80000</v>
      </c>
      <c r="I550" s="513">
        <f aca="true" t="shared" si="89" ref="I550:I612">J550+K550</f>
        <v>80000</v>
      </c>
      <c r="J550" s="513">
        <v>80000</v>
      </c>
      <c r="K550" s="513">
        <v>0</v>
      </c>
      <c r="L550" s="513">
        <f aca="true" t="shared" si="90" ref="L550:L612">M550+N550</f>
        <v>0</v>
      </c>
      <c r="M550" s="513">
        <v>0</v>
      </c>
      <c r="N550" s="513">
        <v>0</v>
      </c>
    </row>
    <row r="551" spans="1:14" s="545" customFormat="1" ht="18" customHeight="1" hidden="1">
      <c r="A551" s="1001"/>
      <c r="B551" s="1002"/>
      <c r="C551" s="1003"/>
      <c r="D551" s="1004"/>
      <c r="E551" s="997"/>
      <c r="F551" s="998"/>
      <c r="G551" s="580" t="s">
        <v>14</v>
      </c>
      <c r="H551" s="512">
        <f t="shared" si="88"/>
        <v>0</v>
      </c>
      <c r="I551" s="513">
        <f t="shared" si="89"/>
        <v>0</v>
      </c>
      <c r="J551" s="513">
        <v>0</v>
      </c>
      <c r="K551" s="513">
        <v>0</v>
      </c>
      <c r="L551" s="513">
        <f t="shared" si="90"/>
        <v>0</v>
      </c>
      <c r="M551" s="513">
        <v>0</v>
      </c>
      <c r="N551" s="513">
        <v>0</v>
      </c>
    </row>
    <row r="552" spans="1:14" s="454" customFormat="1" ht="18" customHeight="1" hidden="1">
      <c r="A552" s="1005"/>
      <c r="B552" s="1006"/>
      <c r="C552" s="1007"/>
      <c r="D552" s="1008"/>
      <c r="E552" s="999"/>
      <c r="F552" s="1000"/>
      <c r="G552" s="544" t="s">
        <v>15</v>
      </c>
      <c r="H552" s="541">
        <f t="shared" si="88"/>
        <v>80000</v>
      </c>
      <c r="I552" s="542">
        <f t="shared" si="89"/>
        <v>80000</v>
      </c>
      <c r="J552" s="542">
        <f>J550+J551</f>
        <v>80000</v>
      </c>
      <c r="K552" s="542">
        <f>K550+K551</f>
        <v>0</v>
      </c>
      <c r="L552" s="542">
        <f t="shared" si="90"/>
        <v>0</v>
      </c>
      <c r="M552" s="542">
        <f>M550+M551</f>
        <v>0</v>
      </c>
      <c r="N552" s="542">
        <f>N550+N551</f>
        <v>0</v>
      </c>
    </row>
    <row r="553" spans="1:14" s="545" customFormat="1" ht="18" customHeight="1" hidden="1">
      <c r="A553" s="1001"/>
      <c r="B553" s="1002"/>
      <c r="C553" s="1003"/>
      <c r="D553" s="1004"/>
      <c r="E553" s="995" t="s">
        <v>1012</v>
      </c>
      <c r="F553" s="996"/>
      <c r="G553" s="580" t="s">
        <v>13</v>
      </c>
      <c r="H553" s="512">
        <f t="shared" si="88"/>
        <v>80000</v>
      </c>
      <c r="I553" s="513">
        <f t="shared" si="89"/>
        <v>80000</v>
      </c>
      <c r="J553" s="513">
        <v>80000</v>
      </c>
      <c r="K553" s="513">
        <v>0</v>
      </c>
      <c r="L553" s="513">
        <f t="shared" si="90"/>
        <v>0</v>
      </c>
      <c r="M553" s="513">
        <v>0</v>
      </c>
      <c r="N553" s="513">
        <v>0</v>
      </c>
    </row>
    <row r="554" spans="1:14" s="545" customFormat="1" ht="18" customHeight="1" hidden="1">
      <c r="A554" s="1001"/>
      <c r="B554" s="1002"/>
      <c r="C554" s="1003"/>
      <c r="D554" s="1004"/>
      <c r="E554" s="997"/>
      <c r="F554" s="998"/>
      <c r="G554" s="580" t="s">
        <v>14</v>
      </c>
      <c r="H554" s="512">
        <f t="shared" si="88"/>
        <v>0</v>
      </c>
      <c r="I554" s="513">
        <f t="shared" si="89"/>
        <v>0</v>
      </c>
      <c r="J554" s="513">
        <v>0</v>
      </c>
      <c r="K554" s="513">
        <v>0</v>
      </c>
      <c r="L554" s="513">
        <f t="shared" si="90"/>
        <v>0</v>
      </c>
      <c r="M554" s="513">
        <v>0</v>
      </c>
      <c r="N554" s="513">
        <v>0</v>
      </c>
    </row>
    <row r="555" spans="1:14" s="454" customFormat="1" ht="18" customHeight="1" hidden="1">
      <c r="A555" s="1005"/>
      <c r="B555" s="1006"/>
      <c r="C555" s="1007"/>
      <c r="D555" s="1008"/>
      <c r="E555" s="999"/>
      <c r="F555" s="1000"/>
      <c r="G555" s="544" t="s">
        <v>15</v>
      </c>
      <c r="H555" s="541">
        <f t="shared" si="88"/>
        <v>80000</v>
      </c>
      <c r="I555" s="542">
        <f t="shared" si="89"/>
        <v>80000</v>
      </c>
      <c r="J555" s="542">
        <f>J553+J554</f>
        <v>80000</v>
      </c>
      <c r="K555" s="542">
        <f>K553+K554</f>
        <v>0</v>
      </c>
      <c r="L555" s="542">
        <f t="shared" si="90"/>
        <v>0</v>
      </c>
      <c r="M555" s="542">
        <f>M553+M554</f>
        <v>0</v>
      </c>
      <c r="N555" s="542">
        <f>N553+N554</f>
        <v>0</v>
      </c>
    </row>
    <row r="556" spans="1:14" s="545" customFormat="1" ht="18" customHeight="1" hidden="1">
      <c r="A556" s="1001"/>
      <c r="B556" s="1002"/>
      <c r="C556" s="1003"/>
      <c r="D556" s="1004"/>
      <c r="E556" s="995" t="s">
        <v>989</v>
      </c>
      <c r="F556" s="996"/>
      <c r="G556" s="580" t="s">
        <v>13</v>
      </c>
      <c r="H556" s="512">
        <f t="shared" si="88"/>
        <v>45000</v>
      </c>
      <c r="I556" s="513">
        <f t="shared" si="89"/>
        <v>45000</v>
      </c>
      <c r="J556" s="513">
        <v>0</v>
      </c>
      <c r="K556" s="513">
        <v>45000</v>
      </c>
      <c r="L556" s="513">
        <f t="shared" si="90"/>
        <v>0</v>
      </c>
      <c r="M556" s="513">
        <v>0</v>
      </c>
      <c r="N556" s="513">
        <v>0</v>
      </c>
    </row>
    <row r="557" spans="1:14" s="545" customFormat="1" ht="18" customHeight="1" hidden="1">
      <c r="A557" s="1001"/>
      <c r="B557" s="1002"/>
      <c r="C557" s="1003"/>
      <c r="D557" s="1004"/>
      <c r="E557" s="997"/>
      <c r="F557" s="998"/>
      <c r="G557" s="580" t="s">
        <v>14</v>
      </c>
      <c r="H557" s="512">
        <f t="shared" si="88"/>
        <v>0</v>
      </c>
      <c r="I557" s="513">
        <f t="shared" si="89"/>
        <v>0</v>
      </c>
      <c r="J557" s="513">
        <v>0</v>
      </c>
      <c r="K557" s="513">
        <v>0</v>
      </c>
      <c r="L557" s="513">
        <f t="shared" si="90"/>
        <v>0</v>
      </c>
      <c r="M557" s="513">
        <v>0</v>
      </c>
      <c r="N557" s="513">
        <v>0</v>
      </c>
    </row>
    <row r="558" spans="1:14" s="454" customFormat="1" ht="18" customHeight="1" hidden="1">
      <c r="A558" s="1005"/>
      <c r="B558" s="1006"/>
      <c r="C558" s="1007"/>
      <c r="D558" s="1008"/>
      <c r="E558" s="999"/>
      <c r="F558" s="1000"/>
      <c r="G558" s="544" t="s">
        <v>15</v>
      </c>
      <c r="H558" s="541">
        <f t="shared" si="88"/>
        <v>45000</v>
      </c>
      <c r="I558" s="542">
        <f t="shared" si="89"/>
        <v>45000</v>
      </c>
      <c r="J558" s="542">
        <f>J556+J557</f>
        <v>0</v>
      </c>
      <c r="K558" s="542">
        <f>K556+K557</f>
        <v>45000</v>
      </c>
      <c r="L558" s="542">
        <f t="shared" si="90"/>
        <v>0</v>
      </c>
      <c r="M558" s="542">
        <f>M556+M557</f>
        <v>0</v>
      </c>
      <c r="N558" s="542">
        <f>N556+N557</f>
        <v>0</v>
      </c>
    </row>
    <row r="559" spans="1:14" s="545" customFormat="1" ht="18" customHeight="1">
      <c r="A559" s="1001"/>
      <c r="B559" s="1002"/>
      <c r="C559" s="1003"/>
      <c r="D559" s="1004"/>
      <c r="E559" s="995" t="s">
        <v>1013</v>
      </c>
      <c r="F559" s="996"/>
      <c r="G559" s="580" t="s">
        <v>13</v>
      </c>
      <c r="H559" s="512">
        <f t="shared" si="88"/>
        <v>0</v>
      </c>
      <c r="I559" s="513">
        <f t="shared" si="89"/>
        <v>0</v>
      </c>
      <c r="J559" s="513">
        <v>0</v>
      </c>
      <c r="K559" s="513">
        <v>0</v>
      </c>
      <c r="L559" s="513">
        <f t="shared" si="90"/>
        <v>0</v>
      </c>
      <c r="M559" s="513">
        <v>0</v>
      </c>
      <c r="N559" s="513">
        <v>0</v>
      </c>
    </row>
    <row r="560" spans="1:14" s="545" customFormat="1" ht="18" customHeight="1">
      <c r="A560" s="1001"/>
      <c r="B560" s="1002"/>
      <c r="C560" s="1003"/>
      <c r="D560" s="1004"/>
      <c r="E560" s="997"/>
      <c r="F560" s="998"/>
      <c r="G560" s="580" t="s">
        <v>14</v>
      </c>
      <c r="H560" s="512">
        <f t="shared" si="88"/>
        <v>18630</v>
      </c>
      <c r="I560" s="513">
        <f t="shared" si="89"/>
        <v>18630</v>
      </c>
      <c r="J560" s="513">
        <v>0</v>
      </c>
      <c r="K560" s="513">
        <v>18630</v>
      </c>
      <c r="L560" s="513">
        <f t="shared" si="90"/>
        <v>0</v>
      </c>
      <c r="M560" s="513">
        <v>0</v>
      </c>
      <c r="N560" s="513">
        <v>0</v>
      </c>
    </row>
    <row r="561" spans="1:14" s="454" customFormat="1" ht="18" customHeight="1">
      <c r="A561" s="1005"/>
      <c r="B561" s="1006"/>
      <c r="C561" s="1007"/>
      <c r="D561" s="1008"/>
      <c r="E561" s="999"/>
      <c r="F561" s="1000"/>
      <c r="G561" s="544" t="s">
        <v>15</v>
      </c>
      <c r="H561" s="541">
        <f t="shared" si="88"/>
        <v>18630</v>
      </c>
      <c r="I561" s="542">
        <f t="shared" si="89"/>
        <v>18630</v>
      </c>
      <c r="J561" s="542">
        <f>J559+J560</f>
        <v>0</v>
      </c>
      <c r="K561" s="542">
        <f>K559+K560</f>
        <v>18630</v>
      </c>
      <c r="L561" s="542">
        <f t="shared" si="90"/>
        <v>0</v>
      </c>
      <c r="M561" s="542">
        <f>M559+M560</f>
        <v>0</v>
      </c>
      <c r="N561" s="542">
        <f>N559+N560</f>
        <v>0</v>
      </c>
    </row>
    <row r="562" spans="1:14" s="545" customFormat="1" ht="18" customHeight="1">
      <c r="A562" s="1001"/>
      <c r="B562" s="1002"/>
      <c r="C562" s="1003"/>
      <c r="D562" s="1004"/>
      <c r="E562" s="995" t="s">
        <v>1014</v>
      </c>
      <c r="F562" s="996"/>
      <c r="G562" s="580" t="s">
        <v>13</v>
      </c>
      <c r="H562" s="512">
        <f t="shared" si="88"/>
        <v>0</v>
      </c>
      <c r="I562" s="513">
        <f t="shared" si="89"/>
        <v>0</v>
      </c>
      <c r="J562" s="513">
        <v>0</v>
      </c>
      <c r="K562" s="513">
        <v>0</v>
      </c>
      <c r="L562" s="513">
        <f t="shared" si="90"/>
        <v>0</v>
      </c>
      <c r="M562" s="513">
        <v>0</v>
      </c>
      <c r="N562" s="513">
        <v>0</v>
      </c>
    </row>
    <row r="563" spans="1:14" s="545" customFormat="1" ht="18" customHeight="1">
      <c r="A563" s="1001"/>
      <c r="B563" s="1002"/>
      <c r="C563" s="1003"/>
      <c r="D563" s="1004"/>
      <c r="E563" s="997"/>
      <c r="F563" s="998"/>
      <c r="G563" s="580" t="s">
        <v>14</v>
      </c>
      <c r="H563" s="512">
        <f t="shared" si="88"/>
        <v>17900</v>
      </c>
      <c r="I563" s="513">
        <f t="shared" si="89"/>
        <v>17900</v>
      </c>
      <c r="J563" s="513">
        <v>0</v>
      </c>
      <c r="K563" s="513">
        <v>17900</v>
      </c>
      <c r="L563" s="513">
        <f t="shared" si="90"/>
        <v>0</v>
      </c>
      <c r="M563" s="513">
        <v>0</v>
      </c>
      <c r="N563" s="513">
        <v>0</v>
      </c>
    </row>
    <row r="564" spans="1:14" s="454" customFormat="1" ht="18" customHeight="1">
      <c r="A564" s="1005"/>
      <c r="B564" s="1006"/>
      <c r="C564" s="1007"/>
      <c r="D564" s="1008"/>
      <c r="E564" s="999"/>
      <c r="F564" s="1000"/>
      <c r="G564" s="544" t="s">
        <v>15</v>
      </c>
      <c r="H564" s="541">
        <f t="shared" si="88"/>
        <v>17900</v>
      </c>
      <c r="I564" s="542">
        <f t="shared" si="89"/>
        <v>17900</v>
      </c>
      <c r="J564" s="542">
        <f>J562+J563</f>
        <v>0</v>
      </c>
      <c r="K564" s="542">
        <f>K562+K563</f>
        <v>17900</v>
      </c>
      <c r="L564" s="542">
        <f t="shared" si="90"/>
        <v>0</v>
      </c>
      <c r="M564" s="542">
        <f>M562+M563</f>
        <v>0</v>
      </c>
      <c r="N564" s="542">
        <f>N562+N563</f>
        <v>0</v>
      </c>
    </row>
    <row r="565" spans="1:14" s="454" customFormat="1" ht="18" customHeight="1" hidden="1">
      <c r="A565" s="1005"/>
      <c r="B565" s="1006"/>
      <c r="C565" s="1011" t="s">
        <v>284</v>
      </c>
      <c r="D565" s="1012"/>
      <c r="E565" s="1018" t="s">
        <v>1015</v>
      </c>
      <c r="F565" s="1019"/>
      <c r="G565" s="580" t="s">
        <v>13</v>
      </c>
      <c r="H565" s="512">
        <f t="shared" si="88"/>
        <v>74000</v>
      </c>
      <c r="I565" s="513">
        <f t="shared" si="89"/>
        <v>74000</v>
      </c>
      <c r="J565" s="513">
        <v>0</v>
      </c>
      <c r="K565" s="513">
        <v>74000</v>
      </c>
      <c r="L565" s="513">
        <f t="shared" si="90"/>
        <v>0</v>
      </c>
      <c r="M565" s="513">
        <v>0</v>
      </c>
      <c r="N565" s="513">
        <v>0</v>
      </c>
    </row>
    <row r="566" spans="1:14" s="454" customFormat="1" ht="18" customHeight="1" hidden="1">
      <c r="A566" s="1005"/>
      <c r="B566" s="1006"/>
      <c r="C566" s="1007"/>
      <c r="D566" s="1008"/>
      <c r="E566" s="1020"/>
      <c r="F566" s="1021"/>
      <c r="G566" s="580" t="s">
        <v>14</v>
      </c>
      <c r="H566" s="512">
        <f t="shared" si="88"/>
        <v>0</v>
      </c>
      <c r="I566" s="513">
        <f t="shared" si="89"/>
        <v>0</v>
      </c>
      <c r="J566" s="513">
        <v>0</v>
      </c>
      <c r="K566" s="513">
        <v>0</v>
      </c>
      <c r="L566" s="513">
        <f t="shared" si="90"/>
        <v>0</v>
      </c>
      <c r="M566" s="513">
        <v>0</v>
      </c>
      <c r="N566" s="513">
        <v>0</v>
      </c>
    </row>
    <row r="567" spans="1:14" s="454" customFormat="1" ht="18" customHeight="1" hidden="1">
      <c r="A567" s="1005"/>
      <c r="B567" s="1006"/>
      <c r="C567" s="1007"/>
      <c r="D567" s="1008"/>
      <c r="E567" s="1022"/>
      <c r="F567" s="1023"/>
      <c r="G567" s="544" t="s">
        <v>15</v>
      </c>
      <c r="H567" s="541">
        <f t="shared" si="88"/>
        <v>74000</v>
      </c>
      <c r="I567" s="542">
        <f t="shared" si="89"/>
        <v>74000</v>
      </c>
      <c r="J567" s="542">
        <f>J565+J566</f>
        <v>0</v>
      </c>
      <c r="K567" s="542">
        <f>K565+K566</f>
        <v>74000</v>
      </c>
      <c r="L567" s="542">
        <f t="shared" si="90"/>
        <v>0</v>
      </c>
      <c r="M567" s="542">
        <f>M565+M566</f>
        <v>0</v>
      </c>
      <c r="N567" s="542">
        <f>N565+N566</f>
        <v>0</v>
      </c>
    </row>
    <row r="568" spans="1:14" s="545" customFormat="1" ht="18" customHeight="1" hidden="1">
      <c r="A568" s="1001"/>
      <c r="B568" s="1002"/>
      <c r="C568" s="1003"/>
      <c r="D568" s="1004"/>
      <c r="E568" s="995" t="s">
        <v>1016</v>
      </c>
      <c r="F568" s="996"/>
      <c r="G568" s="580" t="s">
        <v>13</v>
      </c>
      <c r="H568" s="512">
        <f t="shared" si="88"/>
        <v>386349</v>
      </c>
      <c r="I568" s="513">
        <f t="shared" si="89"/>
        <v>386349</v>
      </c>
      <c r="J568" s="513">
        <v>386349</v>
      </c>
      <c r="K568" s="513">
        <v>0</v>
      </c>
      <c r="L568" s="513">
        <f t="shared" si="90"/>
        <v>0</v>
      </c>
      <c r="M568" s="513">
        <v>0</v>
      </c>
      <c r="N568" s="513">
        <v>0</v>
      </c>
    </row>
    <row r="569" spans="1:14" s="545" customFormat="1" ht="18" customHeight="1" hidden="1">
      <c r="A569" s="1001"/>
      <c r="B569" s="1002"/>
      <c r="C569" s="1003"/>
      <c r="D569" s="1004"/>
      <c r="E569" s="997"/>
      <c r="F569" s="998"/>
      <c r="G569" s="580" t="s">
        <v>14</v>
      </c>
      <c r="H569" s="512">
        <f t="shared" si="88"/>
        <v>0</v>
      </c>
      <c r="I569" s="513">
        <f t="shared" si="89"/>
        <v>0</v>
      </c>
      <c r="J569" s="513">
        <v>0</v>
      </c>
      <c r="K569" s="513">
        <v>0</v>
      </c>
      <c r="L569" s="513">
        <f t="shared" si="90"/>
        <v>0</v>
      </c>
      <c r="M569" s="513">
        <v>0</v>
      </c>
      <c r="N569" s="513">
        <v>0</v>
      </c>
    </row>
    <row r="570" spans="1:14" s="454" customFormat="1" ht="18" customHeight="1" hidden="1">
      <c r="A570" s="1005"/>
      <c r="B570" s="1006"/>
      <c r="C570" s="1007"/>
      <c r="D570" s="1008"/>
      <c r="E570" s="999"/>
      <c r="F570" s="1000"/>
      <c r="G570" s="544" t="s">
        <v>15</v>
      </c>
      <c r="H570" s="541">
        <f t="shared" si="88"/>
        <v>386349</v>
      </c>
      <c r="I570" s="542">
        <f t="shared" si="89"/>
        <v>386349</v>
      </c>
      <c r="J570" s="542">
        <f>J568+J569</f>
        <v>386349</v>
      </c>
      <c r="K570" s="542">
        <f>K568+K569</f>
        <v>0</v>
      </c>
      <c r="L570" s="542">
        <f t="shared" si="90"/>
        <v>0</v>
      </c>
      <c r="M570" s="542">
        <f>M568+M569</f>
        <v>0</v>
      </c>
      <c r="N570" s="542">
        <f>N568+N569</f>
        <v>0</v>
      </c>
    </row>
    <row r="571" spans="1:14" s="545" customFormat="1" ht="18" customHeight="1" hidden="1">
      <c r="A571" s="1001"/>
      <c r="B571" s="1002"/>
      <c r="C571" s="1003"/>
      <c r="D571" s="1004"/>
      <c r="E571" s="995" t="s">
        <v>1017</v>
      </c>
      <c r="F571" s="996"/>
      <c r="G571" s="580" t="s">
        <v>13</v>
      </c>
      <c r="H571" s="512">
        <f t="shared" si="88"/>
        <v>30299</v>
      </c>
      <c r="I571" s="513">
        <f t="shared" si="89"/>
        <v>30299</v>
      </c>
      <c r="J571" s="513">
        <v>30299</v>
      </c>
      <c r="K571" s="513">
        <v>0</v>
      </c>
      <c r="L571" s="513">
        <f t="shared" si="90"/>
        <v>0</v>
      </c>
      <c r="M571" s="513">
        <v>0</v>
      </c>
      <c r="N571" s="513">
        <v>0</v>
      </c>
    </row>
    <row r="572" spans="1:14" s="545" customFormat="1" ht="18" customHeight="1" hidden="1">
      <c r="A572" s="1001"/>
      <c r="B572" s="1002"/>
      <c r="C572" s="1003"/>
      <c r="D572" s="1004"/>
      <c r="E572" s="997"/>
      <c r="F572" s="998"/>
      <c r="G572" s="580" t="s">
        <v>14</v>
      </c>
      <c r="H572" s="512">
        <f t="shared" si="88"/>
        <v>0</v>
      </c>
      <c r="I572" s="513">
        <f t="shared" si="89"/>
        <v>0</v>
      </c>
      <c r="J572" s="513">
        <v>0</v>
      </c>
      <c r="K572" s="513">
        <v>0</v>
      </c>
      <c r="L572" s="513">
        <f t="shared" si="90"/>
        <v>0</v>
      </c>
      <c r="M572" s="513">
        <v>0</v>
      </c>
      <c r="N572" s="513">
        <v>0</v>
      </c>
    </row>
    <row r="573" spans="1:14" s="454" customFormat="1" ht="18" customHeight="1" hidden="1">
      <c r="A573" s="1005"/>
      <c r="B573" s="1006"/>
      <c r="C573" s="1007"/>
      <c r="D573" s="1008"/>
      <c r="E573" s="999"/>
      <c r="F573" s="1000"/>
      <c r="G573" s="544" t="s">
        <v>15</v>
      </c>
      <c r="H573" s="541">
        <f t="shared" si="88"/>
        <v>30299</v>
      </c>
      <c r="I573" s="542">
        <f t="shared" si="89"/>
        <v>30299</v>
      </c>
      <c r="J573" s="542">
        <f>J571+J572</f>
        <v>30299</v>
      </c>
      <c r="K573" s="542">
        <f>K571+K572</f>
        <v>0</v>
      </c>
      <c r="L573" s="542">
        <f t="shared" si="90"/>
        <v>0</v>
      </c>
      <c r="M573" s="542">
        <f>M571+M572</f>
        <v>0</v>
      </c>
      <c r="N573" s="542">
        <f>N571+N572</f>
        <v>0</v>
      </c>
    </row>
    <row r="574" spans="1:14" s="545" customFormat="1" ht="18" customHeight="1">
      <c r="A574" s="1001"/>
      <c r="B574" s="1002"/>
      <c r="C574" s="993" t="s">
        <v>284</v>
      </c>
      <c r="D574" s="994"/>
      <c r="E574" s="995" t="s">
        <v>1018</v>
      </c>
      <c r="F574" s="996"/>
      <c r="G574" s="580" t="s">
        <v>13</v>
      </c>
      <c r="H574" s="512">
        <f t="shared" si="88"/>
        <v>0</v>
      </c>
      <c r="I574" s="513">
        <f t="shared" si="89"/>
        <v>0</v>
      </c>
      <c r="J574" s="513">
        <v>0</v>
      </c>
      <c r="K574" s="513">
        <v>0</v>
      </c>
      <c r="L574" s="513">
        <f t="shared" si="90"/>
        <v>0</v>
      </c>
      <c r="M574" s="513">
        <v>0</v>
      </c>
      <c r="N574" s="513">
        <v>0</v>
      </c>
    </row>
    <row r="575" spans="1:14" s="545" customFormat="1" ht="18" customHeight="1">
      <c r="A575" s="1001"/>
      <c r="B575" s="1002"/>
      <c r="C575" s="1003"/>
      <c r="D575" s="1004"/>
      <c r="E575" s="997"/>
      <c r="F575" s="998"/>
      <c r="G575" s="580" t="s">
        <v>14</v>
      </c>
      <c r="H575" s="512">
        <f t="shared" si="88"/>
        <v>63400</v>
      </c>
      <c r="I575" s="513">
        <f t="shared" si="89"/>
        <v>63400</v>
      </c>
      <c r="J575" s="513">
        <v>0</v>
      </c>
      <c r="K575" s="513">
        <v>63400</v>
      </c>
      <c r="L575" s="513">
        <f t="shared" si="90"/>
        <v>0</v>
      </c>
      <c r="M575" s="513">
        <v>0</v>
      </c>
      <c r="N575" s="513">
        <v>0</v>
      </c>
    </row>
    <row r="576" spans="1:14" s="454" customFormat="1" ht="18" customHeight="1">
      <c r="A576" s="1005"/>
      <c r="B576" s="1006"/>
      <c r="C576" s="1007"/>
      <c r="D576" s="1008"/>
      <c r="E576" s="999"/>
      <c r="F576" s="1000"/>
      <c r="G576" s="544" t="s">
        <v>15</v>
      </c>
      <c r="H576" s="541">
        <f t="shared" si="88"/>
        <v>63400</v>
      </c>
      <c r="I576" s="542">
        <f t="shared" si="89"/>
        <v>63400</v>
      </c>
      <c r="J576" s="542">
        <f>J574+J575</f>
        <v>0</v>
      </c>
      <c r="K576" s="542">
        <f>K574+K575</f>
        <v>63400</v>
      </c>
      <c r="L576" s="542">
        <f t="shared" si="90"/>
        <v>0</v>
      </c>
      <c r="M576" s="542">
        <f>M574+M575</f>
        <v>0</v>
      </c>
      <c r="N576" s="542">
        <f>N574+N575</f>
        <v>0</v>
      </c>
    </row>
    <row r="577" spans="1:14" s="545" customFormat="1" ht="18" customHeight="1" hidden="1">
      <c r="A577" s="1001"/>
      <c r="B577" s="1002"/>
      <c r="C577" s="1003"/>
      <c r="D577" s="1004"/>
      <c r="E577" s="995" t="s">
        <v>1019</v>
      </c>
      <c r="F577" s="996"/>
      <c r="G577" s="580" t="s">
        <v>13</v>
      </c>
      <c r="H577" s="512">
        <f t="shared" si="88"/>
        <v>350000</v>
      </c>
      <c r="I577" s="513">
        <f t="shared" si="89"/>
        <v>350000</v>
      </c>
      <c r="J577" s="513">
        <v>350000</v>
      </c>
      <c r="K577" s="513">
        <v>0</v>
      </c>
      <c r="L577" s="513">
        <f t="shared" si="90"/>
        <v>0</v>
      </c>
      <c r="M577" s="513">
        <v>0</v>
      </c>
      <c r="N577" s="513">
        <v>0</v>
      </c>
    </row>
    <row r="578" spans="1:14" s="545" customFormat="1" ht="18" customHeight="1" hidden="1">
      <c r="A578" s="1001"/>
      <c r="B578" s="1002"/>
      <c r="C578" s="1003"/>
      <c r="D578" s="1004"/>
      <c r="E578" s="997"/>
      <c r="F578" s="998"/>
      <c r="G578" s="580" t="s">
        <v>14</v>
      </c>
      <c r="H578" s="512">
        <f t="shared" si="88"/>
        <v>0</v>
      </c>
      <c r="I578" s="513">
        <f t="shared" si="89"/>
        <v>0</v>
      </c>
      <c r="J578" s="513">
        <v>0</v>
      </c>
      <c r="K578" s="513">
        <v>0</v>
      </c>
      <c r="L578" s="513">
        <f t="shared" si="90"/>
        <v>0</v>
      </c>
      <c r="M578" s="513">
        <v>0</v>
      </c>
      <c r="N578" s="513">
        <v>0</v>
      </c>
    </row>
    <row r="579" spans="1:14" s="454" customFormat="1" ht="18" customHeight="1" hidden="1">
      <c r="A579" s="1005"/>
      <c r="B579" s="1006"/>
      <c r="C579" s="1007"/>
      <c r="D579" s="1008"/>
      <c r="E579" s="999"/>
      <c r="F579" s="1000"/>
      <c r="G579" s="544" t="s">
        <v>15</v>
      </c>
      <c r="H579" s="541">
        <f t="shared" si="88"/>
        <v>350000</v>
      </c>
      <c r="I579" s="542">
        <f t="shared" si="89"/>
        <v>350000</v>
      </c>
      <c r="J579" s="542">
        <f>J577+J578</f>
        <v>350000</v>
      </c>
      <c r="K579" s="542">
        <f>K577+K578</f>
        <v>0</v>
      </c>
      <c r="L579" s="542">
        <f t="shared" si="90"/>
        <v>0</v>
      </c>
      <c r="M579" s="542">
        <f>M577+M578</f>
        <v>0</v>
      </c>
      <c r="N579" s="542">
        <f>N577+N578</f>
        <v>0</v>
      </c>
    </row>
    <row r="580" spans="1:14" s="545" customFormat="1" ht="18" customHeight="1">
      <c r="A580" s="1001"/>
      <c r="B580" s="1002"/>
      <c r="C580" s="1003"/>
      <c r="D580" s="1004"/>
      <c r="E580" s="995" t="s">
        <v>1020</v>
      </c>
      <c r="F580" s="996"/>
      <c r="G580" s="580" t="s">
        <v>13</v>
      </c>
      <c r="H580" s="512">
        <f t="shared" si="88"/>
        <v>0</v>
      </c>
      <c r="I580" s="513">
        <f t="shared" si="89"/>
        <v>0</v>
      </c>
      <c r="J580" s="513">
        <v>0</v>
      </c>
      <c r="K580" s="513">
        <v>0</v>
      </c>
      <c r="L580" s="513">
        <f t="shared" si="90"/>
        <v>0</v>
      </c>
      <c r="M580" s="513">
        <v>0</v>
      </c>
      <c r="N580" s="513">
        <v>0</v>
      </c>
    </row>
    <row r="581" spans="1:14" s="545" customFormat="1" ht="18" customHeight="1">
      <c r="A581" s="1001"/>
      <c r="B581" s="1002"/>
      <c r="C581" s="1003"/>
      <c r="D581" s="1004"/>
      <c r="E581" s="997"/>
      <c r="F581" s="998"/>
      <c r="G581" s="580" t="s">
        <v>14</v>
      </c>
      <c r="H581" s="512">
        <f t="shared" si="88"/>
        <v>31842</v>
      </c>
      <c r="I581" s="513">
        <f t="shared" si="89"/>
        <v>31842</v>
      </c>
      <c r="J581" s="513">
        <v>0</v>
      </c>
      <c r="K581" s="513">
        <v>31842</v>
      </c>
      <c r="L581" s="513">
        <f t="shared" si="90"/>
        <v>0</v>
      </c>
      <c r="M581" s="513">
        <v>0</v>
      </c>
      <c r="N581" s="513">
        <v>0</v>
      </c>
    </row>
    <row r="582" spans="1:14" s="454" customFormat="1" ht="18" customHeight="1">
      <c r="A582" s="1005"/>
      <c r="B582" s="1006"/>
      <c r="C582" s="1007"/>
      <c r="D582" s="1008"/>
      <c r="E582" s="999"/>
      <c r="F582" s="1000"/>
      <c r="G582" s="544" t="s">
        <v>15</v>
      </c>
      <c r="H582" s="541">
        <f t="shared" si="88"/>
        <v>31842</v>
      </c>
      <c r="I582" s="542">
        <f t="shared" si="89"/>
        <v>31842</v>
      </c>
      <c r="J582" s="542">
        <f>J580+J581</f>
        <v>0</v>
      </c>
      <c r="K582" s="542">
        <f>K580+K581</f>
        <v>31842</v>
      </c>
      <c r="L582" s="542">
        <f t="shared" si="90"/>
        <v>0</v>
      </c>
      <c r="M582" s="542">
        <f>M580+M581</f>
        <v>0</v>
      </c>
      <c r="N582" s="542">
        <f>N580+N581</f>
        <v>0</v>
      </c>
    </row>
    <row r="583" spans="1:14" s="545" customFormat="1" ht="18" customHeight="1" hidden="1">
      <c r="A583" s="1001"/>
      <c r="B583" s="1002"/>
      <c r="C583" s="1003"/>
      <c r="D583" s="1004"/>
      <c r="E583" s="995" t="s">
        <v>1021</v>
      </c>
      <c r="F583" s="996"/>
      <c r="G583" s="580" t="s">
        <v>13</v>
      </c>
      <c r="H583" s="512">
        <f t="shared" si="88"/>
        <v>500000</v>
      </c>
      <c r="I583" s="513">
        <f t="shared" si="89"/>
        <v>500000</v>
      </c>
      <c r="J583" s="513">
        <v>500000</v>
      </c>
      <c r="K583" s="513">
        <v>0</v>
      </c>
      <c r="L583" s="513">
        <f t="shared" si="90"/>
        <v>0</v>
      </c>
      <c r="M583" s="513">
        <v>0</v>
      </c>
      <c r="N583" s="513">
        <v>0</v>
      </c>
    </row>
    <row r="584" spans="1:14" s="545" customFormat="1" ht="18" customHeight="1" hidden="1">
      <c r="A584" s="1001"/>
      <c r="B584" s="1002"/>
      <c r="C584" s="1003"/>
      <c r="D584" s="1004"/>
      <c r="E584" s="997"/>
      <c r="F584" s="998"/>
      <c r="G584" s="580" t="s">
        <v>14</v>
      </c>
      <c r="H584" s="512">
        <f t="shared" si="88"/>
        <v>0</v>
      </c>
      <c r="I584" s="513">
        <f t="shared" si="89"/>
        <v>0</v>
      </c>
      <c r="J584" s="513">
        <v>0</v>
      </c>
      <c r="K584" s="513">
        <v>0</v>
      </c>
      <c r="L584" s="513">
        <f t="shared" si="90"/>
        <v>0</v>
      </c>
      <c r="M584" s="513">
        <v>0</v>
      </c>
      <c r="N584" s="513">
        <v>0</v>
      </c>
    </row>
    <row r="585" spans="1:14" s="454" customFormat="1" ht="18" customHeight="1" hidden="1">
      <c r="A585" s="1005"/>
      <c r="B585" s="1006"/>
      <c r="C585" s="1007"/>
      <c r="D585" s="1008"/>
      <c r="E585" s="999"/>
      <c r="F585" s="1000"/>
      <c r="G585" s="544" t="s">
        <v>15</v>
      </c>
      <c r="H585" s="541">
        <f t="shared" si="88"/>
        <v>500000</v>
      </c>
      <c r="I585" s="542">
        <f t="shared" si="89"/>
        <v>500000</v>
      </c>
      <c r="J585" s="542">
        <f>J583+J584</f>
        <v>500000</v>
      </c>
      <c r="K585" s="542">
        <f>K583+K584</f>
        <v>0</v>
      </c>
      <c r="L585" s="542">
        <f t="shared" si="90"/>
        <v>0</v>
      </c>
      <c r="M585" s="542">
        <f>M583+M584</f>
        <v>0</v>
      </c>
      <c r="N585" s="542">
        <f>N583+N584</f>
        <v>0</v>
      </c>
    </row>
    <row r="586" spans="1:14" s="545" customFormat="1" ht="18" customHeight="1">
      <c r="A586" s="1001"/>
      <c r="B586" s="1002"/>
      <c r="C586" s="1003"/>
      <c r="D586" s="1004"/>
      <c r="E586" s="995" t="s">
        <v>1022</v>
      </c>
      <c r="F586" s="996"/>
      <c r="G586" s="580" t="s">
        <v>13</v>
      </c>
      <c r="H586" s="512">
        <f t="shared" si="88"/>
        <v>0</v>
      </c>
      <c r="I586" s="513">
        <f t="shared" si="89"/>
        <v>0</v>
      </c>
      <c r="J586" s="513">
        <v>0</v>
      </c>
      <c r="K586" s="513">
        <v>0</v>
      </c>
      <c r="L586" s="513">
        <f t="shared" si="90"/>
        <v>0</v>
      </c>
      <c r="M586" s="513">
        <v>0</v>
      </c>
      <c r="N586" s="513">
        <v>0</v>
      </c>
    </row>
    <row r="587" spans="1:14" s="545" customFormat="1" ht="18" customHeight="1">
      <c r="A587" s="1001"/>
      <c r="B587" s="1002"/>
      <c r="C587" s="1003"/>
      <c r="D587" s="1004"/>
      <c r="E587" s="997"/>
      <c r="F587" s="998"/>
      <c r="G587" s="580" t="s">
        <v>14</v>
      </c>
      <c r="H587" s="512">
        <f t="shared" si="88"/>
        <v>9900</v>
      </c>
      <c r="I587" s="513">
        <f t="shared" si="89"/>
        <v>9900</v>
      </c>
      <c r="J587" s="513">
        <v>0</v>
      </c>
      <c r="K587" s="513">
        <v>9900</v>
      </c>
      <c r="L587" s="513">
        <f t="shared" si="90"/>
        <v>0</v>
      </c>
      <c r="M587" s="513">
        <v>0</v>
      </c>
      <c r="N587" s="513">
        <v>0</v>
      </c>
    </row>
    <row r="588" spans="1:14" s="454" customFormat="1" ht="18" customHeight="1">
      <c r="A588" s="1005"/>
      <c r="B588" s="1006"/>
      <c r="C588" s="1007"/>
      <c r="D588" s="1008"/>
      <c r="E588" s="999"/>
      <c r="F588" s="1000"/>
      <c r="G588" s="544" t="s">
        <v>15</v>
      </c>
      <c r="H588" s="541">
        <f t="shared" si="88"/>
        <v>9900</v>
      </c>
      <c r="I588" s="542">
        <f t="shared" si="89"/>
        <v>9900</v>
      </c>
      <c r="J588" s="542">
        <f>J586+J587</f>
        <v>0</v>
      </c>
      <c r="K588" s="542">
        <f>K586+K587</f>
        <v>9900</v>
      </c>
      <c r="L588" s="542">
        <f t="shared" si="90"/>
        <v>0</v>
      </c>
      <c r="M588" s="542">
        <f>M586+M587</f>
        <v>0</v>
      </c>
      <c r="N588" s="542">
        <f>N586+N587</f>
        <v>0</v>
      </c>
    </row>
    <row r="589" spans="1:14" s="454" customFormat="1" ht="18" customHeight="1" hidden="1">
      <c r="A589" s="1005"/>
      <c r="B589" s="1006"/>
      <c r="C589" s="1011" t="s">
        <v>929</v>
      </c>
      <c r="D589" s="1012"/>
      <c r="E589" s="1018" t="s">
        <v>1023</v>
      </c>
      <c r="F589" s="1019"/>
      <c r="G589" s="580" t="s">
        <v>13</v>
      </c>
      <c r="H589" s="512">
        <f t="shared" si="88"/>
        <v>1125000</v>
      </c>
      <c r="I589" s="513">
        <f t="shared" si="89"/>
        <v>225000</v>
      </c>
      <c r="J589" s="513">
        <v>0</v>
      </c>
      <c r="K589" s="513">
        <v>225000</v>
      </c>
      <c r="L589" s="513">
        <f t="shared" si="90"/>
        <v>900000</v>
      </c>
      <c r="M589" s="513">
        <v>0</v>
      </c>
      <c r="N589" s="513">
        <v>900000</v>
      </c>
    </row>
    <row r="590" spans="1:14" s="454" customFormat="1" ht="18" customHeight="1" hidden="1">
      <c r="A590" s="1005"/>
      <c r="B590" s="1006"/>
      <c r="C590" s="1007"/>
      <c r="D590" s="1008"/>
      <c r="E590" s="1020"/>
      <c r="F590" s="1021"/>
      <c r="G590" s="580" t="s">
        <v>14</v>
      </c>
      <c r="H590" s="512">
        <f t="shared" si="88"/>
        <v>0</v>
      </c>
      <c r="I590" s="513">
        <f t="shared" si="89"/>
        <v>0</v>
      </c>
      <c r="J590" s="513">
        <v>0</v>
      </c>
      <c r="K590" s="513">
        <v>0</v>
      </c>
      <c r="L590" s="513">
        <f t="shared" si="90"/>
        <v>0</v>
      </c>
      <c r="M590" s="513">
        <v>0</v>
      </c>
      <c r="N590" s="513">
        <v>0</v>
      </c>
    </row>
    <row r="591" spans="1:14" s="454" customFormat="1" ht="18" customHeight="1" hidden="1">
      <c r="A591" s="1005"/>
      <c r="B591" s="1006"/>
      <c r="C591" s="1007"/>
      <c r="D591" s="1008"/>
      <c r="E591" s="1022"/>
      <c r="F591" s="1023"/>
      <c r="G591" s="544" t="s">
        <v>15</v>
      </c>
      <c r="H591" s="541">
        <f t="shared" si="88"/>
        <v>1125000</v>
      </c>
      <c r="I591" s="542">
        <f t="shared" si="89"/>
        <v>225000</v>
      </c>
      <c r="J591" s="542">
        <f>J589+J590</f>
        <v>0</v>
      </c>
      <c r="K591" s="542">
        <f>K589+K590</f>
        <v>225000</v>
      </c>
      <c r="L591" s="542">
        <f t="shared" si="90"/>
        <v>900000</v>
      </c>
      <c r="M591" s="542">
        <f>M589+M590</f>
        <v>0</v>
      </c>
      <c r="N591" s="542">
        <f>N589+N590</f>
        <v>900000</v>
      </c>
    </row>
    <row r="592" spans="1:14" s="545" customFormat="1" ht="18" customHeight="1" hidden="1">
      <c r="A592" s="1001"/>
      <c r="B592" s="1002"/>
      <c r="C592" s="993" t="s">
        <v>366</v>
      </c>
      <c r="D592" s="994"/>
      <c r="E592" s="995" t="s">
        <v>1024</v>
      </c>
      <c r="F592" s="996"/>
      <c r="G592" s="580" t="s">
        <v>13</v>
      </c>
      <c r="H592" s="512">
        <f t="shared" si="88"/>
        <v>1100000</v>
      </c>
      <c r="I592" s="513">
        <f t="shared" si="89"/>
        <v>0</v>
      </c>
      <c r="J592" s="513">
        <v>0</v>
      </c>
      <c r="K592" s="513">
        <v>0</v>
      </c>
      <c r="L592" s="513">
        <f t="shared" si="90"/>
        <v>1100000</v>
      </c>
      <c r="M592" s="513">
        <v>0</v>
      </c>
      <c r="N592" s="513">
        <v>1100000</v>
      </c>
    </row>
    <row r="593" spans="1:14" s="545" customFormat="1" ht="18" customHeight="1" hidden="1">
      <c r="A593" s="1001"/>
      <c r="B593" s="1002"/>
      <c r="C593" s="1003"/>
      <c r="D593" s="1004"/>
      <c r="E593" s="997"/>
      <c r="F593" s="998"/>
      <c r="G593" s="580" t="s">
        <v>14</v>
      </c>
      <c r="H593" s="512">
        <f t="shared" si="88"/>
        <v>0</v>
      </c>
      <c r="I593" s="513">
        <f t="shared" si="89"/>
        <v>0</v>
      </c>
      <c r="J593" s="513">
        <v>0</v>
      </c>
      <c r="K593" s="513">
        <v>0</v>
      </c>
      <c r="L593" s="513">
        <f t="shared" si="90"/>
        <v>0</v>
      </c>
      <c r="M593" s="513">
        <v>0</v>
      </c>
      <c r="N593" s="513">
        <v>0</v>
      </c>
    </row>
    <row r="594" spans="1:14" s="454" customFormat="1" ht="18" customHeight="1" hidden="1">
      <c r="A594" s="1005"/>
      <c r="B594" s="1006"/>
      <c r="C594" s="1007"/>
      <c r="D594" s="1008"/>
      <c r="E594" s="999"/>
      <c r="F594" s="1000"/>
      <c r="G594" s="544" t="s">
        <v>15</v>
      </c>
      <c r="H594" s="541">
        <f t="shared" si="88"/>
        <v>1100000</v>
      </c>
      <c r="I594" s="542">
        <f t="shared" si="89"/>
        <v>0</v>
      </c>
      <c r="J594" s="542">
        <f>J592+J593</f>
        <v>0</v>
      </c>
      <c r="K594" s="542">
        <f>K592+K593</f>
        <v>0</v>
      </c>
      <c r="L594" s="542">
        <f t="shared" si="90"/>
        <v>1100000</v>
      </c>
      <c r="M594" s="542">
        <f>M592+M593</f>
        <v>0</v>
      </c>
      <c r="N594" s="542">
        <f>N592+N593</f>
        <v>1100000</v>
      </c>
    </row>
    <row r="595" spans="1:14" s="454" customFormat="1" ht="18" customHeight="1">
      <c r="A595" s="1005"/>
      <c r="B595" s="1006"/>
      <c r="C595" s="1011" t="s">
        <v>366</v>
      </c>
      <c r="D595" s="1012"/>
      <c r="E595" s="995" t="s">
        <v>1025</v>
      </c>
      <c r="F595" s="996"/>
      <c r="G595" s="580" t="s">
        <v>13</v>
      </c>
      <c r="H595" s="512">
        <f t="shared" si="88"/>
        <v>360000</v>
      </c>
      <c r="I595" s="513">
        <f t="shared" si="89"/>
        <v>360000</v>
      </c>
      <c r="J595" s="513">
        <v>0</v>
      </c>
      <c r="K595" s="513">
        <v>360000</v>
      </c>
      <c r="L595" s="513">
        <f t="shared" si="90"/>
        <v>0</v>
      </c>
      <c r="M595" s="513">
        <v>0</v>
      </c>
      <c r="N595" s="513">
        <v>0</v>
      </c>
    </row>
    <row r="596" spans="1:14" s="454" customFormat="1" ht="18" customHeight="1">
      <c r="A596" s="1005"/>
      <c r="B596" s="1006"/>
      <c r="C596" s="1007"/>
      <c r="D596" s="1008"/>
      <c r="E596" s="997"/>
      <c r="F596" s="998"/>
      <c r="G596" s="580" t="s">
        <v>14</v>
      </c>
      <c r="H596" s="512">
        <f t="shared" si="88"/>
        <v>-30000</v>
      </c>
      <c r="I596" s="513">
        <f t="shared" si="89"/>
        <v>-30000</v>
      </c>
      <c r="J596" s="513">
        <v>0</v>
      </c>
      <c r="K596" s="513">
        <v>-30000</v>
      </c>
      <c r="L596" s="513">
        <f t="shared" si="90"/>
        <v>0</v>
      </c>
      <c r="M596" s="513">
        <v>0</v>
      </c>
      <c r="N596" s="513">
        <v>0</v>
      </c>
    </row>
    <row r="597" spans="1:14" s="454" customFormat="1" ht="18" customHeight="1">
      <c r="A597" s="1005"/>
      <c r="B597" s="1006"/>
      <c r="C597" s="1007"/>
      <c r="D597" s="1008"/>
      <c r="E597" s="999"/>
      <c r="F597" s="1000"/>
      <c r="G597" s="544" t="s">
        <v>15</v>
      </c>
      <c r="H597" s="541">
        <f t="shared" si="88"/>
        <v>330000</v>
      </c>
      <c r="I597" s="542">
        <f t="shared" si="89"/>
        <v>330000</v>
      </c>
      <c r="J597" s="542">
        <f>J595+J596</f>
        <v>0</v>
      </c>
      <c r="K597" s="542">
        <f>K595+K596</f>
        <v>330000</v>
      </c>
      <c r="L597" s="542">
        <f t="shared" si="90"/>
        <v>0</v>
      </c>
      <c r="M597" s="542">
        <f>M595+M596</f>
        <v>0</v>
      </c>
      <c r="N597" s="542">
        <f>N595+N596</f>
        <v>0</v>
      </c>
    </row>
    <row r="598" spans="1:14" s="545" customFormat="1" ht="18" customHeight="1" hidden="1">
      <c r="A598" s="1001"/>
      <c r="B598" s="1002"/>
      <c r="C598" s="1003"/>
      <c r="D598" s="1004"/>
      <c r="E598" s="995" t="s">
        <v>1026</v>
      </c>
      <c r="F598" s="996"/>
      <c r="G598" s="580" t="s">
        <v>13</v>
      </c>
      <c r="H598" s="512">
        <f t="shared" si="88"/>
        <v>50000</v>
      </c>
      <c r="I598" s="513">
        <f t="shared" si="89"/>
        <v>50000</v>
      </c>
      <c r="J598" s="513">
        <v>0</v>
      </c>
      <c r="K598" s="513">
        <v>50000</v>
      </c>
      <c r="L598" s="513">
        <f t="shared" si="90"/>
        <v>0</v>
      </c>
      <c r="M598" s="513">
        <v>0</v>
      </c>
      <c r="N598" s="513">
        <v>0</v>
      </c>
    </row>
    <row r="599" spans="1:14" s="545" customFormat="1" ht="18" customHeight="1" hidden="1">
      <c r="A599" s="1001"/>
      <c r="B599" s="1002"/>
      <c r="C599" s="1003"/>
      <c r="D599" s="1004"/>
      <c r="E599" s="997"/>
      <c r="F599" s="998"/>
      <c r="G599" s="580" t="s">
        <v>14</v>
      </c>
      <c r="H599" s="512">
        <f t="shared" si="88"/>
        <v>0</v>
      </c>
      <c r="I599" s="513">
        <f t="shared" si="89"/>
        <v>0</v>
      </c>
      <c r="J599" s="513">
        <v>0</v>
      </c>
      <c r="K599" s="513">
        <v>0</v>
      </c>
      <c r="L599" s="513">
        <f t="shared" si="90"/>
        <v>0</v>
      </c>
      <c r="M599" s="513">
        <v>0</v>
      </c>
      <c r="N599" s="513">
        <v>0</v>
      </c>
    </row>
    <row r="600" spans="1:14" s="454" customFormat="1" ht="18" customHeight="1" hidden="1">
      <c r="A600" s="1005"/>
      <c r="B600" s="1006"/>
      <c r="C600" s="1007"/>
      <c r="D600" s="1008"/>
      <c r="E600" s="999"/>
      <c r="F600" s="1000"/>
      <c r="G600" s="544" t="s">
        <v>15</v>
      </c>
      <c r="H600" s="541">
        <f t="shared" si="88"/>
        <v>50000</v>
      </c>
      <c r="I600" s="542">
        <f t="shared" si="89"/>
        <v>50000</v>
      </c>
      <c r="J600" s="542">
        <f>J598+J599</f>
        <v>0</v>
      </c>
      <c r="K600" s="542">
        <f>K598+K599</f>
        <v>50000</v>
      </c>
      <c r="L600" s="542">
        <f t="shared" si="90"/>
        <v>0</v>
      </c>
      <c r="M600" s="542">
        <f>M598+M599</f>
        <v>0</v>
      </c>
      <c r="N600" s="542">
        <f>N598+N599</f>
        <v>0</v>
      </c>
    </row>
    <row r="601" spans="1:14" s="545" customFormat="1" ht="18" customHeight="1">
      <c r="A601" s="1001"/>
      <c r="B601" s="1002"/>
      <c r="C601" s="1003"/>
      <c r="D601" s="1004"/>
      <c r="E601" s="995" t="s">
        <v>1027</v>
      </c>
      <c r="F601" s="996"/>
      <c r="G601" s="580" t="s">
        <v>13</v>
      </c>
      <c r="H601" s="512">
        <f t="shared" si="88"/>
        <v>640000</v>
      </c>
      <c r="I601" s="513">
        <f t="shared" si="89"/>
        <v>640000</v>
      </c>
      <c r="J601" s="513">
        <v>0</v>
      </c>
      <c r="K601" s="513">
        <v>640000</v>
      </c>
      <c r="L601" s="513">
        <f t="shared" si="90"/>
        <v>0</v>
      </c>
      <c r="M601" s="513">
        <v>0</v>
      </c>
      <c r="N601" s="513">
        <v>0</v>
      </c>
    </row>
    <row r="602" spans="1:14" s="545" customFormat="1" ht="18" customHeight="1">
      <c r="A602" s="1001"/>
      <c r="B602" s="1002"/>
      <c r="C602" s="1003"/>
      <c r="D602" s="1004"/>
      <c r="E602" s="997"/>
      <c r="F602" s="998"/>
      <c r="G602" s="580" t="s">
        <v>14</v>
      </c>
      <c r="H602" s="512">
        <f t="shared" si="88"/>
        <v>-640000</v>
      </c>
      <c r="I602" s="513">
        <f t="shared" si="89"/>
        <v>-640000</v>
      </c>
      <c r="J602" s="513">
        <v>0</v>
      </c>
      <c r="K602" s="513">
        <v>-640000</v>
      </c>
      <c r="L602" s="513">
        <f t="shared" si="90"/>
        <v>0</v>
      </c>
      <c r="M602" s="513">
        <v>0</v>
      </c>
      <c r="N602" s="513">
        <v>0</v>
      </c>
    </row>
    <row r="603" spans="1:14" s="454" customFormat="1" ht="18" customHeight="1">
      <c r="A603" s="1005"/>
      <c r="B603" s="1006"/>
      <c r="C603" s="1007"/>
      <c r="D603" s="1008"/>
      <c r="E603" s="999"/>
      <c r="F603" s="1000"/>
      <c r="G603" s="544" t="s">
        <v>15</v>
      </c>
      <c r="H603" s="541">
        <f t="shared" si="88"/>
        <v>0</v>
      </c>
      <c r="I603" s="542">
        <f t="shared" si="89"/>
        <v>0</v>
      </c>
      <c r="J603" s="542">
        <f>J601+J602</f>
        <v>0</v>
      </c>
      <c r="K603" s="542">
        <f>K601+K602</f>
        <v>0</v>
      </c>
      <c r="L603" s="542">
        <f t="shared" si="90"/>
        <v>0</v>
      </c>
      <c r="M603" s="542">
        <f>M601+M602</f>
        <v>0</v>
      </c>
      <c r="N603" s="542">
        <f>N601+N602</f>
        <v>0</v>
      </c>
    </row>
    <row r="604" spans="1:14" s="545" customFormat="1" ht="18" customHeight="1">
      <c r="A604" s="1001"/>
      <c r="B604" s="1002"/>
      <c r="C604" s="1003"/>
      <c r="D604" s="1004"/>
      <c r="E604" s="995" t="s">
        <v>986</v>
      </c>
      <c r="F604" s="996"/>
      <c r="G604" s="580" t="s">
        <v>13</v>
      </c>
      <c r="H604" s="512">
        <f t="shared" si="88"/>
        <v>450000</v>
      </c>
      <c r="I604" s="513">
        <f t="shared" si="89"/>
        <v>450000</v>
      </c>
      <c r="J604" s="513">
        <v>0</v>
      </c>
      <c r="K604" s="513">
        <v>450000</v>
      </c>
      <c r="L604" s="513">
        <f t="shared" si="90"/>
        <v>0</v>
      </c>
      <c r="M604" s="513">
        <v>0</v>
      </c>
      <c r="N604" s="513">
        <v>0</v>
      </c>
    </row>
    <row r="605" spans="1:14" s="545" customFormat="1" ht="18" customHeight="1">
      <c r="A605" s="1001"/>
      <c r="B605" s="1002"/>
      <c r="C605" s="1003"/>
      <c r="D605" s="1004"/>
      <c r="E605" s="997"/>
      <c r="F605" s="998"/>
      <c r="G605" s="580" t="s">
        <v>14</v>
      </c>
      <c r="H605" s="512">
        <f t="shared" si="88"/>
        <v>-450000</v>
      </c>
      <c r="I605" s="513">
        <f t="shared" si="89"/>
        <v>-450000</v>
      </c>
      <c r="J605" s="513">
        <v>0</v>
      </c>
      <c r="K605" s="513">
        <v>-450000</v>
      </c>
      <c r="L605" s="513">
        <f t="shared" si="90"/>
        <v>0</v>
      </c>
      <c r="M605" s="513">
        <v>0</v>
      </c>
      <c r="N605" s="513">
        <v>0</v>
      </c>
    </row>
    <row r="606" spans="1:14" s="454" customFormat="1" ht="18" customHeight="1">
      <c r="A606" s="1014"/>
      <c r="B606" s="1015"/>
      <c r="C606" s="1016"/>
      <c r="D606" s="1017"/>
      <c r="E606" s="999"/>
      <c r="F606" s="1000"/>
      <c r="G606" s="571" t="s">
        <v>15</v>
      </c>
      <c r="H606" s="512">
        <f t="shared" si="88"/>
        <v>0</v>
      </c>
      <c r="I606" s="513">
        <f t="shared" si="89"/>
        <v>0</v>
      </c>
      <c r="J606" s="513">
        <f>J604+J605</f>
        <v>0</v>
      </c>
      <c r="K606" s="513">
        <f>K604+K605</f>
        <v>0</v>
      </c>
      <c r="L606" s="513">
        <f t="shared" si="90"/>
        <v>0</v>
      </c>
      <c r="M606" s="513">
        <f>M604+M605</f>
        <v>0</v>
      </c>
      <c r="N606" s="513">
        <f>N604+N605</f>
        <v>0</v>
      </c>
    </row>
    <row r="607" spans="1:14" s="545" customFormat="1" ht="18" customHeight="1" hidden="1">
      <c r="A607" s="1001"/>
      <c r="B607" s="1002"/>
      <c r="C607" s="1003"/>
      <c r="D607" s="1004"/>
      <c r="E607" s="997" t="s">
        <v>987</v>
      </c>
      <c r="F607" s="998"/>
      <c r="G607" s="586" t="s">
        <v>13</v>
      </c>
      <c r="H607" s="573">
        <f t="shared" si="88"/>
        <v>450000</v>
      </c>
      <c r="I607" s="574">
        <f t="shared" si="89"/>
        <v>450000</v>
      </c>
      <c r="J607" s="574">
        <v>0</v>
      </c>
      <c r="K607" s="574">
        <v>450000</v>
      </c>
      <c r="L607" s="574">
        <f t="shared" si="90"/>
        <v>0</v>
      </c>
      <c r="M607" s="574">
        <v>0</v>
      </c>
      <c r="N607" s="574">
        <v>0</v>
      </c>
    </row>
    <row r="608" spans="1:14" s="545" customFormat="1" ht="18" customHeight="1" hidden="1">
      <c r="A608" s="1001"/>
      <c r="B608" s="1002"/>
      <c r="C608" s="1003"/>
      <c r="D608" s="1004"/>
      <c r="E608" s="997"/>
      <c r="F608" s="998"/>
      <c r="G608" s="580" t="s">
        <v>14</v>
      </c>
      <c r="H608" s="512">
        <f t="shared" si="88"/>
        <v>0</v>
      </c>
      <c r="I608" s="513">
        <f t="shared" si="89"/>
        <v>0</v>
      </c>
      <c r="J608" s="513">
        <v>0</v>
      </c>
      <c r="K608" s="513">
        <v>0</v>
      </c>
      <c r="L608" s="513">
        <f t="shared" si="90"/>
        <v>0</v>
      </c>
      <c r="M608" s="513">
        <v>0</v>
      </c>
      <c r="N608" s="513">
        <v>0</v>
      </c>
    </row>
    <row r="609" spans="1:14" s="454" customFormat="1" ht="18" customHeight="1" hidden="1">
      <c r="A609" s="1005"/>
      <c r="B609" s="1006"/>
      <c r="C609" s="1007"/>
      <c r="D609" s="1008"/>
      <c r="E609" s="999"/>
      <c r="F609" s="1000"/>
      <c r="G609" s="544" t="s">
        <v>15</v>
      </c>
      <c r="H609" s="541">
        <f t="shared" si="88"/>
        <v>450000</v>
      </c>
      <c r="I609" s="542">
        <f t="shared" si="89"/>
        <v>450000</v>
      </c>
      <c r="J609" s="542">
        <f>J607+J608</f>
        <v>0</v>
      </c>
      <c r="K609" s="542">
        <f>K607+K608</f>
        <v>450000</v>
      </c>
      <c r="L609" s="542">
        <f t="shared" si="90"/>
        <v>0</v>
      </c>
      <c r="M609" s="542">
        <f>M607+M608</f>
        <v>0</v>
      </c>
      <c r="N609" s="542">
        <f>N607+N608</f>
        <v>0</v>
      </c>
    </row>
    <row r="610" spans="1:14" s="545" customFormat="1" ht="18" customHeight="1" hidden="1">
      <c r="A610" s="1001"/>
      <c r="B610" s="1002"/>
      <c r="C610" s="1003"/>
      <c r="D610" s="1004"/>
      <c r="E610" s="995" t="s">
        <v>1028</v>
      </c>
      <c r="F610" s="996"/>
      <c r="G610" s="580" t="s">
        <v>13</v>
      </c>
      <c r="H610" s="512">
        <f t="shared" si="88"/>
        <v>130000</v>
      </c>
      <c r="I610" s="513">
        <f t="shared" si="89"/>
        <v>130000</v>
      </c>
      <c r="J610" s="513">
        <v>0</v>
      </c>
      <c r="K610" s="513">
        <v>130000</v>
      </c>
      <c r="L610" s="513">
        <f t="shared" si="90"/>
        <v>0</v>
      </c>
      <c r="M610" s="513">
        <v>0</v>
      </c>
      <c r="N610" s="513">
        <v>0</v>
      </c>
    </row>
    <row r="611" spans="1:14" s="545" customFormat="1" ht="18" customHeight="1" hidden="1">
      <c r="A611" s="1001"/>
      <c r="B611" s="1002"/>
      <c r="C611" s="1003"/>
      <c r="D611" s="1004"/>
      <c r="E611" s="997"/>
      <c r="F611" s="998"/>
      <c r="G611" s="580" t="s">
        <v>14</v>
      </c>
      <c r="H611" s="512">
        <f t="shared" si="88"/>
        <v>0</v>
      </c>
      <c r="I611" s="513">
        <f t="shared" si="89"/>
        <v>0</v>
      </c>
      <c r="J611" s="513">
        <v>0</v>
      </c>
      <c r="K611" s="513">
        <v>0</v>
      </c>
      <c r="L611" s="513">
        <f t="shared" si="90"/>
        <v>0</v>
      </c>
      <c r="M611" s="513">
        <v>0</v>
      </c>
      <c r="N611" s="513">
        <v>0</v>
      </c>
    </row>
    <row r="612" spans="1:14" s="454" customFormat="1" ht="18" customHeight="1" hidden="1">
      <c r="A612" s="1005"/>
      <c r="B612" s="1006"/>
      <c r="C612" s="1007"/>
      <c r="D612" s="1008"/>
      <c r="E612" s="997"/>
      <c r="F612" s="998"/>
      <c r="G612" s="544" t="s">
        <v>15</v>
      </c>
      <c r="H612" s="541">
        <f t="shared" si="88"/>
        <v>130000</v>
      </c>
      <c r="I612" s="542">
        <f t="shared" si="89"/>
        <v>130000</v>
      </c>
      <c r="J612" s="542">
        <f>J610+J611</f>
        <v>0</v>
      </c>
      <c r="K612" s="542">
        <f>K610+K611</f>
        <v>130000</v>
      </c>
      <c r="L612" s="542">
        <f t="shared" si="90"/>
        <v>0</v>
      </c>
      <c r="M612" s="542">
        <f>M610+M611</f>
        <v>0</v>
      </c>
      <c r="N612" s="542">
        <f>N610+N611</f>
        <v>0</v>
      </c>
    </row>
    <row r="613" spans="1:14" s="545" customFormat="1" ht="18" customHeight="1">
      <c r="A613" s="991"/>
      <c r="B613" s="1013"/>
      <c r="C613" s="993"/>
      <c r="D613" s="994"/>
      <c r="E613" s="995" t="s">
        <v>1029</v>
      </c>
      <c r="F613" s="996"/>
      <c r="G613" s="580" t="s">
        <v>13</v>
      </c>
      <c r="H613" s="512">
        <f aca="true" t="shared" si="91" ref="H613:H624">I613+L613</f>
        <v>0</v>
      </c>
      <c r="I613" s="513">
        <f aca="true" t="shared" si="92" ref="I613:I624">J613+K613</f>
        <v>0</v>
      </c>
      <c r="J613" s="513">
        <v>0</v>
      </c>
      <c r="K613" s="513">
        <v>0</v>
      </c>
      <c r="L613" s="513">
        <f aca="true" t="shared" si="93" ref="L613:L624">M613+N613</f>
        <v>0</v>
      </c>
      <c r="M613" s="513">
        <v>0</v>
      </c>
      <c r="N613" s="513">
        <v>0</v>
      </c>
    </row>
    <row r="614" spans="1:14" s="545" customFormat="1" ht="18" customHeight="1">
      <c r="A614" s="1001"/>
      <c r="B614" s="1002"/>
      <c r="C614" s="1003"/>
      <c r="D614" s="1004"/>
      <c r="E614" s="997"/>
      <c r="F614" s="998"/>
      <c r="G614" s="580" t="s">
        <v>14</v>
      </c>
      <c r="H614" s="512">
        <f t="shared" si="91"/>
        <v>100000</v>
      </c>
      <c r="I614" s="513">
        <f t="shared" si="92"/>
        <v>0</v>
      </c>
      <c r="J614" s="513">
        <v>0</v>
      </c>
      <c r="K614" s="513">
        <v>0</v>
      </c>
      <c r="L614" s="513">
        <f t="shared" si="93"/>
        <v>100000</v>
      </c>
      <c r="M614" s="513">
        <v>100000</v>
      </c>
      <c r="N614" s="513">
        <v>0</v>
      </c>
    </row>
    <row r="615" spans="1:14" s="454" customFormat="1" ht="18" customHeight="1">
      <c r="A615" s="1014"/>
      <c r="B615" s="1015"/>
      <c r="C615" s="1016"/>
      <c r="D615" s="1017"/>
      <c r="E615" s="999"/>
      <c r="F615" s="1000"/>
      <c r="G615" s="571" t="s">
        <v>15</v>
      </c>
      <c r="H615" s="512">
        <f t="shared" si="91"/>
        <v>100000</v>
      </c>
      <c r="I615" s="513">
        <f t="shared" si="92"/>
        <v>0</v>
      </c>
      <c r="J615" s="513">
        <f>J613+J614</f>
        <v>0</v>
      </c>
      <c r="K615" s="513">
        <f>K613+K614</f>
        <v>0</v>
      </c>
      <c r="L615" s="513">
        <f t="shared" si="93"/>
        <v>100000</v>
      </c>
      <c r="M615" s="513">
        <f>M613+M614</f>
        <v>100000</v>
      </c>
      <c r="N615" s="513">
        <f>N613+N614</f>
        <v>0</v>
      </c>
    </row>
    <row r="616" spans="1:14" s="454" customFormat="1" ht="18" customHeight="1" hidden="1">
      <c r="A616" s="1009" t="s">
        <v>294</v>
      </c>
      <c r="B616" s="1010"/>
      <c r="C616" s="1011" t="s">
        <v>296</v>
      </c>
      <c r="D616" s="1012"/>
      <c r="E616" s="995" t="s">
        <v>1030</v>
      </c>
      <c r="F616" s="996"/>
      <c r="G616" s="580" t="s">
        <v>13</v>
      </c>
      <c r="H616" s="541">
        <f t="shared" si="91"/>
        <v>3200000</v>
      </c>
      <c r="I616" s="542">
        <f t="shared" si="92"/>
        <v>0</v>
      </c>
      <c r="J616" s="542">
        <v>0</v>
      </c>
      <c r="K616" s="542">
        <v>0</v>
      </c>
      <c r="L616" s="542">
        <f t="shared" si="93"/>
        <v>3200000</v>
      </c>
      <c r="M616" s="542">
        <v>0</v>
      </c>
      <c r="N616" s="542">
        <v>3200000</v>
      </c>
    </row>
    <row r="617" spans="1:14" s="454" customFormat="1" ht="18" customHeight="1" hidden="1">
      <c r="A617" s="1005"/>
      <c r="B617" s="1006"/>
      <c r="C617" s="1007"/>
      <c r="D617" s="1008"/>
      <c r="E617" s="997"/>
      <c r="F617" s="998"/>
      <c r="G617" s="580" t="s">
        <v>14</v>
      </c>
      <c r="H617" s="541">
        <f t="shared" si="91"/>
        <v>0</v>
      </c>
      <c r="I617" s="542">
        <f t="shared" si="92"/>
        <v>0</v>
      </c>
      <c r="J617" s="542">
        <v>0</v>
      </c>
      <c r="K617" s="542">
        <v>0</v>
      </c>
      <c r="L617" s="542">
        <f t="shared" si="93"/>
        <v>0</v>
      </c>
      <c r="M617" s="542">
        <v>0</v>
      </c>
      <c r="N617" s="542">
        <v>0</v>
      </c>
    </row>
    <row r="618" spans="1:14" s="454" customFormat="1" ht="18" customHeight="1" hidden="1">
      <c r="A618" s="1005"/>
      <c r="B618" s="1006"/>
      <c r="C618" s="1007"/>
      <c r="D618" s="1008"/>
      <c r="E618" s="999"/>
      <c r="F618" s="1000"/>
      <c r="G618" s="544" t="s">
        <v>15</v>
      </c>
      <c r="H618" s="541">
        <f t="shared" si="91"/>
        <v>3200000</v>
      </c>
      <c r="I618" s="542">
        <f t="shared" si="92"/>
        <v>0</v>
      </c>
      <c r="J618" s="542">
        <f>J616+J617</f>
        <v>0</v>
      </c>
      <c r="K618" s="542">
        <f>K616+K617</f>
        <v>0</v>
      </c>
      <c r="L618" s="542">
        <f t="shared" si="93"/>
        <v>3200000</v>
      </c>
      <c r="M618" s="542">
        <f>M616+M617</f>
        <v>0</v>
      </c>
      <c r="N618" s="542">
        <f>N616+N617</f>
        <v>3200000</v>
      </c>
    </row>
    <row r="619" spans="1:14" s="454" customFormat="1" ht="18" customHeight="1" hidden="1">
      <c r="A619" s="1005"/>
      <c r="B619" s="1006"/>
      <c r="C619" s="1007"/>
      <c r="D619" s="1008"/>
      <c r="E619" s="995" t="s">
        <v>1031</v>
      </c>
      <c r="F619" s="996"/>
      <c r="G619" s="580" t="s">
        <v>13</v>
      </c>
      <c r="H619" s="541">
        <f t="shared" si="91"/>
        <v>900000</v>
      </c>
      <c r="I619" s="542">
        <f t="shared" si="92"/>
        <v>0</v>
      </c>
      <c r="J619" s="542">
        <v>0</v>
      </c>
      <c r="K619" s="542">
        <v>0</v>
      </c>
      <c r="L619" s="542">
        <f t="shared" si="93"/>
        <v>900000</v>
      </c>
      <c r="M619" s="542">
        <v>0</v>
      </c>
      <c r="N619" s="542">
        <v>900000</v>
      </c>
    </row>
    <row r="620" spans="1:14" s="454" customFormat="1" ht="18" customHeight="1" hidden="1">
      <c r="A620" s="1005"/>
      <c r="B620" s="1006"/>
      <c r="C620" s="1007"/>
      <c r="D620" s="1008"/>
      <c r="E620" s="997"/>
      <c r="F620" s="998"/>
      <c r="G620" s="580" t="s">
        <v>14</v>
      </c>
      <c r="H620" s="541">
        <f t="shared" si="91"/>
        <v>0</v>
      </c>
      <c r="I620" s="542">
        <f t="shared" si="92"/>
        <v>0</v>
      </c>
      <c r="J620" s="542">
        <v>0</v>
      </c>
      <c r="K620" s="542">
        <v>0</v>
      </c>
      <c r="L620" s="542">
        <f t="shared" si="93"/>
        <v>0</v>
      </c>
      <c r="M620" s="542">
        <v>0</v>
      </c>
      <c r="N620" s="542">
        <v>0</v>
      </c>
    </row>
    <row r="621" spans="1:14" s="454" customFormat="1" ht="18" customHeight="1" hidden="1">
      <c r="A621" s="1005"/>
      <c r="B621" s="1006"/>
      <c r="C621" s="1007"/>
      <c r="D621" s="1008"/>
      <c r="E621" s="999"/>
      <c r="F621" s="1000"/>
      <c r="G621" s="544" t="s">
        <v>15</v>
      </c>
      <c r="H621" s="541">
        <f t="shared" si="91"/>
        <v>900000</v>
      </c>
      <c r="I621" s="542">
        <f t="shared" si="92"/>
        <v>0</v>
      </c>
      <c r="J621" s="542">
        <f>J619+J620</f>
        <v>0</v>
      </c>
      <c r="K621" s="542">
        <f>K619+K620</f>
        <v>0</v>
      </c>
      <c r="L621" s="542">
        <f t="shared" si="93"/>
        <v>900000</v>
      </c>
      <c r="M621" s="542">
        <f>M619+M620</f>
        <v>0</v>
      </c>
      <c r="N621" s="542">
        <f>N619+N620</f>
        <v>900000</v>
      </c>
    </row>
    <row r="622" spans="1:14" s="545" customFormat="1" ht="18" customHeight="1">
      <c r="A622" s="991" t="s">
        <v>294</v>
      </c>
      <c r="B622" s="992"/>
      <c r="C622" s="993" t="s">
        <v>296</v>
      </c>
      <c r="D622" s="994"/>
      <c r="E622" s="995" t="s">
        <v>1032</v>
      </c>
      <c r="F622" s="996"/>
      <c r="G622" s="580" t="s">
        <v>13</v>
      </c>
      <c r="H622" s="541">
        <f t="shared" si="91"/>
        <v>2000000</v>
      </c>
      <c r="I622" s="542">
        <f t="shared" si="92"/>
        <v>1950000</v>
      </c>
      <c r="J622" s="542">
        <v>1950000</v>
      </c>
      <c r="K622" s="542">
        <v>0</v>
      </c>
      <c r="L622" s="542">
        <f t="shared" si="93"/>
        <v>50000</v>
      </c>
      <c r="M622" s="542">
        <v>50000</v>
      </c>
      <c r="N622" s="542">
        <v>0</v>
      </c>
    </row>
    <row r="623" spans="1:14" s="545" customFormat="1" ht="18" customHeight="1">
      <c r="A623" s="1001"/>
      <c r="B623" s="1002"/>
      <c r="C623" s="1003"/>
      <c r="D623" s="1004"/>
      <c r="E623" s="997"/>
      <c r="F623" s="998"/>
      <c r="G623" s="580" t="s">
        <v>14</v>
      </c>
      <c r="H623" s="541">
        <f t="shared" si="91"/>
        <v>0</v>
      </c>
      <c r="I623" s="542">
        <f t="shared" si="92"/>
        <v>50000</v>
      </c>
      <c r="J623" s="542">
        <v>50000</v>
      </c>
      <c r="K623" s="542">
        <v>0</v>
      </c>
      <c r="L623" s="542">
        <f t="shared" si="93"/>
        <v>-50000</v>
      </c>
      <c r="M623" s="542">
        <v>-50000</v>
      </c>
      <c r="N623" s="542">
        <v>0</v>
      </c>
    </row>
    <row r="624" spans="1:14" s="454" customFormat="1" ht="18" customHeight="1">
      <c r="A624" s="1005"/>
      <c r="B624" s="1006"/>
      <c r="C624" s="1007"/>
      <c r="D624" s="1008"/>
      <c r="E624" s="999"/>
      <c r="F624" s="1000"/>
      <c r="G624" s="544" t="s">
        <v>15</v>
      </c>
      <c r="H624" s="541">
        <f t="shared" si="91"/>
        <v>2000000</v>
      </c>
      <c r="I624" s="542">
        <f t="shared" si="92"/>
        <v>2000000</v>
      </c>
      <c r="J624" s="542">
        <f>J622+J623</f>
        <v>2000000</v>
      </c>
      <c r="K624" s="542">
        <f>K622+K623</f>
        <v>0</v>
      </c>
      <c r="L624" s="542">
        <f t="shared" si="93"/>
        <v>0</v>
      </c>
      <c r="M624" s="542">
        <f>M622+M623</f>
        <v>0</v>
      </c>
      <c r="N624" s="542">
        <f>N622+N623</f>
        <v>0</v>
      </c>
    </row>
    <row r="625" spans="1:14" s="535" customFormat="1" ht="3.75" customHeight="1">
      <c r="A625" s="579"/>
      <c r="B625" s="587"/>
      <c r="C625" s="587"/>
      <c r="D625" s="587"/>
      <c r="E625" s="587"/>
      <c r="F625" s="587"/>
      <c r="G625" s="588"/>
      <c r="H625" s="589"/>
      <c r="I625" s="590"/>
      <c r="J625" s="590"/>
      <c r="K625" s="590"/>
      <c r="L625" s="590"/>
      <c r="M625" s="590"/>
      <c r="N625" s="591"/>
    </row>
    <row r="626" spans="1:14" s="593" customFormat="1" ht="16.5" customHeight="1">
      <c r="A626" s="982" t="s">
        <v>12</v>
      </c>
      <c r="B626" s="983"/>
      <c r="C626" s="983"/>
      <c r="D626" s="983"/>
      <c r="E626" s="983"/>
      <c r="F626" s="984"/>
      <c r="G626" s="592" t="s">
        <v>13</v>
      </c>
      <c r="H626" s="485">
        <f aca="true" t="shared" si="94" ref="H626:N628">H11</f>
        <v>445048222</v>
      </c>
      <c r="I626" s="484">
        <f t="shared" si="94"/>
        <v>256569317</v>
      </c>
      <c r="J626" s="484">
        <f t="shared" si="94"/>
        <v>139484103</v>
      </c>
      <c r="K626" s="484">
        <f t="shared" si="94"/>
        <v>117085214</v>
      </c>
      <c r="L626" s="484">
        <f t="shared" si="94"/>
        <v>188478905</v>
      </c>
      <c r="M626" s="484">
        <f t="shared" si="94"/>
        <v>3205572</v>
      </c>
      <c r="N626" s="484">
        <f t="shared" si="94"/>
        <v>185273333</v>
      </c>
    </row>
    <row r="627" spans="1:14" s="593" customFormat="1" ht="16.5" customHeight="1">
      <c r="A627" s="985"/>
      <c r="B627" s="986"/>
      <c r="C627" s="986"/>
      <c r="D627" s="986"/>
      <c r="E627" s="986"/>
      <c r="F627" s="987"/>
      <c r="G627" s="594" t="s">
        <v>14</v>
      </c>
      <c r="H627" s="485">
        <f t="shared" si="94"/>
        <v>20261516</v>
      </c>
      <c r="I627" s="484">
        <f t="shared" si="94"/>
        <v>3770320</v>
      </c>
      <c r="J627" s="484">
        <f t="shared" si="94"/>
        <v>-10093768</v>
      </c>
      <c r="K627" s="484">
        <f t="shared" si="94"/>
        <v>13864088</v>
      </c>
      <c r="L627" s="484">
        <f t="shared" si="94"/>
        <v>16491196</v>
      </c>
      <c r="M627" s="484">
        <f t="shared" si="94"/>
        <v>-2189</v>
      </c>
      <c r="N627" s="484">
        <f t="shared" si="94"/>
        <v>16493385</v>
      </c>
    </row>
    <row r="628" spans="1:14" s="593" customFormat="1" ht="16.5" customHeight="1">
      <c r="A628" s="988"/>
      <c r="B628" s="989"/>
      <c r="C628" s="989"/>
      <c r="D628" s="989"/>
      <c r="E628" s="989"/>
      <c r="F628" s="990"/>
      <c r="G628" s="594" t="s">
        <v>15</v>
      </c>
      <c r="H628" s="485">
        <f t="shared" si="94"/>
        <v>465309738</v>
      </c>
      <c r="I628" s="484">
        <f t="shared" si="94"/>
        <v>260339637</v>
      </c>
      <c r="J628" s="484">
        <f t="shared" si="94"/>
        <v>129390335</v>
      </c>
      <c r="K628" s="484">
        <f t="shared" si="94"/>
        <v>130949302</v>
      </c>
      <c r="L628" s="484">
        <f t="shared" si="94"/>
        <v>204970101</v>
      </c>
      <c r="M628" s="484">
        <f t="shared" si="94"/>
        <v>3203383</v>
      </c>
      <c r="N628" s="484">
        <f t="shared" si="94"/>
        <v>201766718</v>
      </c>
    </row>
    <row r="629" spans="1:14" s="454" customFormat="1" ht="2.25" customHeight="1">
      <c r="A629" s="595"/>
      <c r="B629" s="595"/>
      <c r="C629" s="595"/>
      <c r="D629" s="595"/>
      <c r="E629" s="596"/>
      <c r="F629" s="597"/>
      <c r="G629" s="598"/>
      <c r="H629" s="599"/>
      <c r="I629" s="600"/>
      <c r="J629" s="600"/>
      <c r="K629" s="600"/>
      <c r="L629" s="600"/>
      <c r="M629" s="600"/>
      <c r="N629" s="600"/>
    </row>
    <row r="630" spans="1:14" s="604" customFormat="1" ht="12" customHeight="1">
      <c r="A630" s="601" t="s">
        <v>1033</v>
      </c>
      <c r="B630" s="602"/>
      <c r="C630" s="603"/>
      <c r="D630" s="602"/>
      <c r="E630" s="603"/>
      <c r="G630" s="605"/>
      <c r="H630" s="606"/>
      <c r="I630" s="607"/>
      <c r="J630" s="607"/>
      <c r="K630" s="607"/>
      <c r="L630" s="607"/>
      <c r="M630" s="607"/>
      <c r="N630" s="607"/>
    </row>
    <row r="631" spans="1:14" s="604" customFormat="1" ht="13.5" customHeight="1">
      <c r="A631" s="608" t="s">
        <v>1034</v>
      </c>
      <c r="B631" s="609"/>
      <c r="C631" s="610"/>
      <c r="D631" s="609"/>
      <c r="E631" s="610"/>
      <c r="G631" s="605"/>
      <c r="H631" s="606"/>
      <c r="I631" s="607"/>
      <c r="J631" s="607"/>
      <c r="K631" s="607"/>
      <c r="L631" s="607"/>
      <c r="M631" s="607"/>
      <c r="N631" s="607"/>
    </row>
    <row r="632" spans="1:14" s="604" customFormat="1" ht="10.5" customHeight="1">
      <c r="A632" s="611" t="s">
        <v>1035</v>
      </c>
      <c r="B632" s="611" t="s">
        <v>1036</v>
      </c>
      <c r="C632" s="612" t="s">
        <v>1037</v>
      </c>
      <c r="D632" s="611"/>
      <c r="E632" s="613"/>
      <c r="G632" s="605"/>
      <c r="H632" s="606"/>
      <c r="I632" s="607"/>
      <c r="J632" s="607"/>
      <c r="K632" s="607"/>
      <c r="L632" s="607"/>
      <c r="M632" s="607"/>
      <c r="N632" s="607"/>
    </row>
    <row r="633" spans="1:14" s="604" customFormat="1" ht="10.5" customHeight="1">
      <c r="A633" s="611" t="s">
        <v>14</v>
      </c>
      <c r="B633" s="611" t="s">
        <v>1036</v>
      </c>
      <c r="C633" s="612" t="s">
        <v>1038</v>
      </c>
      <c r="D633" s="611"/>
      <c r="E633" s="613"/>
      <c r="G633" s="605"/>
      <c r="H633" s="606"/>
      <c r="I633" s="607"/>
      <c r="J633" s="607"/>
      <c r="K633" s="607"/>
      <c r="L633" s="607"/>
      <c r="M633" s="607"/>
      <c r="N633" s="607"/>
    </row>
    <row r="634" spans="1:14" s="604" customFormat="1" ht="10.5" customHeight="1">
      <c r="A634" s="611" t="s">
        <v>15</v>
      </c>
      <c r="B634" s="611" t="s">
        <v>1036</v>
      </c>
      <c r="C634" s="612" t="s">
        <v>1039</v>
      </c>
      <c r="D634" s="611"/>
      <c r="E634" s="613"/>
      <c r="G634" s="605"/>
      <c r="H634" s="606"/>
      <c r="I634" s="607"/>
      <c r="J634" s="607"/>
      <c r="K634" s="607"/>
      <c r="L634" s="607"/>
      <c r="M634" s="607"/>
      <c r="N634" s="607"/>
    </row>
  </sheetData>
  <sheetProtection password="C25B" sheet="1"/>
  <mergeCells count="1264">
    <mergeCell ref="L1:N1"/>
    <mergeCell ref="A4:N4"/>
    <mergeCell ref="A6:B8"/>
    <mergeCell ref="C6:D8"/>
    <mergeCell ref="E6:F7"/>
    <mergeCell ref="G6:G8"/>
    <mergeCell ref="H6:H8"/>
    <mergeCell ref="I6:K6"/>
    <mergeCell ref="L6:N6"/>
    <mergeCell ref="I7:I8"/>
    <mergeCell ref="L7:L8"/>
    <mergeCell ref="A9:B9"/>
    <mergeCell ref="C9:D9"/>
    <mergeCell ref="A11:F13"/>
    <mergeCell ref="A15:F17"/>
    <mergeCell ref="A19:B19"/>
    <mergeCell ref="C19:D19"/>
    <mergeCell ref="E19:F21"/>
    <mergeCell ref="A20:B20"/>
    <mergeCell ref="C20:D20"/>
    <mergeCell ref="A21:B21"/>
    <mergeCell ref="C21:D21"/>
    <mergeCell ref="A22:B22"/>
    <mergeCell ref="C22:D22"/>
    <mergeCell ref="E22:F24"/>
    <mergeCell ref="A23:B23"/>
    <mergeCell ref="C23:D23"/>
    <mergeCell ref="A24:B24"/>
    <mergeCell ref="C24:D24"/>
    <mergeCell ref="A25:B25"/>
    <mergeCell ref="C25:D25"/>
    <mergeCell ref="E25:F27"/>
    <mergeCell ref="A26:B26"/>
    <mergeCell ref="C26:D26"/>
    <mergeCell ref="A27:B27"/>
    <mergeCell ref="C27:D27"/>
    <mergeCell ref="A28:B28"/>
    <mergeCell ref="C28:D28"/>
    <mergeCell ref="E28:F30"/>
    <mergeCell ref="A29:B29"/>
    <mergeCell ref="C29:D29"/>
    <mergeCell ref="A30:B30"/>
    <mergeCell ref="C30:D30"/>
    <mergeCell ref="A31:B31"/>
    <mergeCell ref="C31:D31"/>
    <mergeCell ref="E31:F33"/>
    <mergeCell ref="A32:B32"/>
    <mergeCell ref="C32:D32"/>
    <mergeCell ref="A33:B33"/>
    <mergeCell ref="C33:D33"/>
    <mergeCell ref="A35:F37"/>
    <mergeCell ref="A39:F41"/>
    <mergeCell ref="A43:F45"/>
    <mergeCell ref="A46:B46"/>
    <mergeCell ref="C46:D46"/>
    <mergeCell ref="E46:F48"/>
    <mergeCell ref="A47:B47"/>
    <mergeCell ref="C47:D47"/>
    <mergeCell ref="A48:B48"/>
    <mergeCell ref="C48:D48"/>
    <mergeCell ref="A49:B49"/>
    <mergeCell ref="C49:D49"/>
    <mergeCell ref="E49:F51"/>
    <mergeCell ref="A50:B50"/>
    <mergeCell ref="C50:D50"/>
    <mergeCell ref="A51:B51"/>
    <mergeCell ref="C51:D51"/>
    <mergeCell ref="A52:B52"/>
    <mergeCell ref="C52:D52"/>
    <mergeCell ref="E52:F54"/>
    <mergeCell ref="A53:B53"/>
    <mergeCell ref="C53:D53"/>
    <mergeCell ref="A54:B54"/>
    <mergeCell ref="C54:D54"/>
    <mergeCell ref="A55:F57"/>
    <mergeCell ref="A58:B58"/>
    <mergeCell ref="C58:D58"/>
    <mergeCell ref="E58:F60"/>
    <mergeCell ref="A59:B59"/>
    <mergeCell ref="C59:D59"/>
    <mergeCell ref="A60:B60"/>
    <mergeCell ref="C60:D60"/>
    <mergeCell ref="A61:F63"/>
    <mergeCell ref="A64:B64"/>
    <mergeCell ref="C64:D64"/>
    <mergeCell ref="E64:F66"/>
    <mergeCell ref="A65:B65"/>
    <mergeCell ref="C65:D65"/>
    <mergeCell ref="A66:B66"/>
    <mergeCell ref="C66:D66"/>
    <mergeCell ref="A67:F69"/>
    <mergeCell ref="A70:B70"/>
    <mergeCell ref="C70:D70"/>
    <mergeCell ref="E70:F72"/>
    <mergeCell ref="A71:B71"/>
    <mergeCell ref="C71:D71"/>
    <mergeCell ref="A72:B72"/>
    <mergeCell ref="C72:D72"/>
    <mergeCell ref="A73:F75"/>
    <mergeCell ref="A76:B76"/>
    <mergeCell ref="C76:D76"/>
    <mergeCell ref="E76:F78"/>
    <mergeCell ref="A77:B77"/>
    <mergeCell ref="C77:D77"/>
    <mergeCell ref="A78:B78"/>
    <mergeCell ref="C78:D78"/>
    <mergeCell ref="A79:F81"/>
    <mergeCell ref="A82:B82"/>
    <mergeCell ref="C82:D82"/>
    <mergeCell ref="E82:F84"/>
    <mergeCell ref="A83:B83"/>
    <mergeCell ref="C83:D83"/>
    <mergeCell ref="A84:B84"/>
    <mergeCell ref="C84:D84"/>
    <mergeCell ref="A85:F87"/>
    <mergeCell ref="A88:B88"/>
    <mergeCell ref="C88:D88"/>
    <mergeCell ref="E88:F90"/>
    <mergeCell ref="A89:B89"/>
    <mergeCell ref="C89:D89"/>
    <mergeCell ref="A90:B90"/>
    <mergeCell ref="C90:D90"/>
    <mergeCell ref="A91:B91"/>
    <mergeCell ref="C91:D91"/>
    <mergeCell ref="E91:F93"/>
    <mergeCell ref="A92:B92"/>
    <mergeCell ref="C92:D92"/>
    <mergeCell ref="A93:B93"/>
    <mergeCell ref="C93:D93"/>
    <mergeCell ref="A94:B94"/>
    <mergeCell ref="C94:D94"/>
    <mergeCell ref="E94:F96"/>
    <mergeCell ref="A95:B95"/>
    <mergeCell ref="C95:D95"/>
    <mergeCell ref="A96:B96"/>
    <mergeCell ref="C96:D96"/>
    <mergeCell ref="A97:F99"/>
    <mergeCell ref="A100:B100"/>
    <mergeCell ref="C100:D100"/>
    <mergeCell ref="E100:F102"/>
    <mergeCell ref="A101:B101"/>
    <mergeCell ref="C101:D101"/>
    <mergeCell ref="A102:B102"/>
    <mergeCell ref="C102:D102"/>
    <mergeCell ref="A103:F105"/>
    <mergeCell ref="A106:B106"/>
    <mergeCell ref="C106:D106"/>
    <mergeCell ref="E106:F108"/>
    <mergeCell ref="A107:B107"/>
    <mergeCell ref="C107:D107"/>
    <mergeCell ref="A108:B108"/>
    <mergeCell ref="C108:D108"/>
    <mergeCell ref="A109:F111"/>
    <mergeCell ref="A112:B112"/>
    <mergeCell ref="C112:D112"/>
    <mergeCell ref="E112:F114"/>
    <mergeCell ref="A113:B113"/>
    <mergeCell ref="C113:D113"/>
    <mergeCell ref="A114:B114"/>
    <mergeCell ref="C114:D114"/>
    <mergeCell ref="A115:F117"/>
    <mergeCell ref="A118:B118"/>
    <mergeCell ref="C118:D118"/>
    <mergeCell ref="E118:F120"/>
    <mergeCell ref="A119:B119"/>
    <mergeCell ref="C119:D119"/>
    <mergeCell ref="A120:B120"/>
    <mergeCell ref="C120:D120"/>
    <mergeCell ref="A121:F123"/>
    <mergeCell ref="A124:B124"/>
    <mergeCell ref="C124:D124"/>
    <mergeCell ref="E124:F126"/>
    <mergeCell ref="A125:B125"/>
    <mergeCell ref="C125:D125"/>
    <mergeCell ref="A126:B126"/>
    <mergeCell ref="C126:D126"/>
    <mergeCell ref="A127:B127"/>
    <mergeCell ref="C127:D127"/>
    <mergeCell ref="E127:F129"/>
    <mergeCell ref="A128:B128"/>
    <mergeCell ref="C128:D128"/>
    <mergeCell ref="A129:B129"/>
    <mergeCell ref="C129:D129"/>
    <mergeCell ref="A130:B130"/>
    <mergeCell ref="C130:D130"/>
    <mergeCell ref="E130:F132"/>
    <mergeCell ref="A131:B131"/>
    <mergeCell ref="C131:D131"/>
    <mergeCell ref="A132:B132"/>
    <mergeCell ref="C132:D132"/>
    <mergeCell ref="A133:F135"/>
    <mergeCell ref="A136:B136"/>
    <mergeCell ref="C136:D136"/>
    <mergeCell ref="E136:F138"/>
    <mergeCell ref="A137:B137"/>
    <mergeCell ref="C137:D137"/>
    <mergeCell ref="A138:B138"/>
    <mergeCell ref="C138:D138"/>
    <mergeCell ref="A139:B139"/>
    <mergeCell ref="C139:D139"/>
    <mergeCell ref="E139:F141"/>
    <mergeCell ref="A140:B140"/>
    <mergeCell ref="C140:D140"/>
    <mergeCell ref="A141:B141"/>
    <mergeCell ref="C141:D141"/>
    <mergeCell ref="A142:B142"/>
    <mergeCell ref="C142:D142"/>
    <mergeCell ref="E142:F144"/>
    <mergeCell ref="A143:B143"/>
    <mergeCell ref="C143:D143"/>
    <mergeCell ref="A144:B144"/>
    <mergeCell ref="C144:D144"/>
    <mergeCell ref="A145:F147"/>
    <mergeCell ref="A148:B148"/>
    <mergeCell ref="C148:D148"/>
    <mergeCell ref="E148:F150"/>
    <mergeCell ref="A149:B149"/>
    <mergeCell ref="C149:D149"/>
    <mergeCell ref="A150:B150"/>
    <mergeCell ref="C150:D150"/>
    <mergeCell ref="A151:B151"/>
    <mergeCell ref="C151:D151"/>
    <mergeCell ref="E151:F153"/>
    <mergeCell ref="A152:B152"/>
    <mergeCell ref="C152:D152"/>
    <mergeCell ref="A153:B153"/>
    <mergeCell ref="C153:D153"/>
    <mergeCell ref="A154:F156"/>
    <mergeCell ref="A157:B157"/>
    <mergeCell ref="C157:D157"/>
    <mergeCell ref="E157:F159"/>
    <mergeCell ref="A158:B158"/>
    <mergeCell ref="C158:D158"/>
    <mergeCell ref="A159:B159"/>
    <mergeCell ref="C159:D159"/>
    <mergeCell ref="A160:B160"/>
    <mergeCell ref="C160:D160"/>
    <mergeCell ref="E160:F162"/>
    <mergeCell ref="A161:B161"/>
    <mergeCell ref="C161:D161"/>
    <mergeCell ref="A162:B162"/>
    <mergeCell ref="C162:D162"/>
    <mergeCell ref="A163:B163"/>
    <mergeCell ref="C163:D163"/>
    <mergeCell ref="E163:F165"/>
    <mergeCell ref="A164:B164"/>
    <mergeCell ref="C164:D164"/>
    <mergeCell ref="A165:B165"/>
    <mergeCell ref="C165:D165"/>
    <mergeCell ref="A166:F168"/>
    <mergeCell ref="A169:B169"/>
    <mergeCell ref="C169:D169"/>
    <mergeCell ref="E169:F171"/>
    <mergeCell ref="A170:B170"/>
    <mergeCell ref="C170:D170"/>
    <mergeCell ref="A171:B171"/>
    <mergeCell ref="C171:D171"/>
    <mergeCell ref="A173:F175"/>
    <mergeCell ref="A177:F179"/>
    <mergeCell ref="A181:B181"/>
    <mergeCell ref="C181:D181"/>
    <mergeCell ref="F181:F183"/>
    <mergeCell ref="A182:B182"/>
    <mergeCell ref="C182:D182"/>
    <mergeCell ref="A183:B183"/>
    <mergeCell ref="C183:D183"/>
    <mergeCell ref="A184:B184"/>
    <mergeCell ref="C184:D184"/>
    <mergeCell ref="F184:F186"/>
    <mergeCell ref="A185:B185"/>
    <mergeCell ref="C185:D185"/>
    <mergeCell ref="A186:B186"/>
    <mergeCell ref="C186:D186"/>
    <mergeCell ref="A187:B187"/>
    <mergeCell ref="C187:D187"/>
    <mergeCell ref="F187:F189"/>
    <mergeCell ref="A188:B188"/>
    <mergeCell ref="C188:D188"/>
    <mergeCell ref="A189:B189"/>
    <mergeCell ref="C189:D189"/>
    <mergeCell ref="A190:B190"/>
    <mergeCell ref="C190:D190"/>
    <mergeCell ref="F190:F192"/>
    <mergeCell ref="A191:B191"/>
    <mergeCell ref="C191:D191"/>
    <mergeCell ref="A192:B192"/>
    <mergeCell ref="C192:D192"/>
    <mergeCell ref="A193:B193"/>
    <mergeCell ref="C193:D193"/>
    <mergeCell ref="F193:F195"/>
    <mergeCell ref="A194:B194"/>
    <mergeCell ref="C194:D194"/>
    <mergeCell ref="A195:B195"/>
    <mergeCell ref="C195:D195"/>
    <mergeCell ref="A196:B196"/>
    <mergeCell ref="C196:D196"/>
    <mergeCell ref="F196:F198"/>
    <mergeCell ref="A197:B197"/>
    <mergeCell ref="C197:D197"/>
    <mergeCell ref="A198:B198"/>
    <mergeCell ref="C198:D198"/>
    <mergeCell ref="A199:B199"/>
    <mergeCell ref="C199:D199"/>
    <mergeCell ref="F199:F201"/>
    <mergeCell ref="A200:B200"/>
    <mergeCell ref="C200:D200"/>
    <mergeCell ref="A201:B201"/>
    <mergeCell ref="C201:D201"/>
    <mergeCell ref="A202:B202"/>
    <mergeCell ref="C202:D202"/>
    <mergeCell ref="F202:F204"/>
    <mergeCell ref="A203:B203"/>
    <mergeCell ref="C203:D203"/>
    <mergeCell ref="A204:B204"/>
    <mergeCell ref="C204:D204"/>
    <mergeCell ref="A205:B205"/>
    <mergeCell ref="C205:D205"/>
    <mergeCell ref="F205:F207"/>
    <mergeCell ref="A206:B206"/>
    <mergeCell ref="C206:D206"/>
    <mergeCell ref="A207:B207"/>
    <mergeCell ref="C207:D207"/>
    <mergeCell ref="A208:B208"/>
    <mergeCell ref="C208:D208"/>
    <mergeCell ref="F208:F210"/>
    <mergeCell ref="A209:B209"/>
    <mergeCell ref="C209:D209"/>
    <mergeCell ref="A210:B210"/>
    <mergeCell ref="C210:D210"/>
    <mergeCell ref="A211:B211"/>
    <mergeCell ref="C211:D211"/>
    <mergeCell ref="F211:F213"/>
    <mergeCell ref="A212:B212"/>
    <mergeCell ref="C212:D212"/>
    <mergeCell ref="A213:B213"/>
    <mergeCell ref="C213:D213"/>
    <mergeCell ref="A214:B214"/>
    <mergeCell ref="C214:D214"/>
    <mergeCell ref="F214:F216"/>
    <mergeCell ref="A215:B215"/>
    <mergeCell ref="C215:D215"/>
    <mergeCell ref="A216:B216"/>
    <mergeCell ref="C216:D216"/>
    <mergeCell ref="A217:B217"/>
    <mergeCell ref="C217:D217"/>
    <mergeCell ref="F217:F219"/>
    <mergeCell ref="A218:B218"/>
    <mergeCell ref="C218:D218"/>
    <mergeCell ref="A219:B219"/>
    <mergeCell ref="C219:D219"/>
    <mergeCell ref="A220:B220"/>
    <mergeCell ref="C220:D220"/>
    <mergeCell ref="F220:F222"/>
    <mergeCell ref="A221:B221"/>
    <mergeCell ref="C221:D221"/>
    <mergeCell ref="A222:B222"/>
    <mergeCell ref="C222:D222"/>
    <mergeCell ref="A223:B223"/>
    <mergeCell ref="C223:D223"/>
    <mergeCell ref="F223:F225"/>
    <mergeCell ref="A224:B224"/>
    <mergeCell ref="C224:D224"/>
    <mergeCell ref="A225:B225"/>
    <mergeCell ref="C225:D225"/>
    <mergeCell ref="A226:B226"/>
    <mergeCell ref="C226:D226"/>
    <mergeCell ref="F226:F228"/>
    <mergeCell ref="A227:B227"/>
    <mergeCell ref="C227:D227"/>
    <mergeCell ref="A228:B228"/>
    <mergeCell ref="C228:D228"/>
    <mergeCell ref="A229:B229"/>
    <mergeCell ref="C229:D229"/>
    <mergeCell ref="F229:F231"/>
    <mergeCell ref="A230:B230"/>
    <mergeCell ref="C230:D230"/>
    <mergeCell ref="A231:B231"/>
    <mergeCell ref="C231:D231"/>
    <mergeCell ref="A232:B232"/>
    <mergeCell ref="C232:D232"/>
    <mergeCell ref="F232:F234"/>
    <mergeCell ref="A233:B233"/>
    <mergeCell ref="C233:D233"/>
    <mergeCell ref="A234:B234"/>
    <mergeCell ref="C234:D234"/>
    <mergeCell ref="A235:B235"/>
    <mergeCell ref="C235:D235"/>
    <mergeCell ref="F235:F237"/>
    <mergeCell ref="A236:B236"/>
    <mergeCell ref="C236:D236"/>
    <mergeCell ref="A237:B237"/>
    <mergeCell ref="C237:D237"/>
    <mergeCell ref="A238:B238"/>
    <mergeCell ref="C238:D238"/>
    <mergeCell ref="F238:F240"/>
    <mergeCell ref="A239:B239"/>
    <mergeCell ref="C239:D239"/>
    <mergeCell ref="A240:B240"/>
    <mergeCell ref="C240:D240"/>
    <mergeCell ref="A241:B241"/>
    <mergeCell ref="C241:D241"/>
    <mergeCell ref="F241:F243"/>
    <mergeCell ref="A242:B242"/>
    <mergeCell ref="C242:D242"/>
    <mergeCell ref="A243:B243"/>
    <mergeCell ref="C243:D243"/>
    <mergeCell ref="A244:B244"/>
    <mergeCell ref="C244:D244"/>
    <mergeCell ref="F244:F246"/>
    <mergeCell ref="A245:B245"/>
    <mergeCell ref="C245:D245"/>
    <mergeCell ref="A246:B246"/>
    <mergeCell ref="C246:D246"/>
    <mergeCell ref="A247:B247"/>
    <mergeCell ref="C247:D247"/>
    <mergeCell ref="F247:F249"/>
    <mergeCell ref="A248:B248"/>
    <mergeCell ref="C248:D248"/>
    <mergeCell ref="A249:B249"/>
    <mergeCell ref="C249:D249"/>
    <mergeCell ref="A250:B250"/>
    <mergeCell ref="C250:D250"/>
    <mergeCell ref="F250:F252"/>
    <mergeCell ref="A251:B251"/>
    <mergeCell ref="C251:D251"/>
    <mergeCell ref="A252:B252"/>
    <mergeCell ref="C252:D252"/>
    <mergeCell ref="A253:B253"/>
    <mergeCell ref="C253:D253"/>
    <mergeCell ref="F253:F255"/>
    <mergeCell ref="A254:B254"/>
    <mergeCell ref="C254:D254"/>
    <mergeCell ref="A255:B255"/>
    <mergeCell ref="C255:D255"/>
    <mergeCell ref="A256:B256"/>
    <mergeCell ref="C256:D256"/>
    <mergeCell ref="F256:F258"/>
    <mergeCell ref="A257:B257"/>
    <mergeCell ref="C257:D257"/>
    <mergeCell ref="A258:B258"/>
    <mergeCell ref="C258:D258"/>
    <mergeCell ref="A259:B259"/>
    <mergeCell ref="C259:D259"/>
    <mergeCell ref="F259:F261"/>
    <mergeCell ref="A260:B260"/>
    <mergeCell ref="C260:D260"/>
    <mergeCell ref="A261:B261"/>
    <mergeCell ref="C261:D261"/>
    <mergeCell ref="A262:B262"/>
    <mergeCell ref="C262:D262"/>
    <mergeCell ref="F262:F264"/>
    <mergeCell ref="A263:B263"/>
    <mergeCell ref="C263:D263"/>
    <mergeCell ref="A264:B264"/>
    <mergeCell ref="C264:D264"/>
    <mergeCell ref="A265:B265"/>
    <mergeCell ref="C265:D265"/>
    <mergeCell ref="F265:F267"/>
    <mergeCell ref="A266:B266"/>
    <mergeCell ref="C266:D266"/>
    <mergeCell ref="A267:B267"/>
    <mergeCell ref="C267:D267"/>
    <mergeCell ref="A268:B268"/>
    <mergeCell ref="C268:D268"/>
    <mergeCell ref="F268:F270"/>
    <mergeCell ref="A269:B269"/>
    <mergeCell ref="C269:D269"/>
    <mergeCell ref="A270:B270"/>
    <mergeCell ref="C270:D270"/>
    <mergeCell ref="A271:B271"/>
    <mergeCell ref="C271:D271"/>
    <mergeCell ref="F271:F273"/>
    <mergeCell ref="A272:B272"/>
    <mergeCell ref="C272:D272"/>
    <mergeCell ref="A273:B273"/>
    <mergeCell ref="C273:D273"/>
    <mergeCell ref="A274:B274"/>
    <mergeCell ref="C274:D274"/>
    <mergeCell ref="F274:F276"/>
    <mergeCell ref="A275:B275"/>
    <mergeCell ref="C275:D275"/>
    <mergeCell ref="A276:B276"/>
    <mergeCell ref="C276:D276"/>
    <mergeCell ref="A277:B277"/>
    <mergeCell ref="C277:D277"/>
    <mergeCell ref="F277:F279"/>
    <mergeCell ref="A278:B278"/>
    <mergeCell ref="C278:D278"/>
    <mergeCell ref="A279:B279"/>
    <mergeCell ref="C279:D279"/>
    <mergeCell ref="A280:B280"/>
    <mergeCell ref="C280:D280"/>
    <mergeCell ref="F280:F282"/>
    <mergeCell ref="A281:B281"/>
    <mergeCell ref="C281:D281"/>
    <mergeCell ref="A282:B282"/>
    <mergeCell ref="C282:D282"/>
    <mergeCell ref="A283:B283"/>
    <mergeCell ref="C283:D283"/>
    <mergeCell ref="F283:F285"/>
    <mergeCell ref="A284:B284"/>
    <mergeCell ref="C284:D284"/>
    <mergeCell ref="A285:B285"/>
    <mergeCell ref="C285:D285"/>
    <mergeCell ref="A286:B286"/>
    <mergeCell ref="C286:D286"/>
    <mergeCell ref="F286:F288"/>
    <mergeCell ref="A287:B287"/>
    <mergeCell ref="C287:D287"/>
    <mergeCell ref="A288:B288"/>
    <mergeCell ref="C288:D288"/>
    <mergeCell ref="A289:B289"/>
    <mergeCell ref="C289:D289"/>
    <mergeCell ref="F289:F291"/>
    <mergeCell ref="A290:B290"/>
    <mergeCell ref="C290:D290"/>
    <mergeCell ref="A291:B291"/>
    <mergeCell ref="C291:D291"/>
    <mergeCell ref="A292:B292"/>
    <mergeCell ref="C292:D292"/>
    <mergeCell ref="F292:F294"/>
    <mergeCell ref="A293:B293"/>
    <mergeCell ref="C293:D293"/>
    <mergeCell ref="A294:B294"/>
    <mergeCell ref="C294:D294"/>
    <mergeCell ref="A295:B295"/>
    <mergeCell ref="C295:D295"/>
    <mergeCell ref="F295:F297"/>
    <mergeCell ref="A296:B296"/>
    <mergeCell ref="C296:D296"/>
    <mergeCell ref="A297:B297"/>
    <mergeCell ref="C297:D297"/>
    <mergeCell ref="A298:B298"/>
    <mergeCell ref="C298:D298"/>
    <mergeCell ref="F298:F300"/>
    <mergeCell ref="A299:B299"/>
    <mergeCell ref="C299:D299"/>
    <mergeCell ref="A300:B300"/>
    <mergeCell ref="C300:D300"/>
    <mergeCell ref="A301:B301"/>
    <mergeCell ref="C301:D301"/>
    <mergeCell ref="F301:F303"/>
    <mergeCell ref="A302:B302"/>
    <mergeCell ref="C302:D302"/>
    <mergeCell ref="A303:B303"/>
    <mergeCell ref="C303:D303"/>
    <mergeCell ref="A304:B304"/>
    <mergeCell ref="C304:D304"/>
    <mergeCell ref="F304:F306"/>
    <mergeCell ref="A305:B305"/>
    <mergeCell ref="C305:D305"/>
    <mergeCell ref="A306:B306"/>
    <mergeCell ref="C306:D306"/>
    <mergeCell ref="A307:B307"/>
    <mergeCell ref="C307:D307"/>
    <mergeCell ref="F307:F309"/>
    <mergeCell ref="A308:B308"/>
    <mergeCell ref="C308:D308"/>
    <mergeCell ref="A309:B309"/>
    <mergeCell ref="C309:D309"/>
    <mergeCell ref="A310:B310"/>
    <mergeCell ref="C310:D310"/>
    <mergeCell ref="F310:F312"/>
    <mergeCell ref="A311:B311"/>
    <mergeCell ref="C311:D311"/>
    <mergeCell ref="A312:B312"/>
    <mergeCell ref="C312:D312"/>
    <mergeCell ref="A313:B313"/>
    <mergeCell ref="C313:D313"/>
    <mergeCell ref="F313:F315"/>
    <mergeCell ref="A314:B314"/>
    <mergeCell ref="C314:D314"/>
    <mergeCell ref="A315:B315"/>
    <mergeCell ref="C315:D315"/>
    <mergeCell ref="A317:F319"/>
    <mergeCell ref="A321:B321"/>
    <mergeCell ref="C321:D321"/>
    <mergeCell ref="F321:F323"/>
    <mergeCell ref="A322:B322"/>
    <mergeCell ref="C322:D322"/>
    <mergeCell ref="A323:B323"/>
    <mergeCell ref="C323:D323"/>
    <mergeCell ref="A324:B324"/>
    <mergeCell ref="C324:D324"/>
    <mergeCell ref="F324:F326"/>
    <mergeCell ref="A325:B325"/>
    <mergeCell ref="C325:D325"/>
    <mergeCell ref="A326:B326"/>
    <mergeCell ref="C326:D326"/>
    <mergeCell ref="A328:F330"/>
    <mergeCell ref="A332:B332"/>
    <mergeCell ref="C332:D332"/>
    <mergeCell ref="E332:F334"/>
    <mergeCell ref="A333:B333"/>
    <mergeCell ref="C333:D333"/>
    <mergeCell ref="A334:B334"/>
    <mergeCell ref="C334:D334"/>
    <mergeCell ref="A336:F338"/>
    <mergeCell ref="A340:B340"/>
    <mergeCell ref="C340:D340"/>
    <mergeCell ref="E340:F342"/>
    <mergeCell ref="A341:B341"/>
    <mergeCell ref="C341:D341"/>
    <mergeCell ref="A342:B342"/>
    <mergeCell ref="C342:D342"/>
    <mergeCell ref="A343:B343"/>
    <mergeCell ref="C343:D343"/>
    <mergeCell ref="E343:F345"/>
    <mergeCell ref="A344:B344"/>
    <mergeCell ref="C344:D344"/>
    <mergeCell ref="A345:B345"/>
    <mergeCell ref="C345:D345"/>
    <mergeCell ref="A346:B346"/>
    <mergeCell ref="C346:D346"/>
    <mergeCell ref="E346:F348"/>
    <mergeCell ref="A347:B347"/>
    <mergeCell ref="C347:D347"/>
    <mergeCell ref="A348:B348"/>
    <mergeCell ref="C348:D348"/>
    <mergeCell ref="A349:B349"/>
    <mergeCell ref="C349:D349"/>
    <mergeCell ref="E349:F351"/>
    <mergeCell ref="A350:B350"/>
    <mergeCell ref="C350:D350"/>
    <mergeCell ref="A351:B351"/>
    <mergeCell ref="C351:D351"/>
    <mergeCell ref="A352:B352"/>
    <mergeCell ref="C352:D352"/>
    <mergeCell ref="E352:F354"/>
    <mergeCell ref="A353:B353"/>
    <mergeCell ref="C353:D353"/>
    <mergeCell ref="A354:B354"/>
    <mergeCell ref="C354:D354"/>
    <mergeCell ref="A355:B355"/>
    <mergeCell ref="C355:D355"/>
    <mergeCell ref="E355:F357"/>
    <mergeCell ref="A356:B356"/>
    <mergeCell ref="C356:D356"/>
    <mergeCell ref="A357:B357"/>
    <mergeCell ref="C357:D357"/>
    <mergeCell ref="A358:B358"/>
    <mergeCell ref="C358:D358"/>
    <mergeCell ref="E358:F360"/>
    <mergeCell ref="A359:B359"/>
    <mergeCell ref="C359:D359"/>
    <mergeCell ref="A360:B360"/>
    <mergeCell ref="C360:D360"/>
    <mergeCell ref="A361:B361"/>
    <mergeCell ref="C361:D361"/>
    <mergeCell ref="E361:F363"/>
    <mergeCell ref="A362:B362"/>
    <mergeCell ref="C362:D362"/>
    <mergeCell ref="A363:B363"/>
    <mergeCell ref="C363:D363"/>
    <mergeCell ref="A364:B364"/>
    <mergeCell ref="C364:D364"/>
    <mergeCell ref="E364:F366"/>
    <mergeCell ref="A365:B365"/>
    <mergeCell ref="C365:D365"/>
    <mergeCell ref="A366:B366"/>
    <mergeCell ref="C366:D366"/>
    <mergeCell ref="A367:B367"/>
    <mergeCell ref="C367:D367"/>
    <mergeCell ref="E367:F369"/>
    <mergeCell ref="A368:B368"/>
    <mergeCell ref="C368:D368"/>
    <mergeCell ref="A369:B369"/>
    <mergeCell ref="C369:D369"/>
    <mergeCell ref="A370:B370"/>
    <mergeCell ref="C370:D370"/>
    <mergeCell ref="E370:F372"/>
    <mergeCell ref="A371:B371"/>
    <mergeCell ref="C371:D371"/>
    <mergeCell ref="A372:B372"/>
    <mergeCell ref="C372:D372"/>
    <mergeCell ref="A373:B373"/>
    <mergeCell ref="C373:D373"/>
    <mergeCell ref="E373:F375"/>
    <mergeCell ref="A374:B374"/>
    <mergeCell ref="C374:D374"/>
    <mergeCell ref="A375:B375"/>
    <mergeCell ref="C375:D375"/>
    <mergeCell ref="A376:B376"/>
    <mergeCell ref="C376:D376"/>
    <mergeCell ref="E376:F378"/>
    <mergeCell ref="A377:B377"/>
    <mergeCell ref="C377:D377"/>
    <mergeCell ref="A378:B378"/>
    <mergeCell ref="C378:D378"/>
    <mergeCell ref="A379:B379"/>
    <mergeCell ref="C379:D379"/>
    <mergeCell ref="E379:F381"/>
    <mergeCell ref="A380:B380"/>
    <mergeCell ref="C380:D380"/>
    <mergeCell ref="A381:B381"/>
    <mergeCell ref="C381:D381"/>
    <mergeCell ref="A382:B382"/>
    <mergeCell ref="C382:D382"/>
    <mergeCell ref="E382:F384"/>
    <mergeCell ref="A383:B383"/>
    <mergeCell ref="C383:D383"/>
    <mergeCell ref="A384:B384"/>
    <mergeCell ref="C384:D384"/>
    <mergeCell ref="A385:B385"/>
    <mergeCell ref="C385:D385"/>
    <mergeCell ref="E385:F387"/>
    <mergeCell ref="A386:B386"/>
    <mergeCell ref="C386:D386"/>
    <mergeCell ref="A387:B387"/>
    <mergeCell ref="C387:D387"/>
    <mergeCell ref="A388:B388"/>
    <mergeCell ref="C388:D388"/>
    <mergeCell ref="E388:F390"/>
    <mergeCell ref="A389:B389"/>
    <mergeCell ref="C389:D389"/>
    <mergeCell ref="A390:B390"/>
    <mergeCell ref="C390:D390"/>
    <mergeCell ref="A391:B391"/>
    <mergeCell ref="C391:D391"/>
    <mergeCell ref="E391:F393"/>
    <mergeCell ref="A392:B392"/>
    <mergeCell ref="C392:D392"/>
    <mergeCell ref="A393:B393"/>
    <mergeCell ref="C393:D393"/>
    <mergeCell ref="A394:B394"/>
    <mergeCell ref="C394:D394"/>
    <mergeCell ref="E394:F396"/>
    <mergeCell ref="A395:B395"/>
    <mergeCell ref="C395:D395"/>
    <mergeCell ref="A396:B396"/>
    <mergeCell ref="C396:D396"/>
    <mergeCell ref="A397:B397"/>
    <mergeCell ref="C397:D397"/>
    <mergeCell ref="E397:F399"/>
    <mergeCell ref="A398:B398"/>
    <mergeCell ref="C398:D398"/>
    <mergeCell ref="A399:B399"/>
    <mergeCell ref="C399:D399"/>
    <mergeCell ref="A400:B400"/>
    <mergeCell ref="C400:D400"/>
    <mergeCell ref="E400:F402"/>
    <mergeCell ref="A401:B401"/>
    <mergeCell ref="C401:D401"/>
    <mergeCell ref="A402:B402"/>
    <mergeCell ref="C402:D402"/>
    <mergeCell ref="A403:B403"/>
    <mergeCell ref="C403:D403"/>
    <mergeCell ref="E403:F405"/>
    <mergeCell ref="A404:B404"/>
    <mergeCell ref="C404:D404"/>
    <mergeCell ref="A405:B405"/>
    <mergeCell ref="C405:D405"/>
    <mergeCell ref="A406:B406"/>
    <mergeCell ref="C406:D406"/>
    <mergeCell ref="E406:F408"/>
    <mergeCell ref="A407:B407"/>
    <mergeCell ref="C407:D407"/>
    <mergeCell ref="A408:B408"/>
    <mergeCell ref="C408:D408"/>
    <mergeCell ref="A409:B409"/>
    <mergeCell ref="C409:D409"/>
    <mergeCell ref="E409:F411"/>
    <mergeCell ref="A410:B410"/>
    <mergeCell ref="C410:D410"/>
    <mergeCell ref="A411:B411"/>
    <mergeCell ref="C411:D411"/>
    <mergeCell ref="A412:B412"/>
    <mergeCell ref="C412:D412"/>
    <mergeCell ref="E412:F414"/>
    <mergeCell ref="A413:B413"/>
    <mergeCell ref="C413:D413"/>
    <mergeCell ref="A414:B414"/>
    <mergeCell ref="C414:D414"/>
    <mergeCell ref="A415:B415"/>
    <mergeCell ref="C415:D415"/>
    <mergeCell ref="E415:F417"/>
    <mergeCell ref="A416:B416"/>
    <mergeCell ref="C416:D416"/>
    <mergeCell ref="A417:B417"/>
    <mergeCell ref="C417:D417"/>
    <mergeCell ref="A418:B418"/>
    <mergeCell ref="C418:D418"/>
    <mergeCell ref="E418:F420"/>
    <mergeCell ref="A419:B419"/>
    <mergeCell ref="C419:D419"/>
    <mergeCell ref="A420:B420"/>
    <mergeCell ref="C420:D420"/>
    <mergeCell ref="A421:B421"/>
    <mergeCell ref="C421:D421"/>
    <mergeCell ref="E421:F423"/>
    <mergeCell ref="A422:B422"/>
    <mergeCell ref="C422:D422"/>
    <mergeCell ref="A423:B423"/>
    <mergeCell ref="C423:D423"/>
    <mergeCell ref="A424:B424"/>
    <mergeCell ref="C424:D424"/>
    <mergeCell ref="E424:F426"/>
    <mergeCell ref="A425:B425"/>
    <mergeCell ref="C425:D425"/>
    <mergeCell ref="A426:B426"/>
    <mergeCell ref="C426:D426"/>
    <mergeCell ref="A427:B427"/>
    <mergeCell ref="C427:D427"/>
    <mergeCell ref="E427:F429"/>
    <mergeCell ref="A428:B428"/>
    <mergeCell ref="C428:D428"/>
    <mergeCell ref="A429:B429"/>
    <mergeCell ref="C429:D429"/>
    <mergeCell ref="A430:B430"/>
    <mergeCell ref="C430:D430"/>
    <mergeCell ref="E430:F432"/>
    <mergeCell ref="A431:B431"/>
    <mergeCell ref="C431:D431"/>
    <mergeCell ref="A432:B432"/>
    <mergeCell ref="C432:D432"/>
    <mergeCell ref="A433:B433"/>
    <mergeCell ref="C433:D433"/>
    <mergeCell ref="E433:F435"/>
    <mergeCell ref="A434:B434"/>
    <mergeCell ref="C434:D434"/>
    <mergeCell ref="A435:B435"/>
    <mergeCell ref="C435:D435"/>
    <mergeCell ref="A436:B436"/>
    <mergeCell ref="C436:D436"/>
    <mergeCell ref="E436:F438"/>
    <mergeCell ref="A437:B437"/>
    <mergeCell ref="C437:D437"/>
    <mergeCell ref="A438:B438"/>
    <mergeCell ref="C438:D438"/>
    <mergeCell ref="A439:B439"/>
    <mergeCell ref="C439:D439"/>
    <mergeCell ref="E439:F441"/>
    <mergeCell ref="A440:B440"/>
    <mergeCell ref="C440:D440"/>
    <mergeCell ref="A441:B441"/>
    <mergeCell ref="C441:D441"/>
    <mergeCell ref="A442:B442"/>
    <mergeCell ref="C442:D442"/>
    <mergeCell ref="E442:F444"/>
    <mergeCell ref="A443:B443"/>
    <mergeCell ref="C443:D443"/>
    <mergeCell ref="A444:B444"/>
    <mergeCell ref="C444:D444"/>
    <mergeCell ref="A445:B445"/>
    <mergeCell ref="C445:D445"/>
    <mergeCell ref="E445:F447"/>
    <mergeCell ref="A446:B446"/>
    <mergeCell ref="C446:D446"/>
    <mergeCell ref="A447:B447"/>
    <mergeCell ref="C447:D447"/>
    <mergeCell ref="A448:B448"/>
    <mergeCell ref="C448:D448"/>
    <mergeCell ref="E448:F450"/>
    <mergeCell ref="A449:B449"/>
    <mergeCell ref="C449:D449"/>
    <mergeCell ref="A450:B450"/>
    <mergeCell ref="C450:D450"/>
    <mergeCell ref="A451:B451"/>
    <mergeCell ref="C451:D451"/>
    <mergeCell ref="E451:F453"/>
    <mergeCell ref="A452:B452"/>
    <mergeCell ref="C452:D452"/>
    <mergeCell ref="A453:B453"/>
    <mergeCell ref="C453:D453"/>
    <mergeCell ref="A454:B454"/>
    <mergeCell ref="C454:D454"/>
    <mergeCell ref="E454:F456"/>
    <mergeCell ref="A455:B455"/>
    <mergeCell ref="C455:D455"/>
    <mergeCell ref="A456:B456"/>
    <mergeCell ref="C456:D456"/>
    <mergeCell ref="A457:B457"/>
    <mergeCell ref="C457:D457"/>
    <mergeCell ref="E457:F459"/>
    <mergeCell ref="A458:B458"/>
    <mergeCell ref="C458:D458"/>
    <mergeCell ref="A459:B459"/>
    <mergeCell ref="C459:D459"/>
    <mergeCell ref="A460:B460"/>
    <mergeCell ref="C460:D460"/>
    <mergeCell ref="E460:F462"/>
    <mergeCell ref="A461:B461"/>
    <mergeCell ref="C461:D461"/>
    <mergeCell ref="A462:B462"/>
    <mergeCell ref="C462:D462"/>
    <mergeCell ref="A463:B463"/>
    <mergeCell ref="C463:D463"/>
    <mergeCell ref="E463:F465"/>
    <mergeCell ref="A464:B464"/>
    <mergeCell ref="C464:D464"/>
    <mergeCell ref="A465:B465"/>
    <mergeCell ref="C465:D465"/>
    <mergeCell ref="A466:B466"/>
    <mergeCell ref="C466:D466"/>
    <mergeCell ref="E466:F468"/>
    <mergeCell ref="A467:B467"/>
    <mergeCell ref="C467:D467"/>
    <mergeCell ref="A468:B468"/>
    <mergeCell ref="C468:D468"/>
    <mergeCell ref="A469:B469"/>
    <mergeCell ref="C469:D469"/>
    <mergeCell ref="E469:F471"/>
    <mergeCell ref="A470:B470"/>
    <mergeCell ref="C470:D470"/>
    <mergeCell ref="A471:B471"/>
    <mergeCell ref="C471:D471"/>
    <mergeCell ref="A472:B472"/>
    <mergeCell ref="C472:D472"/>
    <mergeCell ref="E472:F474"/>
    <mergeCell ref="A473:B473"/>
    <mergeCell ref="C473:D473"/>
    <mergeCell ref="A474:B474"/>
    <mergeCell ref="C474:D474"/>
    <mergeCell ref="A475:B475"/>
    <mergeCell ref="C475:D475"/>
    <mergeCell ref="E475:F477"/>
    <mergeCell ref="A476:B476"/>
    <mergeCell ref="C476:D476"/>
    <mergeCell ref="A477:B477"/>
    <mergeCell ref="C477:D477"/>
    <mergeCell ref="A478:B478"/>
    <mergeCell ref="C478:D478"/>
    <mergeCell ref="E478:F480"/>
    <mergeCell ref="A479:B479"/>
    <mergeCell ref="C479:D479"/>
    <mergeCell ref="A480:B480"/>
    <mergeCell ref="C480:D480"/>
    <mergeCell ref="A481:B481"/>
    <mergeCell ref="C481:D481"/>
    <mergeCell ref="E481:F483"/>
    <mergeCell ref="A482:B482"/>
    <mergeCell ref="C482:D482"/>
    <mergeCell ref="A483:B483"/>
    <mergeCell ref="C483:D483"/>
    <mergeCell ref="A484:B484"/>
    <mergeCell ref="C484:D484"/>
    <mergeCell ref="E484:F486"/>
    <mergeCell ref="A485:B485"/>
    <mergeCell ref="C485:D485"/>
    <mergeCell ref="A486:B486"/>
    <mergeCell ref="C486:D486"/>
    <mergeCell ref="A487:B487"/>
    <mergeCell ref="C487:D487"/>
    <mergeCell ref="E487:F489"/>
    <mergeCell ref="A488:B488"/>
    <mergeCell ref="C488:D488"/>
    <mergeCell ref="A489:B489"/>
    <mergeCell ref="C489:D489"/>
    <mergeCell ref="A490:B490"/>
    <mergeCell ref="C490:D490"/>
    <mergeCell ref="E490:F492"/>
    <mergeCell ref="A491:B491"/>
    <mergeCell ref="C491:D491"/>
    <mergeCell ref="A492:B492"/>
    <mergeCell ref="C492:D492"/>
    <mergeCell ref="A493:B493"/>
    <mergeCell ref="C493:D493"/>
    <mergeCell ref="E493:F495"/>
    <mergeCell ref="A494:B494"/>
    <mergeCell ref="C494:D494"/>
    <mergeCell ref="A495:B495"/>
    <mergeCell ref="C495:D495"/>
    <mergeCell ref="A496:B496"/>
    <mergeCell ref="C496:D496"/>
    <mergeCell ref="E496:F498"/>
    <mergeCell ref="A497:B497"/>
    <mergeCell ref="C497:D497"/>
    <mergeCell ref="A498:B498"/>
    <mergeCell ref="C498:D498"/>
    <mergeCell ref="A499:B499"/>
    <mergeCell ref="C499:D499"/>
    <mergeCell ref="E499:F501"/>
    <mergeCell ref="A500:B500"/>
    <mergeCell ref="C500:D500"/>
    <mergeCell ref="A501:B501"/>
    <mergeCell ref="C501:D501"/>
    <mergeCell ref="A502:B502"/>
    <mergeCell ref="C502:D502"/>
    <mergeCell ref="E502:F504"/>
    <mergeCell ref="A503:B503"/>
    <mergeCell ref="C503:D503"/>
    <mergeCell ref="A504:B504"/>
    <mergeCell ref="C504:D504"/>
    <mergeCell ref="A505:B505"/>
    <mergeCell ref="C505:D505"/>
    <mergeCell ref="E505:F507"/>
    <mergeCell ref="A506:B506"/>
    <mergeCell ref="C506:D506"/>
    <mergeCell ref="A507:B507"/>
    <mergeCell ref="C507:D507"/>
    <mergeCell ref="A508:B508"/>
    <mergeCell ref="C508:D508"/>
    <mergeCell ref="E508:F510"/>
    <mergeCell ref="A509:B509"/>
    <mergeCell ref="C509:D509"/>
    <mergeCell ref="A510:B510"/>
    <mergeCell ref="C510:D510"/>
    <mergeCell ref="A511:B511"/>
    <mergeCell ref="C511:D511"/>
    <mergeCell ref="E511:F513"/>
    <mergeCell ref="A512:B512"/>
    <mergeCell ref="C512:D512"/>
    <mergeCell ref="A513:B513"/>
    <mergeCell ref="C513:D513"/>
    <mergeCell ref="A514:B514"/>
    <mergeCell ref="C514:D514"/>
    <mergeCell ref="E514:F516"/>
    <mergeCell ref="A515:B515"/>
    <mergeCell ref="C515:D515"/>
    <mergeCell ref="A516:B516"/>
    <mergeCell ref="C516:D516"/>
    <mergeCell ref="A517:B517"/>
    <mergeCell ref="C517:D517"/>
    <mergeCell ref="E517:F519"/>
    <mergeCell ref="A518:B518"/>
    <mergeCell ref="C518:D518"/>
    <mergeCell ref="A519:B519"/>
    <mergeCell ref="C519:D519"/>
    <mergeCell ref="A520:B520"/>
    <mergeCell ref="C520:D520"/>
    <mergeCell ref="E520:F522"/>
    <mergeCell ref="A521:B521"/>
    <mergeCell ref="C521:D521"/>
    <mergeCell ref="A522:B522"/>
    <mergeCell ref="C522:D522"/>
    <mergeCell ref="A523:B523"/>
    <mergeCell ref="C523:D523"/>
    <mergeCell ref="E523:F525"/>
    <mergeCell ref="A524:B524"/>
    <mergeCell ref="C524:D524"/>
    <mergeCell ref="A525:B525"/>
    <mergeCell ref="C525:D525"/>
    <mergeCell ref="A526:B526"/>
    <mergeCell ref="C526:D526"/>
    <mergeCell ref="E526:F528"/>
    <mergeCell ref="A527:B527"/>
    <mergeCell ref="C527:D527"/>
    <mergeCell ref="A528:B528"/>
    <mergeCell ref="C528:D528"/>
    <mergeCell ref="A529:B529"/>
    <mergeCell ref="C529:D529"/>
    <mergeCell ref="E529:F531"/>
    <mergeCell ref="A530:B530"/>
    <mergeCell ref="C530:D530"/>
    <mergeCell ref="A531:B531"/>
    <mergeCell ref="C531:D531"/>
    <mergeCell ref="A532:B532"/>
    <mergeCell ref="C532:D532"/>
    <mergeCell ref="E532:F534"/>
    <mergeCell ref="A533:B533"/>
    <mergeCell ref="C533:D533"/>
    <mergeCell ref="A534:B534"/>
    <mergeCell ref="C534:D534"/>
    <mergeCell ref="A535:B535"/>
    <mergeCell ref="C535:D535"/>
    <mergeCell ref="E535:F537"/>
    <mergeCell ref="A536:B536"/>
    <mergeCell ref="C536:D536"/>
    <mergeCell ref="A537:B537"/>
    <mergeCell ref="C537:D537"/>
    <mergeCell ref="A538:B538"/>
    <mergeCell ref="C538:D538"/>
    <mergeCell ref="E538:F540"/>
    <mergeCell ref="A539:B539"/>
    <mergeCell ref="C539:D539"/>
    <mergeCell ref="A540:B540"/>
    <mergeCell ref="C540:D540"/>
    <mergeCell ref="A541:B541"/>
    <mergeCell ref="C541:D541"/>
    <mergeCell ref="E541:F543"/>
    <mergeCell ref="A542:B542"/>
    <mergeCell ref="C542:D542"/>
    <mergeCell ref="A543:B543"/>
    <mergeCell ref="C543:D543"/>
    <mergeCell ref="A544:B544"/>
    <mergeCell ref="C544:D544"/>
    <mergeCell ref="E544:F546"/>
    <mergeCell ref="A545:B545"/>
    <mergeCell ref="C545:D545"/>
    <mergeCell ref="A546:B546"/>
    <mergeCell ref="C546:D546"/>
    <mergeCell ref="A547:B547"/>
    <mergeCell ref="C547:D547"/>
    <mergeCell ref="E547:F549"/>
    <mergeCell ref="A548:B548"/>
    <mergeCell ref="C548:D548"/>
    <mergeCell ref="A549:B549"/>
    <mergeCell ref="C549:D549"/>
    <mergeCell ref="A550:B550"/>
    <mergeCell ref="C550:D550"/>
    <mergeCell ref="E550:F552"/>
    <mergeCell ref="A551:B551"/>
    <mergeCell ref="C551:D551"/>
    <mergeCell ref="A552:B552"/>
    <mergeCell ref="C552:D552"/>
    <mergeCell ref="A553:B553"/>
    <mergeCell ref="C553:D553"/>
    <mergeCell ref="E553:F555"/>
    <mergeCell ref="A554:B554"/>
    <mergeCell ref="C554:D554"/>
    <mergeCell ref="A555:B555"/>
    <mergeCell ref="C555:D555"/>
    <mergeCell ref="A556:B556"/>
    <mergeCell ref="C556:D556"/>
    <mergeCell ref="E556:F558"/>
    <mergeCell ref="A557:B557"/>
    <mergeCell ref="C557:D557"/>
    <mergeCell ref="A558:B558"/>
    <mergeCell ref="C558:D558"/>
    <mergeCell ref="A559:B559"/>
    <mergeCell ref="C559:D559"/>
    <mergeCell ref="E559:F561"/>
    <mergeCell ref="A560:B560"/>
    <mergeCell ref="C560:D560"/>
    <mergeCell ref="A561:B561"/>
    <mergeCell ref="C561:D561"/>
    <mergeCell ref="A562:B562"/>
    <mergeCell ref="C562:D562"/>
    <mergeCell ref="E562:F564"/>
    <mergeCell ref="A563:B563"/>
    <mergeCell ref="C563:D563"/>
    <mergeCell ref="A564:B564"/>
    <mergeCell ref="C564:D564"/>
    <mergeCell ref="A565:B565"/>
    <mergeCell ref="C565:D565"/>
    <mergeCell ref="E565:F567"/>
    <mergeCell ref="A566:B566"/>
    <mergeCell ref="C566:D566"/>
    <mergeCell ref="A567:B567"/>
    <mergeCell ref="C567:D567"/>
    <mergeCell ref="A568:B568"/>
    <mergeCell ref="C568:D568"/>
    <mergeCell ref="E568:F570"/>
    <mergeCell ref="A569:B569"/>
    <mergeCell ref="C569:D569"/>
    <mergeCell ref="A570:B570"/>
    <mergeCell ref="C570:D570"/>
    <mergeCell ref="A571:B571"/>
    <mergeCell ref="C571:D571"/>
    <mergeCell ref="E571:F573"/>
    <mergeCell ref="A572:B572"/>
    <mergeCell ref="C572:D572"/>
    <mergeCell ref="A573:B573"/>
    <mergeCell ref="C573:D573"/>
    <mergeCell ref="A574:B574"/>
    <mergeCell ref="C574:D574"/>
    <mergeCell ref="E574:F576"/>
    <mergeCell ref="A575:B575"/>
    <mergeCell ref="C575:D575"/>
    <mergeCell ref="A576:B576"/>
    <mergeCell ref="C576:D576"/>
    <mergeCell ref="A577:B577"/>
    <mergeCell ref="C577:D577"/>
    <mergeCell ref="E577:F579"/>
    <mergeCell ref="A578:B578"/>
    <mergeCell ref="C578:D578"/>
    <mergeCell ref="A579:B579"/>
    <mergeCell ref="C579:D579"/>
    <mergeCell ref="A580:B580"/>
    <mergeCell ref="C580:D580"/>
    <mergeCell ref="E580:F582"/>
    <mergeCell ref="A581:B581"/>
    <mergeCell ref="C581:D581"/>
    <mergeCell ref="A582:B582"/>
    <mergeCell ref="C582:D582"/>
    <mergeCell ref="A583:B583"/>
    <mergeCell ref="C583:D583"/>
    <mergeCell ref="E583:F585"/>
    <mergeCell ref="A584:B584"/>
    <mergeCell ref="C584:D584"/>
    <mergeCell ref="A585:B585"/>
    <mergeCell ref="C585:D585"/>
    <mergeCell ref="A586:B586"/>
    <mergeCell ref="C586:D586"/>
    <mergeCell ref="E586:F588"/>
    <mergeCell ref="A587:B587"/>
    <mergeCell ref="C587:D587"/>
    <mergeCell ref="A588:B588"/>
    <mergeCell ref="C588:D588"/>
    <mergeCell ref="A589:B589"/>
    <mergeCell ref="C589:D589"/>
    <mergeCell ref="E589:F591"/>
    <mergeCell ref="A590:B590"/>
    <mergeCell ref="C590:D590"/>
    <mergeCell ref="A591:B591"/>
    <mergeCell ref="C591:D591"/>
    <mergeCell ref="A592:B592"/>
    <mergeCell ref="C592:D592"/>
    <mergeCell ref="E592:F594"/>
    <mergeCell ref="A593:B593"/>
    <mergeCell ref="C593:D593"/>
    <mergeCell ref="A594:B594"/>
    <mergeCell ref="C594:D594"/>
    <mergeCell ref="A595:B595"/>
    <mergeCell ref="C595:D595"/>
    <mergeCell ref="E595:F597"/>
    <mergeCell ref="A596:B596"/>
    <mergeCell ref="C596:D596"/>
    <mergeCell ref="A597:B597"/>
    <mergeCell ref="C597:D597"/>
    <mergeCell ref="A598:B598"/>
    <mergeCell ref="C598:D598"/>
    <mergeCell ref="E598:F600"/>
    <mergeCell ref="A599:B599"/>
    <mergeCell ref="C599:D599"/>
    <mergeCell ref="A600:B600"/>
    <mergeCell ref="C600:D600"/>
    <mergeCell ref="A601:B601"/>
    <mergeCell ref="C601:D601"/>
    <mergeCell ref="E601:F603"/>
    <mergeCell ref="A602:B602"/>
    <mergeCell ref="C602:D602"/>
    <mergeCell ref="A603:B603"/>
    <mergeCell ref="C603:D603"/>
    <mergeCell ref="A604:B604"/>
    <mergeCell ref="C604:D604"/>
    <mergeCell ref="E604:F606"/>
    <mergeCell ref="A605:B605"/>
    <mergeCell ref="C605:D605"/>
    <mergeCell ref="A606:B606"/>
    <mergeCell ref="C606:D606"/>
    <mergeCell ref="A607:B607"/>
    <mergeCell ref="C607:D607"/>
    <mergeCell ref="E607:F609"/>
    <mergeCell ref="A608:B608"/>
    <mergeCell ref="C608:D608"/>
    <mergeCell ref="A609:B609"/>
    <mergeCell ref="C609:D609"/>
    <mergeCell ref="A610:B610"/>
    <mergeCell ref="C610:D610"/>
    <mergeCell ref="E610:F612"/>
    <mergeCell ref="A611:B611"/>
    <mergeCell ref="C611:D611"/>
    <mergeCell ref="A612:B612"/>
    <mergeCell ref="C612:D612"/>
    <mergeCell ref="A613:B613"/>
    <mergeCell ref="C613:D613"/>
    <mergeCell ref="E613:F615"/>
    <mergeCell ref="A614:B614"/>
    <mergeCell ref="C614:D614"/>
    <mergeCell ref="A615:B615"/>
    <mergeCell ref="C615:D615"/>
    <mergeCell ref="A616:B616"/>
    <mergeCell ref="C616:D616"/>
    <mergeCell ref="E616:F618"/>
    <mergeCell ref="A617:B617"/>
    <mergeCell ref="C617:D617"/>
    <mergeCell ref="A618:B618"/>
    <mergeCell ref="C618:D618"/>
    <mergeCell ref="A619:B619"/>
    <mergeCell ref="C619:D619"/>
    <mergeCell ref="E619:F621"/>
    <mergeCell ref="A620:B620"/>
    <mergeCell ref="C620:D620"/>
    <mergeCell ref="A621:B621"/>
    <mergeCell ref="C621:D621"/>
    <mergeCell ref="A626:F628"/>
    <mergeCell ref="A622:B622"/>
    <mergeCell ref="C622:D622"/>
    <mergeCell ref="E622:F624"/>
    <mergeCell ref="A623:B623"/>
    <mergeCell ref="C623:D623"/>
    <mergeCell ref="A624:B624"/>
    <mergeCell ref="C624:D624"/>
  </mergeCells>
  <printOptions horizontalCentered="1"/>
  <pageMargins left="0.5905511811023623" right="0.5905511811023623" top="0.984251968503937" bottom="0.7480314960629921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b.bulak</dc:creator>
  <cp:keywords/>
  <dc:description/>
  <cp:lastModifiedBy>Krzysztof Ryszewski</cp:lastModifiedBy>
  <cp:lastPrinted>2020-04-28T11:51:56Z</cp:lastPrinted>
  <dcterms:created xsi:type="dcterms:W3CDTF">2010-11-02T12:16:55Z</dcterms:created>
  <dcterms:modified xsi:type="dcterms:W3CDTF">2020-04-29T08:23:05Z</dcterms:modified>
  <cp:category/>
  <cp:version/>
  <cp:contentType/>
  <cp:contentStatus/>
</cp:coreProperties>
</file>