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UMWKP_KS\KS-S\XI sesja Sejmiku VII kadencji - 14 kwietnia 2025 r\uchwały\word\"/>
    </mc:Choice>
  </mc:AlternateContent>
  <xr:revisionPtr revIDLastSave="0" documentId="8_{F788E572-2D0E-4D0F-9F24-B47325DF5A9C}" xr6:coauthVersionLast="47" xr6:coauthVersionMax="47" xr10:uidLastSave="{00000000-0000-0000-0000-000000000000}"/>
  <bookViews>
    <workbookView xWindow="-120" yWindow="-120" windowWidth="29040" windowHeight="15720" tabRatio="889" activeTab="11" xr2:uid="{00000000-000D-0000-FFFF-FFFF00000000}"/>
  </bookViews>
  <sheets>
    <sheet name="zał.1" sheetId="111" r:id="rId1"/>
    <sheet name="zał.2" sheetId="113" r:id="rId2"/>
    <sheet name="zał.3" sheetId="114" r:id="rId3"/>
    <sheet name="zał.4" sheetId="115" r:id="rId4"/>
    <sheet name="zał.5" sheetId="117" r:id="rId5"/>
    <sheet name="zał.6" sheetId="121" r:id="rId6"/>
    <sheet name="zał.7" sheetId="122" r:id="rId7"/>
    <sheet name="zał.8" sheetId="116" r:id="rId8"/>
    <sheet name="zał.9" sheetId="118" r:id="rId9"/>
    <sheet name="zał.10" sheetId="123" r:id="rId10"/>
    <sheet name="zał.11" sheetId="119" r:id="rId11"/>
    <sheet name="zał.12" sheetId="120" r:id="rId12"/>
  </sheets>
  <definedNames>
    <definedName name="_xlnm.Print_Area" localSheetId="0">zał.1!$A$1:$Q$171</definedName>
    <definedName name="_xlnm.Print_Area" localSheetId="9">zał.10!$A$1:$K$199</definedName>
    <definedName name="_xlnm.Print_Area" localSheetId="1">zał.2!$A$1:$G$52</definedName>
    <definedName name="_xlnm.Print_Area" localSheetId="4">zał.5!$A$1:$F$64</definedName>
    <definedName name="_xlnm.Print_Titles" localSheetId="0">zał.1!$7:$11</definedName>
    <definedName name="_xlnm.Print_Titles" localSheetId="9">zał.10!$8:$9</definedName>
    <definedName name="_xlnm.Print_Titles" localSheetId="10">zał.11!$6:$8</definedName>
    <definedName name="_xlnm.Print_Titles" localSheetId="11">zał.12!$6:$8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5">zał.6!$7:$13</definedName>
    <definedName name="_xlnm.Print_Titles" localSheetId="6">zał.7!$7:$13</definedName>
    <definedName name="_xlnm.Print_Titles" localSheetId="7">zał.8!$7:$11</definedName>
    <definedName name="_xlnm.Print_Titles" localSheetId="8">zał.9!$6:$9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7" i="123" l="1"/>
  <c r="K196" i="123"/>
  <c r="K195" i="123" s="1"/>
  <c r="J195" i="123"/>
  <c r="I195" i="123"/>
  <c r="H195" i="123"/>
  <c r="K194" i="123"/>
  <c r="K193" i="123"/>
  <c r="K192" i="123" s="1"/>
  <c r="J192" i="123"/>
  <c r="I192" i="123"/>
  <c r="H192" i="123"/>
  <c r="K191" i="123"/>
  <c r="K190" i="123"/>
  <c r="J189" i="123"/>
  <c r="I189" i="123"/>
  <c r="H189" i="123"/>
  <c r="K188" i="123"/>
  <c r="K187" i="123" s="1"/>
  <c r="J187" i="123"/>
  <c r="I187" i="123"/>
  <c r="H187" i="123"/>
  <c r="K186" i="123"/>
  <c r="K185" i="123"/>
  <c r="J184" i="123"/>
  <c r="I184" i="123"/>
  <c r="H184" i="123"/>
  <c r="K183" i="123"/>
  <c r="K182" i="123"/>
  <c r="K181" i="123" s="1"/>
  <c r="J181" i="123"/>
  <c r="I181" i="123"/>
  <c r="H181" i="123"/>
  <c r="K180" i="123"/>
  <c r="K179" i="123"/>
  <c r="J178" i="123"/>
  <c r="I178" i="123"/>
  <c r="H178" i="123"/>
  <c r="K177" i="123"/>
  <c r="K176" i="123" s="1"/>
  <c r="J176" i="123"/>
  <c r="I176" i="123"/>
  <c r="H176" i="123"/>
  <c r="K175" i="123"/>
  <c r="K174" i="123"/>
  <c r="K173" i="123" s="1"/>
  <c r="J173" i="123"/>
  <c r="I173" i="123"/>
  <c r="H173" i="123"/>
  <c r="G172" i="123"/>
  <c r="G171" i="123" s="1"/>
  <c r="F171" i="123"/>
  <c r="E171" i="123"/>
  <c r="D171" i="123"/>
  <c r="K170" i="123"/>
  <c r="K169" i="123" s="1"/>
  <c r="J169" i="123"/>
  <c r="I169" i="123"/>
  <c r="H169" i="123"/>
  <c r="G168" i="123"/>
  <c r="G167" i="123" s="1"/>
  <c r="F167" i="123"/>
  <c r="E167" i="123"/>
  <c r="D167" i="123"/>
  <c r="D166" i="123" s="1"/>
  <c r="K165" i="123"/>
  <c r="K164" i="123"/>
  <c r="K163" i="123"/>
  <c r="K162" i="123"/>
  <c r="K161" i="123"/>
  <c r="K160" i="123"/>
  <c r="K159" i="123"/>
  <c r="K158" i="123"/>
  <c r="J157" i="123"/>
  <c r="J154" i="123" s="1"/>
  <c r="I157" i="123"/>
  <c r="I154" i="123" s="1"/>
  <c r="H157" i="123"/>
  <c r="H154" i="123" s="1"/>
  <c r="K156" i="123"/>
  <c r="G156" i="123"/>
  <c r="K155" i="123"/>
  <c r="D155" i="123"/>
  <c r="D154" i="123" s="1"/>
  <c r="K153" i="123"/>
  <c r="H152" i="123"/>
  <c r="K152" i="123" s="1"/>
  <c r="K149" i="123" s="1"/>
  <c r="K151" i="123"/>
  <c r="G151" i="123"/>
  <c r="K150" i="123"/>
  <c r="D150" i="123"/>
  <c r="G150" i="123" s="1"/>
  <c r="G149" i="123" s="1"/>
  <c r="J149" i="123"/>
  <c r="I149" i="123"/>
  <c r="D149" i="123"/>
  <c r="K148" i="123"/>
  <c r="H147" i="123"/>
  <c r="K147" i="123" s="1"/>
  <c r="K144" i="123" s="1"/>
  <c r="K146" i="123"/>
  <c r="G146" i="123"/>
  <c r="K145" i="123"/>
  <c r="D145" i="123"/>
  <c r="D144" i="123" s="1"/>
  <c r="J144" i="123"/>
  <c r="I144" i="123"/>
  <c r="K143" i="123"/>
  <c r="H142" i="123"/>
  <c r="H139" i="123" s="1"/>
  <c r="G141" i="123"/>
  <c r="D140" i="123"/>
  <c r="G140" i="123" s="1"/>
  <c r="G139" i="123" s="1"/>
  <c r="J139" i="123"/>
  <c r="I139" i="123"/>
  <c r="K138" i="123"/>
  <c r="K137" i="123"/>
  <c r="K136" i="123"/>
  <c r="K135" i="123"/>
  <c r="K134" i="123"/>
  <c r="K133" i="123"/>
  <c r="K132" i="123"/>
  <c r="K131" i="123"/>
  <c r="J130" i="123"/>
  <c r="I130" i="123"/>
  <c r="H130" i="123"/>
  <c r="G129" i="123"/>
  <c r="D128" i="123"/>
  <c r="G128" i="123" s="1"/>
  <c r="K127" i="123"/>
  <c r="K126" i="123"/>
  <c r="K125" i="123"/>
  <c r="J124" i="123"/>
  <c r="J121" i="123" s="1"/>
  <c r="I124" i="123"/>
  <c r="H124" i="123"/>
  <c r="G123" i="123"/>
  <c r="D122" i="123"/>
  <c r="G122" i="123" s="1"/>
  <c r="F121" i="123"/>
  <c r="E121" i="123"/>
  <c r="D121" i="123"/>
  <c r="K120" i="123"/>
  <c r="K119" i="123"/>
  <c r="K118" i="123"/>
  <c r="K117" i="123"/>
  <c r="K116" i="123"/>
  <c r="K115" i="123"/>
  <c r="K114" i="123"/>
  <c r="J113" i="123"/>
  <c r="I113" i="123"/>
  <c r="H113" i="123"/>
  <c r="G112" i="123"/>
  <c r="D111" i="123"/>
  <c r="G111" i="123" s="1"/>
  <c r="K110" i="123"/>
  <c r="K109" i="123"/>
  <c r="K108" i="123"/>
  <c r="K107" i="123"/>
  <c r="K106" i="123"/>
  <c r="K105" i="123"/>
  <c r="K104" i="123"/>
  <c r="K103" i="123"/>
  <c r="J102" i="123"/>
  <c r="J99" i="123" s="1"/>
  <c r="I102" i="123"/>
  <c r="I99" i="123" s="1"/>
  <c r="H102" i="123"/>
  <c r="K102" i="123" s="1"/>
  <c r="G101" i="123"/>
  <c r="D100" i="123"/>
  <c r="K98" i="123"/>
  <c r="K97" i="123"/>
  <c r="K96" i="123"/>
  <c r="K95" i="123"/>
  <c r="K94" i="123"/>
  <c r="K93" i="123"/>
  <c r="K92" i="123"/>
  <c r="K91" i="123"/>
  <c r="K90" i="123"/>
  <c r="J89" i="123"/>
  <c r="J86" i="123" s="1"/>
  <c r="I89" i="123"/>
  <c r="I86" i="123" s="1"/>
  <c r="H89" i="123"/>
  <c r="K89" i="123" s="1"/>
  <c r="G88" i="123"/>
  <c r="D87" i="123"/>
  <c r="D86" i="123" s="1"/>
  <c r="K85" i="123"/>
  <c r="K84" i="123"/>
  <c r="K83" i="123"/>
  <c r="K82" i="123"/>
  <c r="K81" i="123"/>
  <c r="K80" i="123"/>
  <c r="K79" i="123"/>
  <c r="K78" i="123"/>
  <c r="K77" i="123"/>
  <c r="K76" i="123"/>
  <c r="J75" i="123"/>
  <c r="J72" i="123" s="1"/>
  <c r="I75" i="123"/>
  <c r="I72" i="123" s="1"/>
  <c r="H75" i="123"/>
  <c r="H72" i="123" s="1"/>
  <c r="G74" i="123"/>
  <c r="D73" i="123"/>
  <c r="D72" i="123" s="1"/>
  <c r="K71" i="123"/>
  <c r="J70" i="123"/>
  <c r="I70" i="123"/>
  <c r="H70" i="123"/>
  <c r="K69" i="123"/>
  <c r="J68" i="123"/>
  <c r="I68" i="123"/>
  <c r="H68" i="123"/>
  <c r="K68" i="123" s="1"/>
  <c r="K67" i="123"/>
  <c r="K66" i="123"/>
  <c r="K65" i="123" s="1"/>
  <c r="J65" i="123"/>
  <c r="I65" i="123"/>
  <c r="H65" i="123"/>
  <c r="K64" i="123"/>
  <c r="K63" i="123"/>
  <c r="K62" i="123"/>
  <c r="K61" i="123"/>
  <c r="J60" i="123"/>
  <c r="I60" i="123"/>
  <c r="H60" i="123"/>
  <c r="K59" i="123"/>
  <c r="J58" i="123"/>
  <c r="I58" i="123"/>
  <c r="H58" i="123"/>
  <c r="K58" i="123" s="1"/>
  <c r="K57" i="123"/>
  <c r="J56" i="123"/>
  <c r="I56" i="123"/>
  <c r="H56" i="123"/>
  <c r="K55" i="123"/>
  <c r="J54" i="123"/>
  <c r="I54" i="123"/>
  <c r="H54" i="123"/>
  <c r="K54" i="123" s="1"/>
  <c r="K53" i="123"/>
  <c r="K52" i="123"/>
  <c r="K51" i="123"/>
  <c r="K50" i="123"/>
  <c r="J49" i="123"/>
  <c r="I49" i="123"/>
  <c r="H49" i="123"/>
  <c r="K49" i="123" s="1"/>
  <c r="G48" i="123"/>
  <c r="D47" i="123"/>
  <c r="G47" i="123" s="1"/>
  <c r="G46" i="123" s="1"/>
  <c r="D46" i="123"/>
  <c r="K45" i="123"/>
  <c r="J44" i="123"/>
  <c r="J35" i="123" s="1"/>
  <c r="I44" i="123"/>
  <c r="I35" i="123" s="1"/>
  <c r="H44" i="123"/>
  <c r="K43" i="123"/>
  <c r="G43" i="123"/>
  <c r="K42" i="123"/>
  <c r="F42" i="123"/>
  <c r="F35" i="123" s="1"/>
  <c r="E42" i="123"/>
  <c r="E35" i="123" s="1"/>
  <c r="D42" i="123"/>
  <c r="K41" i="123"/>
  <c r="H40" i="123"/>
  <c r="K40" i="123" s="1"/>
  <c r="K39" i="123"/>
  <c r="H38" i="123"/>
  <c r="K38" i="123" s="1"/>
  <c r="K37" i="123"/>
  <c r="G37" i="123"/>
  <c r="K36" i="123"/>
  <c r="D36" i="123"/>
  <c r="G36" i="123" s="1"/>
  <c r="K34" i="123"/>
  <c r="J33" i="123"/>
  <c r="I33" i="123"/>
  <c r="H33" i="123"/>
  <c r="K32" i="123"/>
  <c r="J31" i="123"/>
  <c r="I31" i="123"/>
  <c r="I26" i="123" s="1"/>
  <c r="H31" i="123"/>
  <c r="K30" i="123"/>
  <c r="J29" i="123"/>
  <c r="I29" i="123"/>
  <c r="H29" i="123"/>
  <c r="K29" i="123" s="1"/>
  <c r="K28" i="123"/>
  <c r="G28" i="123"/>
  <c r="K27" i="123"/>
  <c r="F27" i="123"/>
  <c r="F26" i="123" s="1"/>
  <c r="E27" i="123"/>
  <c r="E26" i="123" s="1"/>
  <c r="D27" i="123"/>
  <c r="D26" i="123" s="1"/>
  <c r="K25" i="123"/>
  <c r="K24" i="123"/>
  <c r="K23" i="123"/>
  <c r="K22" i="123"/>
  <c r="K21" i="123"/>
  <c r="K20" i="123"/>
  <c r="K19" i="123"/>
  <c r="K18" i="123"/>
  <c r="K17" i="123"/>
  <c r="K16" i="123"/>
  <c r="K15" i="123"/>
  <c r="J14" i="123"/>
  <c r="J10" i="123" s="1"/>
  <c r="I14" i="123"/>
  <c r="H14" i="123"/>
  <c r="H10" i="123" s="1"/>
  <c r="G13" i="123"/>
  <c r="G12" i="123"/>
  <c r="F11" i="123"/>
  <c r="F10" i="123" s="1"/>
  <c r="E11" i="123"/>
  <c r="E10" i="123" s="1"/>
  <c r="D11" i="123"/>
  <c r="G11" i="123" s="1"/>
  <c r="I10" i="123"/>
  <c r="K184" i="123" l="1"/>
  <c r="K189" i="123"/>
  <c r="H144" i="123"/>
  <c r="G73" i="123"/>
  <c r="G72" i="123" s="1"/>
  <c r="D35" i="123"/>
  <c r="J46" i="123"/>
  <c r="E166" i="123"/>
  <c r="E198" i="123" s="1"/>
  <c r="K10" i="123"/>
  <c r="K124" i="123"/>
  <c r="K139" i="123"/>
  <c r="K31" i="123"/>
  <c r="D99" i="123"/>
  <c r="D198" i="123" s="1"/>
  <c r="K113" i="123"/>
  <c r="I121" i="123"/>
  <c r="K130" i="123"/>
  <c r="H166" i="123"/>
  <c r="K72" i="123"/>
  <c r="G100" i="123"/>
  <c r="G99" i="123" s="1"/>
  <c r="F166" i="123"/>
  <c r="F198" i="123" s="1"/>
  <c r="H35" i="123"/>
  <c r="H46" i="123"/>
  <c r="K75" i="123"/>
  <c r="K142" i="123"/>
  <c r="D139" i="123"/>
  <c r="I166" i="123"/>
  <c r="D10" i="123"/>
  <c r="G10" i="123" s="1"/>
  <c r="I46" i="123"/>
  <c r="G145" i="123"/>
  <c r="G144" i="123" s="1"/>
  <c r="K33" i="123"/>
  <c r="K56" i="123"/>
  <c r="K60" i="123"/>
  <c r="K70" i="123"/>
  <c r="H121" i="123"/>
  <c r="J166" i="123"/>
  <c r="K154" i="123"/>
  <c r="H149" i="123"/>
  <c r="G27" i="123"/>
  <c r="G26" i="123" s="1"/>
  <c r="J26" i="123"/>
  <c r="K44" i="123"/>
  <c r="K35" i="123" s="1"/>
  <c r="G121" i="123"/>
  <c r="K178" i="123"/>
  <c r="K166" i="123" s="1"/>
  <c r="G166" i="123"/>
  <c r="G87" i="123"/>
  <c r="G86" i="123" s="1"/>
  <c r="K14" i="123"/>
  <c r="H26" i="123"/>
  <c r="G42" i="123"/>
  <c r="G35" i="123" s="1"/>
  <c r="H99" i="123"/>
  <c r="K99" i="123" s="1"/>
  <c r="K157" i="123"/>
  <c r="G155" i="123"/>
  <c r="G154" i="123" s="1"/>
  <c r="H86" i="123"/>
  <c r="K86" i="123" s="1"/>
  <c r="K46" i="123" l="1"/>
  <c r="I198" i="123"/>
  <c r="K121" i="123"/>
  <c r="K198" i="123" s="1"/>
  <c r="L166" i="123"/>
  <c r="J198" i="123"/>
  <c r="K26" i="123"/>
  <c r="H198" i="123"/>
  <c r="G198" i="123"/>
  <c r="H136" i="122" l="1"/>
  <c r="G136" i="122"/>
  <c r="H135" i="122"/>
  <c r="G135" i="122"/>
  <c r="L134" i="122"/>
  <c r="H134" i="122"/>
  <c r="G134" i="122"/>
  <c r="H133" i="122"/>
  <c r="G133" i="122"/>
  <c r="L132" i="122"/>
  <c r="L135" i="122" s="1"/>
  <c r="L130" i="122"/>
  <c r="W129" i="122"/>
  <c r="W134" i="122" s="1"/>
  <c r="W127" i="122"/>
  <c r="V127" i="122" s="1"/>
  <c r="H127" i="122"/>
  <c r="G127" i="122"/>
  <c r="W125" i="122"/>
  <c r="V125" i="122"/>
  <c r="T125" i="122"/>
  <c r="S125" i="122"/>
  <c r="Q125" i="122"/>
  <c r="P125" i="122"/>
  <c r="M125" i="122"/>
  <c r="L125" i="122"/>
  <c r="U124" i="122"/>
  <c r="R124" i="122"/>
  <c r="O124" i="122"/>
  <c r="O125" i="122" s="1"/>
  <c r="N124" i="122"/>
  <c r="J124" i="122" s="1"/>
  <c r="K124" i="122"/>
  <c r="U122" i="122"/>
  <c r="U125" i="122" s="1"/>
  <c r="R122" i="122"/>
  <c r="R125" i="122" s="1"/>
  <c r="O122" i="122"/>
  <c r="N122" i="122"/>
  <c r="K122" i="122"/>
  <c r="K125" i="122" s="1"/>
  <c r="J122" i="122"/>
  <c r="J125" i="122" s="1"/>
  <c r="H122" i="122"/>
  <c r="G122" i="122"/>
  <c r="W120" i="122"/>
  <c r="V120" i="122"/>
  <c r="T120" i="122"/>
  <c r="S120" i="122"/>
  <c r="Q120" i="122"/>
  <c r="P120" i="122"/>
  <c r="M120" i="122"/>
  <c r="L120" i="122"/>
  <c r="K120" i="122"/>
  <c r="U119" i="122"/>
  <c r="R119" i="122"/>
  <c r="O119" i="122"/>
  <c r="N119" i="122" s="1"/>
  <c r="J119" i="122" s="1"/>
  <c r="K119" i="122"/>
  <c r="U117" i="122"/>
  <c r="U120" i="122" s="1"/>
  <c r="R117" i="122"/>
  <c r="R120" i="122" s="1"/>
  <c r="O117" i="122"/>
  <c r="O120" i="122" s="1"/>
  <c r="K117" i="122"/>
  <c r="H117" i="122"/>
  <c r="G117" i="122"/>
  <c r="W115" i="122"/>
  <c r="V115" i="122"/>
  <c r="U115" i="122"/>
  <c r="T115" i="122"/>
  <c r="S115" i="122"/>
  <c r="Q115" i="122"/>
  <c r="P115" i="122"/>
  <c r="O115" i="122"/>
  <c r="M115" i="122"/>
  <c r="L115" i="122"/>
  <c r="U114" i="122"/>
  <c r="R114" i="122"/>
  <c r="O114" i="122"/>
  <c r="N114" i="122"/>
  <c r="N115" i="122" s="1"/>
  <c r="K114" i="122"/>
  <c r="J114" i="122" s="1"/>
  <c r="U112" i="122"/>
  <c r="R112" i="122"/>
  <c r="R115" i="122" s="1"/>
  <c r="O112" i="122"/>
  <c r="N112" i="122"/>
  <c r="K112" i="122"/>
  <c r="K115" i="122" s="1"/>
  <c r="J112" i="122"/>
  <c r="H112" i="122"/>
  <c r="G112" i="122"/>
  <c r="W110" i="122"/>
  <c r="V110" i="122"/>
  <c r="T110" i="122"/>
  <c r="S110" i="122"/>
  <c r="Q110" i="122"/>
  <c r="P110" i="122"/>
  <c r="M110" i="122"/>
  <c r="L110" i="122"/>
  <c r="K110" i="122"/>
  <c r="U109" i="122"/>
  <c r="R109" i="122"/>
  <c r="O109" i="122"/>
  <c r="N109" i="122" s="1"/>
  <c r="J109" i="122" s="1"/>
  <c r="K109" i="122"/>
  <c r="U107" i="122"/>
  <c r="U110" i="122" s="1"/>
  <c r="R107" i="122"/>
  <c r="R110" i="122" s="1"/>
  <c r="O107" i="122"/>
  <c r="N107" i="122" s="1"/>
  <c r="K107" i="122"/>
  <c r="J107" i="122" s="1"/>
  <c r="H107" i="122"/>
  <c r="G107" i="122"/>
  <c r="W105" i="122"/>
  <c r="V105" i="122"/>
  <c r="U105" i="122"/>
  <c r="T105" i="122"/>
  <c r="S105" i="122"/>
  <c r="Q105" i="122"/>
  <c r="P105" i="122"/>
  <c r="M105" i="122"/>
  <c r="L105" i="122"/>
  <c r="U104" i="122"/>
  <c r="R104" i="122"/>
  <c r="O104" i="122"/>
  <c r="O105" i="122" s="1"/>
  <c r="N104" i="122"/>
  <c r="N105" i="122" s="1"/>
  <c r="K104" i="122"/>
  <c r="J104" i="122" s="1"/>
  <c r="U102" i="122"/>
  <c r="R102" i="122"/>
  <c r="R105" i="122" s="1"/>
  <c r="O102" i="122"/>
  <c r="N102" i="122"/>
  <c r="K102" i="122"/>
  <c r="K105" i="122" s="1"/>
  <c r="J102" i="122"/>
  <c r="H102" i="122"/>
  <c r="G102" i="122"/>
  <c r="W100" i="122"/>
  <c r="V100" i="122"/>
  <c r="T100" i="122"/>
  <c r="S100" i="122"/>
  <c r="Q100" i="122"/>
  <c r="P100" i="122"/>
  <c r="M100" i="122"/>
  <c r="L100" i="122"/>
  <c r="K100" i="122"/>
  <c r="U99" i="122"/>
  <c r="R99" i="122"/>
  <c r="O99" i="122"/>
  <c r="N99" i="122" s="1"/>
  <c r="J99" i="122" s="1"/>
  <c r="K99" i="122"/>
  <c r="U97" i="122"/>
  <c r="U100" i="122" s="1"/>
  <c r="R97" i="122"/>
  <c r="R100" i="122" s="1"/>
  <c r="O97" i="122"/>
  <c r="N97" i="122" s="1"/>
  <c r="K97" i="122"/>
  <c r="J97" i="122" s="1"/>
  <c r="J100" i="122" s="1"/>
  <c r="H97" i="122"/>
  <c r="G97" i="122"/>
  <c r="W95" i="122"/>
  <c r="V95" i="122"/>
  <c r="U95" i="122"/>
  <c r="T95" i="122"/>
  <c r="S95" i="122"/>
  <c r="Q95" i="122"/>
  <c r="P95" i="122"/>
  <c r="M95" i="122"/>
  <c r="L95" i="122"/>
  <c r="U94" i="122"/>
  <c r="R94" i="122"/>
  <c r="O94" i="122"/>
  <c r="O95" i="122" s="1"/>
  <c r="N94" i="122"/>
  <c r="N95" i="122" s="1"/>
  <c r="K94" i="122"/>
  <c r="J94" i="122" s="1"/>
  <c r="U92" i="122"/>
  <c r="R92" i="122"/>
  <c r="R95" i="122" s="1"/>
  <c r="O92" i="122"/>
  <c r="N92" i="122"/>
  <c r="K92" i="122"/>
  <c r="K95" i="122" s="1"/>
  <c r="J92" i="122"/>
  <c r="H92" i="122"/>
  <c r="G92" i="122"/>
  <c r="W90" i="122"/>
  <c r="V90" i="122"/>
  <c r="T90" i="122"/>
  <c r="S90" i="122"/>
  <c r="Q90" i="122"/>
  <c r="P90" i="122"/>
  <c r="M90" i="122"/>
  <c r="L90" i="122"/>
  <c r="K90" i="122"/>
  <c r="U89" i="122"/>
  <c r="R89" i="122"/>
  <c r="O89" i="122"/>
  <c r="N89" i="122" s="1"/>
  <c r="J89" i="122" s="1"/>
  <c r="K89" i="122"/>
  <c r="U87" i="122"/>
  <c r="U90" i="122" s="1"/>
  <c r="R87" i="122"/>
  <c r="R90" i="122" s="1"/>
  <c r="O87" i="122"/>
  <c r="N87" i="122" s="1"/>
  <c r="N90" i="122" s="1"/>
  <c r="K87" i="122"/>
  <c r="H87" i="122"/>
  <c r="G87" i="122"/>
  <c r="W85" i="122"/>
  <c r="V85" i="122"/>
  <c r="U85" i="122"/>
  <c r="T85" i="122"/>
  <c r="S85" i="122"/>
  <c r="Q85" i="122"/>
  <c r="P85" i="122"/>
  <c r="M85" i="122"/>
  <c r="L85" i="122"/>
  <c r="U84" i="122"/>
  <c r="R84" i="122"/>
  <c r="O84" i="122"/>
  <c r="O85" i="122" s="1"/>
  <c r="N84" i="122"/>
  <c r="N85" i="122" s="1"/>
  <c r="K84" i="122"/>
  <c r="J84" i="122" s="1"/>
  <c r="U82" i="122"/>
  <c r="R82" i="122"/>
  <c r="R85" i="122" s="1"/>
  <c r="O82" i="122"/>
  <c r="N82" i="122"/>
  <c r="K82" i="122"/>
  <c r="K85" i="122" s="1"/>
  <c r="J82" i="122"/>
  <c r="H82" i="122"/>
  <c r="G82" i="122"/>
  <c r="W80" i="122"/>
  <c r="V80" i="122"/>
  <c r="T80" i="122"/>
  <c r="S80" i="122"/>
  <c r="Q80" i="122"/>
  <c r="P80" i="122"/>
  <c r="M80" i="122"/>
  <c r="L80" i="122"/>
  <c r="K80" i="122"/>
  <c r="U79" i="122"/>
  <c r="R79" i="122"/>
  <c r="O79" i="122"/>
  <c r="N79" i="122" s="1"/>
  <c r="J79" i="122" s="1"/>
  <c r="K79" i="122"/>
  <c r="U77" i="122"/>
  <c r="U80" i="122" s="1"/>
  <c r="R77" i="122"/>
  <c r="N77" i="122" s="1"/>
  <c r="N80" i="122" s="1"/>
  <c r="O77" i="122"/>
  <c r="O80" i="122" s="1"/>
  <c r="K77" i="122"/>
  <c r="H77" i="122"/>
  <c r="G77" i="122"/>
  <c r="W75" i="122"/>
  <c r="V75" i="122"/>
  <c r="U75" i="122"/>
  <c r="T75" i="122"/>
  <c r="S75" i="122"/>
  <c r="Q75" i="122"/>
  <c r="P75" i="122"/>
  <c r="M75" i="122"/>
  <c r="L75" i="122"/>
  <c r="U74" i="122"/>
  <c r="R74" i="122"/>
  <c r="O74" i="122"/>
  <c r="O75" i="122" s="1"/>
  <c r="N74" i="122"/>
  <c r="J74" i="122" s="1"/>
  <c r="K74" i="122"/>
  <c r="U72" i="122"/>
  <c r="R72" i="122"/>
  <c r="R75" i="122" s="1"/>
  <c r="O72" i="122"/>
  <c r="N72" i="122"/>
  <c r="K72" i="122"/>
  <c r="K75" i="122" s="1"/>
  <c r="J72" i="122"/>
  <c r="J75" i="122" s="1"/>
  <c r="H72" i="122"/>
  <c r="G72" i="122"/>
  <c r="W70" i="122"/>
  <c r="V70" i="122"/>
  <c r="T70" i="122"/>
  <c r="S70" i="122"/>
  <c r="Q70" i="122"/>
  <c r="P70" i="122"/>
  <c r="M70" i="122"/>
  <c r="L70" i="122"/>
  <c r="K70" i="122"/>
  <c r="U69" i="122"/>
  <c r="R69" i="122"/>
  <c r="O69" i="122"/>
  <c r="N69" i="122" s="1"/>
  <c r="J69" i="122" s="1"/>
  <c r="K69" i="122"/>
  <c r="U67" i="122"/>
  <c r="U70" i="122" s="1"/>
  <c r="R67" i="122"/>
  <c r="R70" i="122" s="1"/>
  <c r="O67" i="122"/>
  <c r="O70" i="122" s="1"/>
  <c r="K67" i="122"/>
  <c r="H67" i="122"/>
  <c r="G67" i="122"/>
  <c r="W65" i="122"/>
  <c r="V65" i="122"/>
  <c r="U65" i="122"/>
  <c r="T65" i="122"/>
  <c r="S65" i="122"/>
  <c r="Q65" i="122"/>
  <c r="P65" i="122"/>
  <c r="M65" i="122"/>
  <c r="L65" i="122"/>
  <c r="U64" i="122"/>
  <c r="R64" i="122"/>
  <c r="O64" i="122"/>
  <c r="O65" i="122" s="1"/>
  <c r="N64" i="122"/>
  <c r="J64" i="122" s="1"/>
  <c r="K64" i="122"/>
  <c r="U62" i="122"/>
  <c r="R62" i="122"/>
  <c r="R65" i="122" s="1"/>
  <c r="O62" i="122"/>
  <c r="N62" i="122"/>
  <c r="K62" i="122"/>
  <c r="K65" i="122" s="1"/>
  <c r="J62" i="122"/>
  <c r="H62" i="122"/>
  <c r="G62" i="122"/>
  <c r="W60" i="122"/>
  <c r="V60" i="122"/>
  <c r="T60" i="122"/>
  <c r="S60" i="122"/>
  <c r="Q60" i="122"/>
  <c r="P60" i="122"/>
  <c r="M60" i="122"/>
  <c r="L60" i="122"/>
  <c r="K60" i="122"/>
  <c r="U59" i="122"/>
  <c r="R59" i="122"/>
  <c r="O59" i="122"/>
  <c r="N59" i="122" s="1"/>
  <c r="J59" i="122" s="1"/>
  <c r="K59" i="122"/>
  <c r="U57" i="122"/>
  <c r="U60" i="122" s="1"/>
  <c r="R57" i="122"/>
  <c r="R60" i="122" s="1"/>
  <c r="O57" i="122"/>
  <c r="O60" i="122" s="1"/>
  <c r="K57" i="122"/>
  <c r="H57" i="122"/>
  <c r="G57" i="122"/>
  <c r="W55" i="122"/>
  <c r="V55" i="122"/>
  <c r="U55" i="122"/>
  <c r="T55" i="122"/>
  <c r="S55" i="122"/>
  <c r="Q55" i="122"/>
  <c r="P55" i="122"/>
  <c r="M55" i="122"/>
  <c r="L55" i="122"/>
  <c r="U54" i="122"/>
  <c r="R54" i="122"/>
  <c r="O54" i="122"/>
  <c r="O55" i="122" s="1"/>
  <c r="N54" i="122"/>
  <c r="J54" i="122" s="1"/>
  <c r="K54" i="122"/>
  <c r="U52" i="122"/>
  <c r="R52" i="122"/>
  <c r="R55" i="122" s="1"/>
  <c r="O52" i="122"/>
  <c r="N52" i="122"/>
  <c r="K52" i="122"/>
  <c r="K55" i="122" s="1"/>
  <c r="J52" i="122"/>
  <c r="J55" i="122" s="1"/>
  <c r="H52" i="122"/>
  <c r="G52" i="122"/>
  <c r="W50" i="122"/>
  <c r="V50" i="122"/>
  <c r="T50" i="122"/>
  <c r="S50" i="122"/>
  <c r="R50" i="122"/>
  <c r="Q50" i="122"/>
  <c r="P50" i="122"/>
  <c r="M50" i="122"/>
  <c r="L50" i="122"/>
  <c r="K50" i="122"/>
  <c r="U49" i="122"/>
  <c r="R49" i="122"/>
  <c r="O49" i="122"/>
  <c r="N49" i="122" s="1"/>
  <c r="J49" i="122" s="1"/>
  <c r="K49" i="122"/>
  <c r="U47" i="122"/>
  <c r="U50" i="122" s="1"/>
  <c r="R47" i="122"/>
  <c r="N47" i="122" s="1"/>
  <c r="O47" i="122"/>
  <c r="O50" i="122" s="1"/>
  <c r="K47" i="122"/>
  <c r="J47" i="122" s="1"/>
  <c r="H47" i="122"/>
  <c r="G47" i="122"/>
  <c r="W45" i="122"/>
  <c r="V45" i="122"/>
  <c r="U45" i="122"/>
  <c r="T45" i="122"/>
  <c r="S45" i="122"/>
  <c r="Q45" i="122"/>
  <c r="P45" i="122"/>
  <c r="M45" i="122"/>
  <c r="L45" i="122"/>
  <c r="U44" i="122"/>
  <c r="R44" i="122"/>
  <c r="O44" i="122"/>
  <c r="O45" i="122" s="1"/>
  <c r="N44" i="122"/>
  <c r="N45" i="122" s="1"/>
  <c r="K44" i="122"/>
  <c r="U42" i="122"/>
  <c r="R42" i="122"/>
  <c r="R45" i="122" s="1"/>
  <c r="O42" i="122"/>
  <c r="N42" i="122"/>
  <c r="K42" i="122"/>
  <c r="K45" i="122" s="1"/>
  <c r="J42" i="122"/>
  <c r="H42" i="122"/>
  <c r="G42" i="122"/>
  <c r="W40" i="122"/>
  <c r="V40" i="122"/>
  <c r="T40" i="122"/>
  <c r="S40" i="122"/>
  <c r="Q40" i="122"/>
  <c r="P40" i="122"/>
  <c r="M40" i="122"/>
  <c r="L40" i="122"/>
  <c r="K40" i="122"/>
  <c r="U39" i="122"/>
  <c r="R39" i="122"/>
  <c r="O39" i="122"/>
  <c r="N39" i="122" s="1"/>
  <c r="J39" i="122" s="1"/>
  <c r="K39" i="122"/>
  <c r="U37" i="122"/>
  <c r="U40" i="122" s="1"/>
  <c r="R37" i="122"/>
  <c r="R40" i="122" s="1"/>
  <c r="O37" i="122"/>
  <c r="O40" i="122" s="1"/>
  <c r="K37" i="122"/>
  <c r="H37" i="122"/>
  <c r="G37" i="122"/>
  <c r="W35" i="122"/>
  <c r="V35" i="122"/>
  <c r="U35" i="122"/>
  <c r="T35" i="122"/>
  <c r="S35" i="122"/>
  <c r="Q35" i="122"/>
  <c r="P35" i="122"/>
  <c r="M35" i="122"/>
  <c r="L35" i="122"/>
  <c r="U34" i="122"/>
  <c r="R34" i="122"/>
  <c r="O34" i="122"/>
  <c r="O35" i="122" s="1"/>
  <c r="N34" i="122"/>
  <c r="J34" i="122" s="1"/>
  <c r="K34" i="122"/>
  <c r="U32" i="122"/>
  <c r="R32" i="122"/>
  <c r="R35" i="122" s="1"/>
  <c r="O32" i="122"/>
  <c r="N32" i="122"/>
  <c r="K32" i="122"/>
  <c r="K35" i="122" s="1"/>
  <c r="J32" i="122"/>
  <c r="H32" i="122"/>
  <c r="G32" i="122"/>
  <c r="W30" i="122"/>
  <c r="V30" i="122"/>
  <c r="T30" i="122"/>
  <c r="Q30" i="122"/>
  <c r="P30" i="122"/>
  <c r="M30" i="122"/>
  <c r="L30" i="122"/>
  <c r="K30" i="122"/>
  <c r="U29" i="122"/>
  <c r="R29" i="122"/>
  <c r="O29" i="122"/>
  <c r="N29" i="122" s="1"/>
  <c r="J29" i="122" s="1"/>
  <c r="K29" i="122"/>
  <c r="U27" i="122"/>
  <c r="U30" i="122" s="1"/>
  <c r="S27" i="122"/>
  <c r="R27" i="122" s="1"/>
  <c r="R30" i="122" s="1"/>
  <c r="O27" i="122"/>
  <c r="O30" i="122" s="1"/>
  <c r="K27" i="122"/>
  <c r="H27" i="122"/>
  <c r="G27" i="122"/>
  <c r="W25" i="122"/>
  <c r="V25" i="122"/>
  <c r="T25" i="122"/>
  <c r="S25" i="122"/>
  <c r="Q25" i="122"/>
  <c r="P25" i="122"/>
  <c r="M25" i="122"/>
  <c r="L25" i="122"/>
  <c r="U24" i="122"/>
  <c r="U25" i="122" s="1"/>
  <c r="R24" i="122"/>
  <c r="O24" i="122"/>
  <c r="N24" i="122" s="1"/>
  <c r="K24" i="122"/>
  <c r="U22" i="122"/>
  <c r="S22" i="122"/>
  <c r="R22" i="122"/>
  <c r="R25" i="122" s="1"/>
  <c r="O22" i="122"/>
  <c r="N22" i="122"/>
  <c r="N25" i="122" s="1"/>
  <c r="K22" i="122"/>
  <c r="K25" i="122" s="1"/>
  <c r="H22" i="122"/>
  <c r="G22" i="122"/>
  <c r="W20" i="122"/>
  <c r="V20" i="122"/>
  <c r="U20" i="122"/>
  <c r="T20" i="122"/>
  <c r="Q20" i="122"/>
  <c r="P20" i="122"/>
  <c r="M20" i="122"/>
  <c r="L20" i="122"/>
  <c r="U19" i="122"/>
  <c r="R19" i="122"/>
  <c r="O19" i="122"/>
  <c r="N19" i="122"/>
  <c r="K19" i="122"/>
  <c r="J19" i="122"/>
  <c r="U17" i="122"/>
  <c r="S17" i="122"/>
  <c r="O17" i="122"/>
  <c r="K17" i="122"/>
  <c r="H17" i="122"/>
  <c r="H132" i="122" s="1"/>
  <c r="G17" i="122"/>
  <c r="G132" i="122" s="1"/>
  <c r="T278" i="121"/>
  <c r="T276" i="121"/>
  <c r="M276" i="121"/>
  <c r="L276" i="121"/>
  <c r="W275" i="121"/>
  <c r="V275" i="121"/>
  <c r="T275" i="121"/>
  <c r="S275" i="121"/>
  <c r="Q275" i="121"/>
  <c r="P275" i="121"/>
  <c r="M275" i="121"/>
  <c r="L275" i="121"/>
  <c r="T273" i="121"/>
  <c r="S273" i="121"/>
  <c r="S276" i="121" s="1"/>
  <c r="R273" i="121"/>
  <c r="Q273" i="121"/>
  <c r="Q276" i="121" s="1"/>
  <c r="P273" i="121"/>
  <c r="P276" i="121" s="1"/>
  <c r="M273" i="121"/>
  <c r="L273" i="121"/>
  <c r="W271" i="121"/>
  <c r="V271" i="121"/>
  <c r="T271" i="121"/>
  <c r="S271" i="121"/>
  <c r="Q271" i="121"/>
  <c r="P271" i="121"/>
  <c r="O271" i="121"/>
  <c r="M271" i="121"/>
  <c r="L271" i="121"/>
  <c r="U270" i="121"/>
  <c r="N270" i="121" s="1"/>
  <c r="J270" i="121" s="1"/>
  <c r="R270" i="121"/>
  <c r="O270" i="121"/>
  <c r="K270" i="121"/>
  <c r="W268" i="121"/>
  <c r="V268" i="121"/>
  <c r="U268" i="121"/>
  <c r="U271" i="121" s="1"/>
  <c r="R268" i="121"/>
  <c r="R271" i="121" s="1"/>
  <c r="O268" i="121"/>
  <c r="N268" i="121" s="1"/>
  <c r="K268" i="121"/>
  <c r="K271" i="121" s="1"/>
  <c r="V266" i="121"/>
  <c r="U266" i="121"/>
  <c r="T266" i="121"/>
  <c r="S266" i="121"/>
  <c r="R266" i="121"/>
  <c r="Q266" i="121"/>
  <c r="P266" i="121"/>
  <c r="M266" i="121"/>
  <c r="L266" i="121"/>
  <c r="U265" i="121"/>
  <c r="R265" i="121"/>
  <c r="O265" i="121"/>
  <c r="N265" i="121"/>
  <c r="K265" i="121"/>
  <c r="K266" i="121" s="1"/>
  <c r="J265" i="121"/>
  <c r="W263" i="121"/>
  <c r="W266" i="121" s="1"/>
  <c r="V263" i="121"/>
  <c r="U263" i="121" s="1"/>
  <c r="N263" i="121" s="1"/>
  <c r="R263" i="121"/>
  <c r="O263" i="121"/>
  <c r="O266" i="121" s="1"/>
  <c r="K263" i="121"/>
  <c r="W261" i="121"/>
  <c r="T261" i="121"/>
  <c r="S261" i="121"/>
  <c r="Q261" i="121"/>
  <c r="P261" i="121"/>
  <c r="O261" i="121"/>
  <c r="M261" i="121"/>
  <c r="L261" i="121"/>
  <c r="U260" i="121"/>
  <c r="R260" i="121"/>
  <c r="O260" i="121"/>
  <c r="N260" i="121"/>
  <c r="J260" i="121" s="1"/>
  <c r="K260" i="121"/>
  <c r="W258" i="121"/>
  <c r="V258" i="121"/>
  <c r="V261" i="121" s="1"/>
  <c r="R258" i="121"/>
  <c r="R261" i="121" s="1"/>
  <c r="O258" i="121"/>
  <c r="K258" i="121"/>
  <c r="K261" i="121" s="1"/>
  <c r="T256" i="121"/>
  <c r="S256" i="121"/>
  <c r="R256" i="121"/>
  <c r="Q256" i="121"/>
  <c r="P256" i="121"/>
  <c r="M256" i="121"/>
  <c r="L256" i="121"/>
  <c r="U255" i="121"/>
  <c r="R255" i="121"/>
  <c r="O255" i="121"/>
  <c r="N255" i="121"/>
  <c r="K255" i="121"/>
  <c r="J255" i="121" s="1"/>
  <c r="W253" i="121"/>
  <c r="W256" i="121" s="1"/>
  <c r="R253" i="121"/>
  <c r="O253" i="121"/>
  <c r="O256" i="121" s="1"/>
  <c r="K253" i="121"/>
  <c r="W251" i="121"/>
  <c r="V251" i="121"/>
  <c r="T251" i="121"/>
  <c r="S251" i="121"/>
  <c r="Q251" i="121"/>
  <c r="P251" i="121"/>
  <c r="O251" i="121"/>
  <c r="M251" i="121"/>
  <c r="L251" i="121"/>
  <c r="U250" i="121"/>
  <c r="R250" i="121"/>
  <c r="O250" i="121"/>
  <c r="N250" i="121"/>
  <c r="J250" i="121" s="1"/>
  <c r="K250" i="121"/>
  <c r="W248" i="121"/>
  <c r="V248" i="121"/>
  <c r="U248" i="121" s="1"/>
  <c r="R248" i="121"/>
  <c r="R251" i="121" s="1"/>
  <c r="O248" i="121"/>
  <c r="K248" i="121"/>
  <c r="K251" i="121" s="1"/>
  <c r="T246" i="121"/>
  <c r="S246" i="121"/>
  <c r="R246" i="121"/>
  <c r="Q246" i="121"/>
  <c r="P246" i="121"/>
  <c r="M246" i="121"/>
  <c r="L246" i="121"/>
  <c r="U245" i="121"/>
  <c r="R245" i="121"/>
  <c r="O245" i="121"/>
  <c r="N245" i="121"/>
  <c r="J245" i="121" s="1"/>
  <c r="K245" i="121"/>
  <c r="W243" i="121"/>
  <c r="W246" i="121" s="1"/>
  <c r="R243" i="121"/>
  <c r="O243" i="121"/>
  <c r="O246" i="121" s="1"/>
  <c r="K243" i="121"/>
  <c r="W241" i="121"/>
  <c r="V241" i="121"/>
  <c r="T241" i="121"/>
  <c r="S241" i="121"/>
  <c r="Q241" i="121"/>
  <c r="P241" i="121"/>
  <c r="M241" i="121"/>
  <c r="L241" i="121"/>
  <c r="U240" i="121"/>
  <c r="R240" i="121"/>
  <c r="O240" i="121"/>
  <c r="N240" i="121" s="1"/>
  <c r="J240" i="121" s="1"/>
  <c r="K240" i="121"/>
  <c r="W238" i="121"/>
  <c r="V238" i="121"/>
  <c r="U238" i="121" s="1"/>
  <c r="U241" i="121" s="1"/>
  <c r="R238" i="121"/>
  <c r="R241" i="121" s="1"/>
  <c r="O238" i="121"/>
  <c r="O241" i="121" s="1"/>
  <c r="N238" i="121"/>
  <c r="K238" i="121"/>
  <c r="K241" i="121" s="1"/>
  <c r="T236" i="121"/>
  <c r="S236" i="121"/>
  <c r="R236" i="121"/>
  <c r="Q236" i="121"/>
  <c r="P236" i="121"/>
  <c r="M236" i="121"/>
  <c r="L236" i="121"/>
  <c r="U235" i="121"/>
  <c r="R235" i="121"/>
  <c r="O235" i="121"/>
  <c r="N235" i="121"/>
  <c r="K235" i="121"/>
  <c r="J235" i="121" s="1"/>
  <c r="W233" i="121"/>
  <c r="V233" i="121" s="1"/>
  <c r="R233" i="121"/>
  <c r="O233" i="121"/>
  <c r="O236" i="121" s="1"/>
  <c r="K233" i="121"/>
  <c r="K236" i="121" s="1"/>
  <c r="W231" i="121"/>
  <c r="V231" i="121"/>
  <c r="T231" i="121"/>
  <c r="S231" i="121"/>
  <c r="Q231" i="121"/>
  <c r="P231" i="121"/>
  <c r="M231" i="121"/>
  <c r="L231" i="121"/>
  <c r="U230" i="121"/>
  <c r="U275" i="121" s="1"/>
  <c r="R230" i="121"/>
  <c r="O230" i="121"/>
  <c r="K230" i="121"/>
  <c r="W228" i="121"/>
  <c r="V228" i="121"/>
  <c r="U228" i="121"/>
  <c r="R228" i="121"/>
  <c r="O228" i="121"/>
  <c r="K228" i="121"/>
  <c r="K231" i="121" s="1"/>
  <c r="H224" i="121"/>
  <c r="G224" i="121"/>
  <c r="G282" i="121" s="1"/>
  <c r="T223" i="121"/>
  <c r="P223" i="121"/>
  <c r="H223" i="121"/>
  <c r="G223" i="121"/>
  <c r="W222" i="121"/>
  <c r="V222" i="121"/>
  <c r="T222" i="121"/>
  <c r="S222" i="121"/>
  <c r="S223" i="121" s="1"/>
  <c r="Q222" i="121"/>
  <c r="P222" i="121"/>
  <c r="O222" i="121"/>
  <c r="M222" i="121"/>
  <c r="M223" i="121" s="1"/>
  <c r="L222" i="121"/>
  <c r="L223" i="121" s="1"/>
  <c r="H222" i="121"/>
  <c r="G222" i="121"/>
  <c r="H221" i="121"/>
  <c r="H279" i="121" s="1"/>
  <c r="G221" i="121"/>
  <c r="G279" i="121" s="1"/>
  <c r="W220" i="121"/>
  <c r="W223" i="121" s="1"/>
  <c r="T220" i="121"/>
  <c r="S220" i="121"/>
  <c r="Q220" i="121"/>
  <c r="Q223" i="121" s="1"/>
  <c r="P220" i="121"/>
  <c r="M220" i="121"/>
  <c r="L220" i="121"/>
  <c r="W218" i="121"/>
  <c r="T218" i="121"/>
  <c r="S218" i="121"/>
  <c r="Q218" i="121"/>
  <c r="P218" i="121"/>
  <c r="M218" i="121"/>
  <c r="L218" i="121"/>
  <c r="U217" i="121"/>
  <c r="R217" i="121"/>
  <c r="O217" i="121"/>
  <c r="N217" i="121" s="1"/>
  <c r="J217" i="121" s="1"/>
  <c r="K217" i="121"/>
  <c r="W215" i="121"/>
  <c r="V215" i="121"/>
  <c r="V218" i="121" s="1"/>
  <c r="R215" i="121"/>
  <c r="R218" i="121" s="1"/>
  <c r="O215" i="121"/>
  <c r="K215" i="121"/>
  <c r="K218" i="121" s="1"/>
  <c r="H215" i="121"/>
  <c r="G215" i="121"/>
  <c r="W213" i="121"/>
  <c r="V213" i="121"/>
  <c r="T213" i="121"/>
  <c r="S213" i="121"/>
  <c r="Q213" i="121"/>
  <c r="P213" i="121"/>
  <c r="M213" i="121"/>
  <c r="L213" i="121"/>
  <c r="U212" i="121"/>
  <c r="R212" i="121"/>
  <c r="O212" i="121"/>
  <c r="N212" i="121" s="1"/>
  <c r="J212" i="121" s="1"/>
  <c r="K212" i="121"/>
  <c r="W210" i="121"/>
  <c r="V210" i="121"/>
  <c r="U210" i="121" s="1"/>
  <c r="U213" i="121" s="1"/>
  <c r="R210" i="121"/>
  <c r="R213" i="121" s="1"/>
  <c r="O210" i="121"/>
  <c r="N210" i="121" s="1"/>
  <c r="J210" i="121" s="1"/>
  <c r="K210" i="121"/>
  <c r="H210" i="121"/>
  <c r="G210" i="121"/>
  <c r="T208" i="121"/>
  <c r="S208" i="121"/>
  <c r="R208" i="121"/>
  <c r="Q208" i="121"/>
  <c r="P208" i="121"/>
  <c r="M208" i="121"/>
  <c r="L208" i="121"/>
  <c r="U207" i="121"/>
  <c r="R207" i="121"/>
  <c r="O207" i="121"/>
  <c r="N207" i="121"/>
  <c r="J207" i="121" s="1"/>
  <c r="K207" i="121"/>
  <c r="W205" i="121"/>
  <c r="W208" i="121" s="1"/>
  <c r="R205" i="121"/>
  <c r="O205" i="121"/>
  <c r="O208" i="121" s="1"/>
  <c r="K205" i="121"/>
  <c r="H205" i="121"/>
  <c r="G205" i="121"/>
  <c r="T203" i="121"/>
  <c r="S203" i="121"/>
  <c r="Q203" i="121"/>
  <c r="P203" i="121"/>
  <c r="M203" i="121"/>
  <c r="L203" i="121"/>
  <c r="K203" i="121"/>
  <c r="U202" i="121"/>
  <c r="R202" i="121"/>
  <c r="N202" i="121" s="1"/>
  <c r="O202" i="121"/>
  <c r="K202" i="121"/>
  <c r="J202" i="121"/>
  <c r="W200" i="121"/>
  <c r="W203" i="121" s="1"/>
  <c r="R200" i="121"/>
  <c r="O200" i="121"/>
  <c r="O203" i="121" s="1"/>
  <c r="K200" i="121"/>
  <c r="H200" i="121"/>
  <c r="G200" i="121"/>
  <c r="W198" i="121"/>
  <c r="V198" i="121"/>
  <c r="T198" i="121"/>
  <c r="S198" i="121"/>
  <c r="R198" i="121"/>
  <c r="Q198" i="121"/>
  <c r="P198" i="121"/>
  <c r="M198" i="121"/>
  <c r="L198" i="121"/>
  <c r="U197" i="121"/>
  <c r="U222" i="121" s="1"/>
  <c r="R197" i="121"/>
  <c r="N197" i="121" s="1"/>
  <c r="J197" i="121" s="1"/>
  <c r="O197" i="121"/>
  <c r="K197" i="121"/>
  <c r="W195" i="121"/>
  <c r="V195" i="121"/>
  <c r="U195" i="121"/>
  <c r="R195" i="121"/>
  <c r="O195" i="121"/>
  <c r="K195" i="121"/>
  <c r="K198" i="121" s="1"/>
  <c r="H195" i="121"/>
  <c r="G195" i="121"/>
  <c r="W193" i="121"/>
  <c r="V193" i="121"/>
  <c r="U193" i="121"/>
  <c r="T193" i="121"/>
  <c r="S193" i="121"/>
  <c r="Q193" i="121"/>
  <c r="P193" i="121"/>
  <c r="M193" i="121"/>
  <c r="L193" i="121"/>
  <c r="U192" i="121"/>
  <c r="R192" i="121"/>
  <c r="O192" i="121"/>
  <c r="N192" i="121" s="1"/>
  <c r="N222" i="121" s="1"/>
  <c r="K192" i="121"/>
  <c r="W190" i="121"/>
  <c r="V190" i="121"/>
  <c r="U190" i="121" s="1"/>
  <c r="R190" i="121"/>
  <c r="O190" i="121"/>
  <c r="O193" i="121" s="1"/>
  <c r="K190" i="121"/>
  <c r="K193" i="121" s="1"/>
  <c r="H190" i="121"/>
  <c r="G190" i="121"/>
  <c r="V188" i="121"/>
  <c r="U188" i="121"/>
  <c r="T188" i="121"/>
  <c r="S188" i="121"/>
  <c r="R188" i="121"/>
  <c r="Q188" i="121"/>
  <c r="P188" i="121"/>
  <c r="M188" i="121"/>
  <c r="L188" i="121"/>
  <c r="U187" i="121"/>
  <c r="R187" i="121"/>
  <c r="O187" i="121"/>
  <c r="N187" i="121"/>
  <c r="K187" i="121"/>
  <c r="J187" i="121"/>
  <c r="W185" i="121"/>
  <c r="W188" i="121" s="1"/>
  <c r="V185" i="121"/>
  <c r="U185" i="121" s="1"/>
  <c r="N185" i="121" s="1"/>
  <c r="N188" i="121" s="1"/>
  <c r="R185" i="121"/>
  <c r="O185" i="121"/>
  <c r="O188" i="121" s="1"/>
  <c r="K185" i="121"/>
  <c r="J185" i="121"/>
  <c r="H185" i="121"/>
  <c r="H220" i="121" s="1"/>
  <c r="G185" i="121"/>
  <c r="G220" i="121" s="1"/>
  <c r="H181" i="121"/>
  <c r="H282" i="121" s="1"/>
  <c r="G181" i="121"/>
  <c r="S180" i="121"/>
  <c r="M180" i="121"/>
  <c r="H180" i="121"/>
  <c r="H281" i="121" s="1"/>
  <c r="G180" i="121"/>
  <c r="W179" i="121"/>
  <c r="W280" i="121" s="1"/>
  <c r="V179" i="121"/>
  <c r="V280" i="121" s="1"/>
  <c r="T179" i="121"/>
  <c r="T280" i="121" s="1"/>
  <c r="T281" i="121" s="1"/>
  <c r="S179" i="121"/>
  <c r="S280" i="121" s="1"/>
  <c r="Q179" i="121"/>
  <c r="Q280" i="121" s="1"/>
  <c r="P179" i="121"/>
  <c r="P280" i="121" s="1"/>
  <c r="M179" i="121"/>
  <c r="M280" i="121" s="1"/>
  <c r="L179" i="121"/>
  <c r="L280" i="121" s="1"/>
  <c r="L281" i="121" s="1"/>
  <c r="H179" i="121"/>
  <c r="H280" i="121" s="1"/>
  <c r="G179" i="121"/>
  <c r="H178" i="121"/>
  <c r="G178" i="121"/>
  <c r="T177" i="121"/>
  <c r="S177" i="121"/>
  <c r="Q177" i="121"/>
  <c r="Q278" i="121" s="1"/>
  <c r="Q281" i="121" s="1"/>
  <c r="P177" i="121"/>
  <c r="M177" i="121"/>
  <c r="M278" i="121" s="1"/>
  <c r="L177" i="121"/>
  <c r="L278" i="121" s="1"/>
  <c r="W175" i="121"/>
  <c r="V175" i="121"/>
  <c r="T175" i="121"/>
  <c r="S175" i="121"/>
  <c r="Q175" i="121"/>
  <c r="P175" i="121"/>
  <c r="O175" i="121"/>
  <c r="M175" i="121"/>
  <c r="L175" i="121"/>
  <c r="U174" i="121"/>
  <c r="R174" i="121"/>
  <c r="O174" i="121"/>
  <c r="N174" i="121"/>
  <c r="K174" i="121"/>
  <c r="W172" i="121"/>
  <c r="V172" i="121"/>
  <c r="U172" i="121" s="1"/>
  <c r="U175" i="121" s="1"/>
  <c r="R172" i="121"/>
  <c r="R175" i="121" s="1"/>
  <c r="O172" i="121"/>
  <c r="K172" i="121"/>
  <c r="K175" i="121" s="1"/>
  <c r="H172" i="121"/>
  <c r="G172" i="121"/>
  <c r="V170" i="121"/>
  <c r="T170" i="121"/>
  <c r="S170" i="121"/>
  <c r="R170" i="121"/>
  <c r="Q170" i="121"/>
  <c r="P170" i="121"/>
  <c r="M170" i="121"/>
  <c r="L170" i="121"/>
  <c r="U169" i="121"/>
  <c r="R169" i="121"/>
  <c r="N169" i="121" s="1"/>
  <c r="O169" i="121"/>
  <c r="K169" i="121"/>
  <c r="J169" i="121" s="1"/>
  <c r="W167" i="121"/>
  <c r="W170" i="121" s="1"/>
  <c r="V167" i="121"/>
  <c r="U167" i="121" s="1"/>
  <c r="U170" i="121" s="1"/>
  <c r="R167" i="121"/>
  <c r="N167" i="121" s="1"/>
  <c r="N170" i="121" s="1"/>
  <c r="O167" i="121"/>
  <c r="O170" i="121" s="1"/>
  <c r="K167" i="121"/>
  <c r="H167" i="121"/>
  <c r="G167" i="121"/>
  <c r="T165" i="121"/>
  <c r="S165" i="121"/>
  <c r="Q165" i="121"/>
  <c r="P165" i="121"/>
  <c r="M165" i="121"/>
  <c r="L165" i="121"/>
  <c r="K165" i="121"/>
  <c r="U164" i="121"/>
  <c r="R164" i="121"/>
  <c r="N164" i="121" s="1"/>
  <c r="J164" i="121" s="1"/>
  <c r="O164" i="121"/>
  <c r="K164" i="121"/>
  <c r="W162" i="121"/>
  <c r="W165" i="121" s="1"/>
  <c r="R162" i="121"/>
  <c r="R165" i="121" s="1"/>
  <c r="O162" i="121"/>
  <c r="O165" i="121" s="1"/>
  <c r="K162" i="121"/>
  <c r="H162" i="121"/>
  <c r="G162" i="121"/>
  <c r="W160" i="121"/>
  <c r="V160" i="121"/>
  <c r="T160" i="121"/>
  <c r="S160" i="121"/>
  <c r="Q160" i="121"/>
  <c r="P160" i="121"/>
  <c r="O160" i="121"/>
  <c r="M160" i="121"/>
  <c r="L160" i="121"/>
  <c r="U159" i="121"/>
  <c r="R159" i="121"/>
  <c r="O159" i="121"/>
  <c r="N159" i="121"/>
  <c r="J159" i="121" s="1"/>
  <c r="K159" i="121"/>
  <c r="W157" i="121"/>
  <c r="V157" i="121"/>
  <c r="U157" i="121" s="1"/>
  <c r="U160" i="121" s="1"/>
  <c r="R157" i="121"/>
  <c r="R160" i="121" s="1"/>
  <c r="O157" i="121"/>
  <c r="N157" i="121" s="1"/>
  <c r="K157" i="121"/>
  <c r="K160" i="121" s="1"/>
  <c r="H157" i="121"/>
  <c r="G157" i="121"/>
  <c r="U155" i="121"/>
  <c r="T155" i="121"/>
  <c r="S155" i="121"/>
  <c r="R155" i="121"/>
  <c r="Q155" i="121"/>
  <c r="P155" i="121"/>
  <c r="M155" i="121"/>
  <c r="L155" i="121"/>
  <c r="U154" i="121"/>
  <c r="R154" i="121"/>
  <c r="O154" i="121"/>
  <c r="N154" i="121"/>
  <c r="K154" i="121"/>
  <c r="K155" i="121" s="1"/>
  <c r="J154" i="121"/>
  <c r="W152" i="121"/>
  <c r="W155" i="121" s="1"/>
  <c r="V152" i="121"/>
  <c r="U152" i="121" s="1"/>
  <c r="R152" i="121"/>
  <c r="O152" i="121"/>
  <c r="O155" i="121" s="1"/>
  <c r="K152" i="121"/>
  <c r="H152" i="121"/>
  <c r="G152" i="121"/>
  <c r="T150" i="121"/>
  <c r="S150" i="121"/>
  <c r="Q150" i="121"/>
  <c r="P150" i="121"/>
  <c r="M150" i="121"/>
  <c r="L150" i="121"/>
  <c r="U149" i="121"/>
  <c r="R149" i="121"/>
  <c r="N149" i="121" s="1"/>
  <c r="O149" i="121"/>
  <c r="K149" i="121"/>
  <c r="J149" i="121" s="1"/>
  <c r="W147" i="121"/>
  <c r="W150" i="121" s="1"/>
  <c r="R147" i="121"/>
  <c r="O147" i="121"/>
  <c r="O150" i="121" s="1"/>
  <c r="K147" i="121"/>
  <c r="H147" i="121"/>
  <c r="G147" i="121"/>
  <c r="V145" i="121"/>
  <c r="T145" i="121"/>
  <c r="S145" i="121"/>
  <c r="R145" i="121"/>
  <c r="Q145" i="121"/>
  <c r="P145" i="121"/>
  <c r="M145" i="121"/>
  <c r="L145" i="121"/>
  <c r="K145" i="121"/>
  <c r="U144" i="121"/>
  <c r="N144" i="121" s="1"/>
  <c r="J144" i="121" s="1"/>
  <c r="R144" i="121"/>
  <c r="O144" i="121"/>
  <c r="K144" i="121"/>
  <c r="W142" i="121"/>
  <c r="W145" i="121" s="1"/>
  <c r="V142" i="121"/>
  <c r="U142" i="121" s="1"/>
  <c r="R142" i="121"/>
  <c r="O142" i="121"/>
  <c r="O145" i="121" s="1"/>
  <c r="K142" i="121"/>
  <c r="H142" i="121"/>
  <c r="G142" i="121"/>
  <c r="W140" i="121"/>
  <c r="T140" i="121"/>
  <c r="S140" i="121"/>
  <c r="R140" i="121"/>
  <c r="Q140" i="121"/>
  <c r="P140" i="121"/>
  <c r="M140" i="121"/>
  <c r="L140" i="121"/>
  <c r="U139" i="121"/>
  <c r="R139" i="121"/>
  <c r="O139" i="121"/>
  <c r="N139" i="121" s="1"/>
  <c r="K139" i="121"/>
  <c r="W137" i="121"/>
  <c r="V137" i="121"/>
  <c r="V140" i="121" s="1"/>
  <c r="R137" i="121"/>
  <c r="O137" i="121"/>
  <c r="O140" i="121" s="1"/>
  <c r="K137" i="121"/>
  <c r="K140" i="121" s="1"/>
  <c r="H137" i="121"/>
  <c r="G137" i="121"/>
  <c r="W135" i="121"/>
  <c r="T135" i="121"/>
  <c r="S135" i="121"/>
  <c r="Q135" i="121"/>
  <c r="P135" i="121"/>
  <c r="M135" i="121"/>
  <c r="L135" i="121"/>
  <c r="U134" i="121"/>
  <c r="R134" i="121"/>
  <c r="O134" i="121"/>
  <c r="K134" i="121"/>
  <c r="W132" i="121"/>
  <c r="V132" i="121" s="1"/>
  <c r="R132" i="121"/>
  <c r="O132" i="121"/>
  <c r="K132" i="121"/>
  <c r="K135" i="121" s="1"/>
  <c r="H132" i="121"/>
  <c r="G132" i="121"/>
  <c r="T130" i="121"/>
  <c r="S130" i="121"/>
  <c r="Q130" i="121"/>
  <c r="P130" i="121"/>
  <c r="M130" i="121"/>
  <c r="L130" i="121"/>
  <c r="K130" i="121"/>
  <c r="U129" i="121"/>
  <c r="R129" i="121"/>
  <c r="N129" i="121" s="1"/>
  <c r="J129" i="121" s="1"/>
  <c r="O129" i="121"/>
  <c r="K129" i="121"/>
  <c r="W127" i="121"/>
  <c r="W130" i="121" s="1"/>
  <c r="R127" i="121"/>
  <c r="R130" i="121" s="1"/>
  <c r="O127" i="121"/>
  <c r="O130" i="121" s="1"/>
  <c r="K127" i="121"/>
  <c r="H127" i="121"/>
  <c r="G127" i="121"/>
  <c r="W125" i="121"/>
  <c r="T125" i="121"/>
  <c r="S125" i="121"/>
  <c r="Q125" i="121"/>
  <c r="P125" i="121"/>
  <c r="M125" i="121"/>
  <c r="L125" i="121"/>
  <c r="K125" i="121"/>
  <c r="U124" i="121"/>
  <c r="R124" i="121"/>
  <c r="O124" i="121"/>
  <c r="N124" i="121" s="1"/>
  <c r="J124" i="121" s="1"/>
  <c r="K124" i="121"/>
  <c r="W122" i="121"/>
  <c r="V122" i="121" s="1"/>
  <c r="R122" i="121"/>
  <c r="O122" i="121"/>
  <c r="O125" i="121" s="1"/>
  <c r="K122" i="121"/>
  <c r="H122" i="121"/>
  <c r="G122" i="121"/>
  <c r="W120" i="121"/>
  <c r="V120" i="121"/>
  <c r="T120" i="121"/>
  <c r="S120" i="121"/>
  <c r="R120" i="121"/>
  <c r="Q120" i="121"/>
  <c r="P120" i="121"/>
  <c r="O120" i="121"/>
  <c r="M120" i="121"/>
  <c r="L120" i="121"/>
  <c r="U119" i="121"/>
  <c r="N119" i="121" s="1"/>
  <c r="N120" i="121" s="1"/>
  <c r="R119" i="121"/>
  <c r="O119" i="121"/>
  <c r="K119" i="121"/>
  <c r="J119" i="121"/>
  <c r="W117" i="121"/>
  <c r="V117" i="121"/>
  <c r="U117" i="121" s="1"/>
  <c r="N117" i="121" s="1"/>
  <c r="R117" i="121"/>
  <c r="O117" i="121"/>
  <c r="K117" i="121"/>
  <c r="K120" i="121" s="1"/>
  <c r="H117" i="121"/>
  <c r="G117" i="121"/>
  <c r="T115" i="121"/>
  <c r="S115" i="121"/>
  <c r="R115" i="121"/>
  <c r="Q115" i="121"/>
  <c r="P115" i="121"/>
  <c r="M115" i="121"/>
  <c r="L115" i="121"/>
  <c r="K115" i="121"/>
  <c r="U114" i="121"/>
  <c r="R114" i="121"/>
  <c r="O114" i="121"/>
  <c r="N114" i="121" s="1"/>
  <c r="J114" i="121" s="1"/>
  <c r="K114" i="121"/>
  <c r="W112" i="121"/>
  <c r="W115" i="121" s="1"/>
  <c r="R112" i="121"/>
  <c r="O112" i="121"/>
  <c r="O115" i="121" s="1"/>
  <c r="K112" i="121"/>
  <c r="H112" i="121"/>
  <c r="G112" i="121"/>
  <c r="T110" i="121"/>
  <c r="S110" i="121"/>
  <c r="R110" i="121"/>
  <c r="Q110" i="121"/>
  <c r="P110" i="121"/>
  <c r="M110" i="121"/>
  <c r="L110" i="121"/>
  <c r="U109" i="121"/>
  <c r="R109" i="121"/>
  <c r="O109" i="121"/>
  <c r="N109" i="121"/>
  <c r="K109" i="121"/>
  <c r="W107" i="121"/>
  <c r="W110" i="121" s="1"/>
  <c r="R107" i="121"/>
  <c r="O107" i="121"/>
  <c r="O110" i="121" s="1"/>
  <c r="K107" i="121"/>
  <c r="H107" i="121"/>
  <c r="G107" i="121"/>
  <c r="T105" i="121"/>
  <c r="S105" i="121"/>
  <c r="R105" i="121"/>
  <c r="Q105" i="121"/>
  <c r="P105" i="121"/>
  <c r="M105" i="121"/>
  <c r="L105" i="121"/>
  <c r="K105" i="121"/>
  <c r="U104" i="121"/>
  <c r="R104" i="121"/>
  <c r="O104" i="121"/>
  <c r="N104" i="121" s="1"/>
  <c r="J104" i="121" s="1"/>
  <c r="K104" i="121"/>
  <c r="W102" i="121"/>
  <c r="W105" i="121" s="1"/>
  <c r="V102" i="121"/>
  <c r="R102" i="121"/>
  <c r="O102" i="121"/>
  <c r="O105" i="121" s="1"/>
  <c r="K102" i="121"/>
  <c r="H102" i="121"/>
  <c r="G102" i="121"/>
  <c r="W100" i="121"/>
  <c r="V100" i="121"/>
  <c r="U100" i="121"/>
  <c r="T100" i="121"/>
  <c r="S100" i="121"/>
  <c r="Q100" i="121"/>
  <c r="P100" i="121"/>
  <c r="M100" i="121"/>
  <c r="L100" i="121"/>
  <c r="U99" i="121"/>
  <c r="R99" i="121"/>
  <c r="O99" i="121"/>
  <c r="K99" i="121"/>
  <c r="W97" i="121"/>
  <c r="V97" i="121"/>
  <c r="U97" i="121"/>
  <c r="R97" i="121"/>
  <c r="O97" i="121"/>
  <c r="K97" i="121"/>
  <c r="K100" i="121" s="1"/>
  <c r="H97" i="121"/>
  <c r="G97" i="121"/>
  <c r="V95" i="121"/>
  <c r="U95" i="121"/>
  <c r="T95" i="121"/>
  <c r="S95" i="121"/>
  <c r="R95" i="121"/>
  <c r="Q95" i="121"/>
  <c r="P95" i="121"/>
  <c r="M95" i="121"/>
  <c r="L95" i="121"/>
  <c r="U94" i="121"/>
  <c r="R94" i="121"/>
  <c r="O94" i="121"/>
  <c r="O95" i="121" s="1"/>
  <c r="N94" i="121"/>
  <c r="K94" i="121"/>
  <c r="W92" i="121"/>
  <c r="V92" i="121" s="1"/>
  <c r="U92" i="121" s="1"/>
  <c r="N92" i="121" s="1"/>
  <c r="N95" i="121" s="1"/>
  <c r="R92" i="121"/>
  <c r="O92" i="121"/>
  <c r="K92" i="121"/>
  <c r="K95" i="121" s="1"/>
  <c r="H92" i="121"/>
  <c r="G92" i="121"/>
  <c r="V90" i="121"/>
  <c r="T90" i="121"/>
  <c r="S90" i="121"/>
  <c r="Q90" i="121"/>
  <c r="P90" i="121"/>
  <c r="M90" i="121"/>
  <c r="L90" i="121"/>
  <c r="U89" i="121"/>
  <c r="R89" i="121"/>
  <c r="O89" i="121"/>
  <c r="K89" i="121"/>
  <c r="W87" i="121"/>
  <c r="W90" i="121" s="1"/>
  <c r="V87" i="121"/>
  <c r="U87" i="121"/>
  <c r="U90" i="121" s="1"/>
  <c r="R87" i="121"/>
  <c r="N87" i="121" s="1"/>
  <c r="O87" i="121"/>
  <c r="O90" i="121" s="1"/>
  <c r="K87" i="121"/>
  <c r="H87" i="121"/>
  <c r="G87" i="121"/>
  <c r="W85" i="121"/>
  <c r="T85" i="121"/>
  <c r="S85" i="121"/>
  <c r="R85" i="121"/>
  <c r="Q85" i="121"/>
  <c r="P85" i="121"/>
  <c r="M85" i="121"/>
  <c r="L85" i="121"/>
  <c r="K85" i="121"/>
  <c r="U84" i="121"/>
  <c r="R84" i="121"/>
  <c r="O84" i="121"/>
  <c r="N84" i="121"/>
  <c r="J84" i="121" s="1"/>
  <c r="K84" i="121"/>
  <c r="W82" i="121"/>
  <c r="V82" i="121" s="1"/>
  <c r="U82" i="121" s="1"/>
  <c r="U85" i="121" s="1"/>
  <c r="R82" i="121"/>
  <c r="O82" i="121"/>
  <c r="O85" i="121" s="1"/>
  <c r="K82" i="121"/>
  <c r="H82" i="121"/>
  <c r="G82" i="121"/>
  <c r="W80" i="121"/>
  <c r="T80" i="121"/>
  <c r="S80" i="121"/>
  <c r="Q80" i="121"/>
  <c r="P80" i="121"/>
  <c r="M80" i="121"/>
  <c r="L80" i="121"/>
  <c r="U79" i="121"/>
  <c r="R79" i="121"/>
  <c r="O79" i="121"/>
  <c r="N79" i="121" s="1"/>
  <c r="J79" i="121" s="1"/>
  <c r="K79" i="121"/>
  <c r="W77" i="121"/>
  <c r="V77" i="121"/>
  <c r="R77" i="121"/>
  <c r="R80" i="121" s="1"/>
  <c r="O77" i="121"/>
  <c r="O80" i="121" s="1"/>
  <c r="K77" i="121"/>
  <c r="K80" i="121" s="1"/>
  <c r="H77" i="121"/>
  <c r="G77" i="121"/>
  <c r="W75" i="121"/>
  <c r="V75" i="121"/>
  <c r="U75" i="121"/>
  <c r="T75" i="121"/>
  <c r="S75" i="121"/>
  <c r="Q75" i="121"/>
  <c r="P75" i="121"/>
  <c r="M75" i="121"/>
  <c r="L75" i="121"/>
  <c r="U74" i="121"/>
  <c r="R74" i="121"/>
  <c r="N74" i="121" s="1"/>
  <c r="O74" i="121"/>
  <c r="K74" i="121"/>
  <c r="J74" i="121" s="1"/>
  <c r="W72" i="121"/>
  <c r="V72" i="121"/>
  <c r="U72" i="121" s="1"/>
  <c r="R72" i="121"/>
  <c r="R75" i="121" s="1"/>
  <c r="O72" i="121"/>
  <c r="K72" i="121"/>
  <c r="H72" i="121"/>
  <c r="G72" i="121"/>
  <c r="T70" i="121"/>
  <c r="S70" i="121"/>
  <c r="R70" i="121"/>
  <c r="Q70" i="121"/>
  <c r="P70" i="121"/>
  <c r="M70" i="121"/>
  <c r="L70" i="121"/>
  <c r="K70" i="121"/>
  <c r="U69" i="121"/>
  <c r="R69" i="121"/>
  <c r="N69" i="121" s="1"/>
  <c r="J69" i="121" s="1"/>
  <c r="O69" i="121"/>
  <c r="K69" i="121"/>
  <c r="W67" i="121"/>
  <c r="R67" i="121"/>
  <c r="O67" i="121"/>
  <c r="O70" i="121" s="1"/>
  <c r="K67" i="121"/>
  <c r="H67" i="121"/>
  <c r="G67" i="121"/>
  <c r="W65" i="121"/>
  <c r="V65" i="121"/>
  <c r="T65" i="121"/>
  <c r="S65" i="121"/>
  <c r="Q65" i="121"/>
  <c r="P65" i="121"/>
  <c r="M65" i="121"/>
  <c r="L65" i="121"/>
  <c r="K65" i="121"/>
  <c r="U64" i="121"/>
  <c r="R64" i="121"/>
  <c r="O64" i="121"/>
  <c r="K64" i="121"/>
  <c r="W62" i="121"/>
  <c r="V62" i="121"/>
  <c r="U62" i="121"/>
  <c r="U65" i="121" s="1"/>
  <c r="R62" i="121"/>
  <c r="O62" i="121"/>
  <c r="O65" i="121" s="1"/>
  <c r="K62" i="121"/>
  <c r="H62" i="121"/>
  <c r="G62" i="121"/>
  <c r="W60" i="121"/>
  <c r="V60" i="121"/>
  <c r="T60" i="121"/>
  <c r="S60" i="121"/>
  <c r="R60" i="121"/>
  <c r="Q60" i="121"/>
  <c r="P60" i="121"/>
  <c r="O60" i="121"/>
  <c r="M60" i="121"/>
  <c r="L60" i="121"/>
  <c r="U59" i="121"/>
  <c r="R59" i="121"/>
  <c r="O59" i="121"/>
  <c r="N59" i="121"/>
  <c r="K59" i="121"/>
  <c r="J59" i="121" s="1"/>
  <c r="W57" i="121"/>
  <c r="V57" i="121"/>
  <c r="U57" i="121" s="1"/>
  <c r="U60" i="121" s="1"/>
  <c r="R57" i="121"/>
  <c r="O57" i="121"/>
  <c r="K57" i="121"/>
  <c r="H57" i="121"/>
  <c r="G57" i="121"/>
  <c r="V55" i="121"/>
  <c r="T55" i="121"/>
  <c r="S55" i="121"/>
  <c r="Q55" i="121"/>
  <c r="P55" i="121"/>
  <c r="M55" i="121"/>
  <c r="L55" i="121"/>
  <c r="K55" i="121"/>
  <c r="U54" i="121"/>
  <c r="R54" i="121"/>
  <c r="R55" i="121" s="1"/>
  <c r="O54" i="121"/>
  <c r="N54" i="121" s="1"/>
  <c r="J54" i="121" s="1"/>
  <c r="K54" i="121"/>
  <c r="W52" i="121"/>
  <c r="R52" i="121"/>
  <c r="O52" i="121"/>
  <c r="O55" i="121" s="1"/>
  <c r="K52" i="121"/>
  <c r="H52" i="121"/>
  <c r="G52" i="121"/>
  <c r="T50" i="121"/>
  <c r="S50" i="121"/>
  <c r="Q50" i="121"/>
  <c r="P50" i="121"/>
  <c r="O50" i="121"/>
  <c r="M50" i="121"/>
  <c r="L50" i="121"/>
  <c r="U49" i="121"/>
  <c r="R49" i="121"/>
  <c r="O49" i="121"/>
  <c r="N49" i="121" s="1"/>
  <c r="K49" i="121"/>
  <c r="W47" i="121"/>
  <c r="W50" i="121" s="1"/>
  <c r="R47" i="121"/>
  <c r="R50" i="121" s="1"/>
  <c r="O47" i="121"/>
  <c r="K47" i="121"/>
  <c r="K50" i="121" s="1"/>
  <c r="H47" i="121"/>
  <c r="G47" i="121"/>
  <c r="W45" i="121"/>
  <c r="T45" i="121"/>
  <c r="S45" i="121"/>
  <c r="R45" i="121"/>
  <c r="Q45" i="121"/>
  <c r="P45" i="121"/>
  <c r="M45" i="121"/>
  <c r="L45" i="121"/>
  <c r="K45" i="121"/>
  <c r="U44" i="121"/>
  <c r="R44" i="121"/>
  <c r="O44" i="121"/>
  <c r="N44" i="121" s="1"/>
  <c r="K44" i="121"/>
  <c r="W42" i="121"/>
  <c r="V42" i="121"/>
  <c r="V45" i="121" s="1"/>
  <c r="R42" i="121"/>
  <c r="O42" i="121"/>
  <c r="O45" i="121" s="1"/>
  <c r="K42" i="121"/>
  <c r="H42" i="121"/>
  <c r="G42" i="121"/>
  <c r="W40" i="121"/>
  <c r="V40" i="121"/>
  <c r="T40" i="121"/>
  <c r="S40" i="121"/>
  <c r="Q40" i="121"/>
  <c r="P40" i="121"/>
  <c r="O40" i="121"/>
  <c r="N40" i="121"/>
  <c r="M40" i="121"/>
  <c r="L40" i="121"/>
  <c r="U39" i="121"/>
  <c r="N39" i="121" s="1"/>
  <c r="R39" i="121"/>
  <c r="O39" i="121"/>
  <c r="K39" i="121"/>
  <c r="J39" i="121" s="1"/>
  <c r="W37" i="121"/>
  <c r="V37" i="121" s="1"/>
  <c r="U37" i="121"/>
  <c r="U40" i="121" s="1"/>
  <c r="R37" i="121"/>
  <c r="R40" i="121" s="1"/>
  <c r="O37" i="121"/>
  <c r="N37" i="121" s="1"/>
  <c r="K37" i="121"/>
  <c r="J37" i="121"/>
  <c r="H37" i="121"/>
  <c r="G37" i="121"/>
  <c r="W35" i="121"/>
  <c r="T35" i="121"/>
  <c r="S35" i="121"/>
  <c r="R35" i="121"/>
  <c r="Q35" i="121"/>
  <c r="P35" i="121"/>
  <c r="M35" i="121"/>
  <c r="L35" i="121"/>
  <c r="K35" i="121"/>
  <c r="U34" i="121"/>
  <c r="R34" i="121"/>
  <c r="O34" i="121"/>
  <c r="N34" i="121" s="1"/>
  <c r="K34" i="121"/>
  <c r="W32" i="121"/>
  <c r="V32" i="121"/>
  <c r="V35" i="121" s="1"/>
  <c r="R32" i="121"/>
  <c r="O32" i="121"/>
  <c r="K32" i="121"/>
  <c r="H32" i="121"/>
  <c r="G32" i="121"/>
  <c r="W30" i="121"/>
  <c r="T30" i="121"/>
  <c r="S30" i="121"/>
  <c r="Q30" i="121"/>
  <c r="P30" i="121"/>
  <c r="O30" i="121"/>
  <c r="M30" i="121"/>
  <c r="L30" i="121"/>
  <c r="K30" i="121"/>
  <c r="U29" i="121"/>
  <c r="R29" i="121"/>
  <c r="O29" i="121"/>
  <c r="N29" i="121" s="1"/>
  <c r="K29" i="121"/>
  <c r="J29" i="121"/>
  <c r="W27" i="121"/>
  <c r="V27" i="121"/>
  <c r="R27" i="121"/>
  <c r="R30" i="121" s="1"/>
  <c r="O27" i="121"/>
  <c r="K27" i="121"/>
  <c r="H27" i="121"/>
  <c r="G27" i="121"/>
  <c r="W25" i="121"/>
  <c r="V25" i="121"/>
  <c r="T25" i="121"/>
  <c r="S25" i="121"/>
  <c r="Q25" i="121"/>
  <c r="P25" i="121"/>
  <c r="O25" i="121"/>
  <c r="M25" i="121"/>
  <c r="L25" i="121"/>
  <c r="U24" i="121"/>
  <c r="R24" i="121"/>
  <c r="O24" i="121"/>
  <c r="K24" i="121"/>
  <c r="W22" i="121"/>
  <c r="V22" i="121"/>
  <c r="U22" i="121"/>
  <c r="R22" i="121"/>
  <c r="R25" i="121" s="1"/>
  <c r="O22" i="121"/>
  <c r="K22" i="121"/>
  <c r="K25" i="121" s="1"/>
  <c r="H22" i="121"/>
  <c r="G22" i="121"/>
  <c r="T20" i="121"/>
  <c r="S20" i="121"/>
  <c r="Q20" i="121"/>
  <c r="P20" i="121"/>
  <c r="M20" i="121"/>
  <c r="L20" i="121"/>
  <c r="K20" i="121"/>
  <c r="U19" i="121"/>
  <c r="R19" i="121"/>
  <c r="R179" i="121" s="1"/>
  <c r="O19" i="121"/>
  <c r="N19" i="121" s="1"/>
  <c r="K19" i="121"/>
  <c r="W17" i="121"/>
  <c r="R17" i="121"/>
  <c r="R20" i="121" s="1"/>
  <c r="O17" i="121"/>
  <c r="O20" i="121" s="1"/>
  <c r="K17" i="121"/>
  <c r="H17" i="121"/>
  <c r="G17" i="121"/>
  <c r="G84" i="120"/>
  <c r="F84" i="120"/>
  <c r="G81" i="120"/>
  <c r="F81" i="120"/>
  <c r="G78" i="120"/>
  <c r="F78" i="120"/>
  <c r="G75" i="120"/>
  <c r="F75" i="120"/>
  <c r="G72" i="120"/>
  <c r="F72" i="120"/>
  <c r="G69" i="120"/>
  <c r="F69" i="120"/>
  <c r="G66" i="120"/>
  <c r="F66" i="120"/>
  <c r="G63" i="120"/>
  <c r="F63" i="120"/>
  <c r="G60" i="120"/>
  <c r="F60" i="120"/>
  <c r="G57" i="120"/>
  <c r="F57" i="120"/>
  <c r="G54" i="120"/>
  <c r="F54" i="120"/>
  <c r="G51" i="120"/>
  <c r="F51" i="120"/>
  <c r="G48" i="120"/>
  <c r="F48" i="120"/>
  <c r="G45" i="120"/>
  <c r="F45" i="120"/>
  <c r="G42" i="120"/>
  <c r="F42" i="120"/>
  <c r="G39" i="120"/>
  <c r="F39" i="120"/>
  <c r="G36" i="120"/>
  <c r="F36" i="120"/>
  <c r="G33" i="120"/>
  <c r="F33" i="120"/>
  <c r="G30" i="120"/>
  <c r="F30" i="120"/>
  <c r="G27" i="120"/>
  <c r="F27" i="120"/>
  <c r="G24" i="120"/>
  <c r="F24" i="120"/>
  <c r="G21" i="120"/>
  <c r="F21" i="120"/>
  <c r="G18" i="120"/>
  <c r="F18" i="120"/>
  <c r="G15" i="120"/>
  <c r="G11" i="120" s="1"/>
  <c r="F15" i="120"/>
  <c r="F11" i="120" s="1"/>
  <c r="G10" i="120"/>
  <c r="F10" i="120"/>
  <c r="G9" i="120"/>
  <c r="F9" i="120"/>
  <c r="G41" i="119"/>
  <c r="F41" i="119"/>
  <c r="G38" i="119"/>
  <c r="F38" i="119"/>
  <c r="G35" i="119"/>
  <c r="F35" i="119"/>
  <c r="G32" i="119"/>
  <c r="F32" i="119"/>
  <c r="G29" i="119"/>
  <c r="F29" i="119"/>
  <c r="G26" i="119"/>
  <c r="F26" i="119"/>
  <c r="G23" i="119"/>
  <c r="F23" i="119"/>
  <c r="G20" i="119"/>
  <c r="F20" i="119"/>
  <c r="G17" i="119"/>
  <c r="F17" i="119"/>
  <c r="F11" i="119" s="1"/>
  <c r="G14" i="119"/>
  <c r="G11" i="119" s="1"/>
  <c r="F14" i="119"/>
  <c r="G10" i="119"/>
  <c r="F10" i="119"/>
  <c r="G9" i="119"/>
  <c r="F9" i="119"/>
  <c r="N583" i="118"/>
  <c r="M583" i="118"/>
  <c r="L583" i="118" s="1"/>
  <c r="K583" i="118"/>
  <c r="J583" i="118"/>
  <c r="I583" i="118" s="1"/>
  <c r="H583" i="118" s="1"/>
  <c r="L582" i="118"/>
  <c r="H582" i="118" s="1"/>
  <c r="I582" i="118"/>
  <c r="L581" i="118"/>
  <c r="I581" i="118"/>
  <c r="N580" i="118"/>
  <c r="M580" i="118"/>
  <c r="L580" i="118"/>
  <c r="K580" i="118"/>
  <c r="I580" i="118" s="1"/>
  <c r="J580" i="118"/>
  <c r="L579" i="118"/>
  <c r="I579" i="118"/>
  <c r="H579" i="118"/>
  <c r="L578" i="118"/>
  <c r="I578" i="118"/>
  <c r="H578" i="118"/>
  <c r="N577" i="118"/>
  <c r="M577" i="118"/>
  <c r="L577" i="118" s="1"/>
  <c r="K577" i="118"/>
  <c r="J577" i="118"/>
  <c r="I577" i="118"/>
  <c r="H577" i="118" s="1"/>
  <c r="L576" i="118"/>
  <c r="I576" i="118"/>
  <c r="H576" i="118" s="1"/>
  <c r="L575" i="118"/>
  <c r="I575" i="118"/>
  <c r="H575" i="118"/>
  <c r="N574" i="118"/>
  <c r="M574" i="118"/>
  <c r="L574" i="118" s="1"/>
  <c r="K574" i="118"/>
  <c r="J574" i="118"/>
  <c r="I574" i="118" s="1"/>
  <c r="L573" i="118"/>
  <c r="I573" i="118"/>
  <c r="H573" i="118"/>
  <c r="L572" i="118"/>
  <c r="I572" i="118"/>
  <c r="H572" i="118" s="1"/>
  <c r="N571" i="118"/>
  <c r="M571" i="118"/>
  <c r="L571" i="118"/>
  <c r="K571" i="118"/>
  <c r="J571" i="118"/>
  <c r="I571" i="118"/>
  <c r="L570" i="118"/>
  <c r="I570" i="118"/>
  <c r="H570" i="118" s="1"/>
  <c r="L569" i="118"/>
  <c r="I569" i="118"/>
  <c r="H569" i="118" s="1"/>
  <c r="N568" i="118"/>
  <c r="M568" i="118"/>
  <c r="L568" i="118" s="1"/>
  <c r="K568" i="118"/>
  <c r="J568" i="118"/>
  <c r="I568" i="118"/>
  <c r="H568" i="118"/>
  <c r="L567" i="118"/>
  <c r="H567" i="118" s="1"/>
  <c r="I567" i="118"/>
  <c r="L566" i="118"/>
  <c r="I566" i="118"/>
  <c r="H566" i="118" s="1"/>
  <c r="N565" i="118"/>
  <c r="M565" i="118"/>
  <c r="L565" i="118" s="1"/>
  <c r="K565" i="118"/>
  <c r="J565" i="118"/>
  <c r="L564" i="118"/>
  <c r="I564" i="118"/>
  <c r="H564" i="118" s="1"/>
  <c r="L563" i="118"/>
  <c r="H563" i="118" s="1"/>
  <c r="I563" i="118"/>
  <c r="N562" i="118"/>
  <c r="M562" i="118"/>
  <c r="L562" i="118" s="1"/>
  <c r="K562" i="118"/>
  <c r="J562" i="118"/>
  <c r="I562" i="118" s="1"/>
  <c r="H562" i="118" s="1"/>
  <c r="L561" i="118"/>
  <c r="I561" i="118"/>
  <c r="L560" i="118"/>
  <c r="I560" i="118"/>
  <c r="H560" i="118"/>
  <c r="N559" i="118"/>
  <c r="M559" i="118"/>
  <c r="L559" i="118"/>
  <c r="H559" i="118" s="1"/>
  <c r="K559" i="118"/>
  <c r="J559" i="118"/>
  <c r="I559" i="118" s="1"/>
  <c r="L558" i="118"/>
  <c r="I558" i="118"/>
  <c r="H558" i="118"/>
  <c r="L557" i="118"/>
  <c r="I557" i="118"/>
  <c r="H557" i="118" s="1"/>
  <c r="N556" i="118"/>
  <c r="M556" i="118"/>
  <c r="L556" i="118"/>
  <c r="K556" i="118"/>
  <c r="J556" i="118"/>
  <c r="I556" i="118"/>
  <c r="L555" i="118"/>
  <c r="I555" i="118"/>
  <c r="H555" i="118"/>
  <c r="L554" i="118"/>
  <c r="I554" i="118"/>
  <c r="H554" i="118" s="1"/>
  <c r="N553" i="118"/>
  <c r="M553" i="118"/>
  <c r="L553" i="118" s="1"/>
  <c r="K553" i="118"/>
  <c r="J553" i="118"/>
  <c r="I553" i="118" s="1"/>
  <c r="H553" i="118" s="1"/>
  <c r="L552" i="118"/>
  <c r="I552" i="118"/>
  <c r="L551" i="118"/>
  <c r="I551" i="118"/>
  <c r="H551" i="118"/>
  <c r="N550" i="118"/>
  <c r="M550" i="118"/>
  <c r="L550" i="118" s="1"/>
  <c r="K550" i="118"/>
  <c r="J550" i="118"/>
  <c r="L549" i="118"/>
  <c r="I549" i="118"/>
  <c r="H549" i="118" s="1"/>
  <c r="L548" i="118"/>
  <c r="I548" i="118"/>
  <c r="H548" i="118" s="1"/>
  <c r="N547" i="118"/>
  <c r="M547" i="118"/>
  <c r="L547" i="118"/>
  <c r="K547" i="118"/>
  <c r="J547" i="118"/>
  <c r="I547" i="118" s="1"/>
  <c r="H547" i="118"/>
  <c r="L546" i="118"/>
  <c r="I546" i="118"/>
  <c r="H546" i="118" s="1"/>
  <c r="L545" i="118"/>
  <c r="H545" i="118" s="1"/>
  <c r="I545" i="118"/>
  <c r="N544" i="118"/>
  <c r="M544" i="118"/>
  <c r="K544" i="118"/>
  <c r="J544" i="118"/>
  <c r="I544" i="118"/>
  <c r="L543" i="118"/>
  <c r="I543" i="118"/>
  <c r="H543" i="118"/>
  <c r="L542" i="118"/>
  <c r="I542" i="118"/>
  <c r="H542" i="118" s="1"/>
  <c r="N541" i="118"/>
  <c r="M541" i="118"/>
  <c r="L541" i="118"/>
  <c r="K541" i="118"/>
  <c r="J541" i="118"/>
  <c r="I541" i="118" s="1"/>
  <c r="L540" i="118"/>
  <c r="I540" i="118"/>
  <c r="H540" i="118"/>
  <c r="L539" i="118"/>
  <c r="I539" i="118"/>
  <c r="H539" i="118"/>
  <c r="N538" i="118"/>
  <c r="M538" i="118"/>
  <c r="L538" i="118" s="1"/>
  <c r="K538" i="118"/>
  <c r="J538" i="118"/>
  <c r="I538" i="118"/>
  <c r="H538" i="118"/>
  <c r="L537" i="118"/>
  <c r="I537" i="118"/>
  <c r="H537" i="118" s="1"/>
  <c r="L536" i="118"/>
  <c r="I536" i="118"/>
  <c r="H536" i="118"/>
  <c r="N535" i="118"/>
  <c r="M535" i="118"/>
  <c r="L535" i="118"/>
  <c r="K535" i="118"/>
  <c r="J535" i="118"/>
  <c r="I535" i="118" s="1"/>
  <c r="H535" i="118" s="1"/>
  <c r="L534" i="118"/>
  <c r="I534" i="118"/>
  <c r="H534" i="118" s="1"/>
  <c r="L533" i="118"/>
  <c r="I533" i="118"/>
  <c r="H533" i="118" s="1"/>
  <c r="N532" i="118"/>
  <c r="M532" i="118"/>
  <c r="L532" i="118" s="1"/>
  <c r="K532" i="118"/>
  <c r="J532" i="118"/>
  <c r="I532" i="118" s="1"/>
  <c r="H532" i="118" s="1"/>
  <c r="L531" i="118"/>
  <c r="I531" i="118"/>
  <c r="H531" i="118"/>
  <c r="L530" i="118"/>
  <c r="H530" i="118" s="1"/>
  <c r="I530" i="118"/>
  <c r="N529" i="118"/>
  <c r="M529" i="118"/>
  <c r="K529" i="118"/>
  <c r="J529" i="118"/>
  <c r="I529" i="118" s="1"/>
  <c r="L528" i="118"/>
  <c r="I528" i="118"/>
  <c r="H528" i="118" s="1"/>
  <c r="L527" i="118"/>
  <c r="I527" i="118"/>
  <c r="H527" i="118"/>
  <c r="N526" i="118"/>
  <c r="M526" i="118"/>
  <c r="K526" i="118"/>
  <c r="J526" i="118"/>
  <c r="I526" i="118" s="1"/>
  <c r="L525" i="118"/>
  <c r="I525" i="118"/>
  <c r="H525" i="118"/>
  <c r="L524" i="118"/>
  <c r="I524" i="118"/>
  <c r="H524" i="118" s="1"/>
  <c r="N523" i="118"/>
  <c r="M523" i="118"/>
  <c r="L523" i="118"/>
  <c r="K523" i="118"/>
  <c r="J523" i="118"/>
  <c r="I523" i="118"/>
  <c r="H523" i="118"/>
  <c r="L522" i="118"/>
  <c r="I522" i="118"/>
  <c r="H522" i="118" s="1"/>
  <c r="L521" i="118"/>
  <c r="I521" i="118"/>
  <c r="H521" i="118" s="1"/>
  <c r="N520" i="118"/>
  <c r="M520" i="118"/>
  <c r="L520" i="118" s="1"/>
  <c r="K520" i="118"/>
  <c r="J520" i="118"/>
  <c r="I520" i="118"/>
  <c r="H520" i="118" s="1"/>
  <c r="L519" i="118"/>
  <c r="I519" i="118"/>
  <c r="H519" i="118" s="1"/>
  <c r="L518" i="118"/>
  <c r="I518" i="118"/>
  <c r="H518" i="118" s="1"/>
  <c r="N517" i="118"/>
  <c r="M517" i="118"/>
  <c r="L517" i="118" s="1"/>
  <c r="K517" i="118"/>
  <c r="J517" i="118"/>
  <c r="I517" i="118" s="1"/>
  <c r="L516" i="118"/>
  <c r="I516" i="118"/>
  <c r="H516" i="118" s="1"/>
  <c r="L515" i="118"/>
  <c r="I515" i="118"/>
  <c r="H515" i="118" s="1"/>
  <c r="N514" i="118"/>
  <c r="M514" i="118"/>
  <c r="L514" i="118" s="1"/>
  <c r="K514" i="118"/>
  <c r="J514" i="118"/>
  <c r="I514" i="118"/>
  <c r="H514" i="118" s="1"/>
  <c r="L513" i="118"/>
  <c r="I513" i="118"/>
  <c r="L512" i="118"/>
  <c r="I512" i="118"/>
  <c r="H512" i="118" s="1"/>
  <c r="N511" i="118"/>
  <c r="L511" i="118" s="1"/>
  <c r="H511" i="118" s="1"/>
  <c r="M511" i="118"/>
  <c r="K511" i="118"/>
  <c r="J511" i="118"/>
  <c r="I511" i="118" s="1"/>
  <c r="L510" i="118"/>
  <c r="I510" i="118"/>
  <c r="H510" i="118"/>
  <c r="L509" i="118"/>
  <c r="I509" i="118"/>
  <c r="N508" i="118"/>
  <c r="M508" i="118"/>
  <c r="L508" i="118"/>
  <c r="K508" i="118"/>
  <c r="J508" i="118"/>
  <c r="I508" i="118"/>
  <c r="H508" i="118" s="1"/>
  <c r="L507" i="118"/>
  <c r="I507" i="118"/>
  <c r="H507" i="118"/>
  <c r="L506" i="118"/>
  <c r="I506" i="118"/>
  <c r="H506" i="118"/>
  <c r="N505" i="118"/>
  <c r="M505" i="118"/>
  <c r="L505" i="118" s="1"/>
  <c r="K505" i="118"/>
  <c r="J505" i="118"/>
  <c r="I505" i="118"/>
  <c r="L504" i="118"/>
  <c r="I504" i="118"/>
  <c r="H504" i="118" s="1"/>
  <c r="L503" i="118"/>
  <c r="I503" i="118"/>
  <c r="H503" i="118"/>
  <c r="N502" i="118"/>
  <c r="M502" i="118"/>
  <c r="K502" i="118"/>
  <c r="J502" i="118"/>
  <c r="I502" i="118" s="1"/>
  <c r="L501" i="118"/>
  <c r="I501" i="118"/>
  <c r="H501" i="118"/>
  <c r="L500" i="118"/>
  <c r="I500" i="118"/>
  <c r="N499" i="118"/>
  <c r="M499" i="118"/>
  <c r="L499" i="118"/>
  <c r="K499" i="118"/>
  <c r="J499" i="118"/>
  <c r="I499" i="118"/>
  <c r="H499" i="118"/>
  <c r="L498" i="118"/>
  <c r="I498" i="118"/>
  <c r="H498" i="118" s="1"/>
  <c r="L497" i="118"/>
  <c r="I497" i="118"/>
  <c r="H497" i="118" s="1"/>
  <c r="N496" i="118"/>
  <c r="M496" i="118"/>
  <c r="K496" i="118"/>
  <c r="J496" i="118"/>
  <c r="I496" i="118"/>
  <c r="L495" i="118"/>
  <c r="I495" i="118"/>
  <c r="H495" i="118"/>
  <c r="L494" i="118"/>
  <c r="I494" i="118"/>
  <c r="H494" i="118" s="1"/>
  <c r="N493" i="118"/>
  <c r="L493" i="118" s="1"/>
  <c r="M493" i="118"/>
  <c r="K493" i="118"/>
  <c r="J493" i="118"/>
  <c r="L492" i="118"/>
  <c r="I492" i="118"/>
  <c r="H492" i="118"/>
  <c r="L491" i="118"/>
  <c r="H491" i="118" s="1"/>
  <c r="I491" i="118"/>
  <c r="N490" i="118"/>
  <c r="M490" i="118"/>
  <c r="L490" i="118" s="1"/>
  <c r="K490" i="118"/>
  <c r="J490" i="118"/>
  <c r="I490" i="118" s="1"/>
  <c r="H490" i="118"/>
  <c r="L489" i="118"/>
  <c r="I489" i="118"/>
  <c r="H489" i="118" s="1"/>
  <c r="L488" i="118"/>
  <c r="I488" i="118"/>
  <c r="H488" i="118"/>
  <c r="N487" i="118"/>
  <c r="M487" i="118"/>
  <c r="L487" i="118"/>
  <c r="H487" i="118" s="1"/>
  <c r="K487" i="118"/>
  <c r="J487" i="118"/>
  <c r="I487" i="118" s="1"/>
  <c r="L486" i="118"/>
  <c r="I486" i="118"/>
  <c r="H486" i="118" s="1"/>
  <c r="L485" i="118"/>
  <c r="I485" i="118"/>
  <c r="N484" i="118"/>
  <c r="M484" i="118"/>
  <c r="L484" i="118"/>
  <c r="K484" i="118"/>
  <c r="J484" i="118"/>
  <c r="I484" i="118" s="1"/>
  <c r="H484" i="118" s="1"/>
  <c r="L483" i="118"/>
  <c r="I483" i="118"/>
  <c r="H483" i="118"/>
  <c r="L482" i="118"/>
  <c r="I482" i="118"/>
  <c r="H482" i="118" s="1"/>
  <c r="N481" i="118"/>
  <c r="M481" i="118"/>
  <c r="K481" i="118"/>
  <c r="J481" i="118"/>
  <c r="I481" i="118" s="1"/>
  <c r="L480" i="118"/>
  <c r="I480" i="118"/>
  <c r="L479" i="118"/>
  <c r="I479" i="118"/>
  <c r="H479" i="118"/>
  <c r="N478" i="118"/>
  <c r="L478" i="118" s="1"/>
  <c r="M478" i="118"/>
  <c r="K478" i="118"/>
  <c r="J478" i="118"/>
  <c r="L477" i="118"/>
  <c r="I477" i="118"/>
  <c r="H477" i="118"/>
  <c r="L476" i="118"/>
  <c r="I476" i="118"/>
  <c r="N475" i="118"/>
  <c r="M475" i="118"/>
  <c r="L475" i="118"/>
  <c r="K475" i="118"/>
  <c r="J475" i="118"/>
  <c r="I475" i="118"/>
  <c r="H475" i="118" s="1"/>
  <c r="L474" i="118"/>
  <c r="I474" i="118"/>
  <c r="H474" i="118" s="1"/>
  <c r="L473" i="118"/>
  <c r="I473" i="118"/>
  <c r="H473" i="118"/>
  <c r="N472" i="118"/>
  <c r="M472" i="118"/>
  <c r="L472" i="118" s="1"/>
  <c r="H472" i="118" s="1"/>
  <c r="K472" i="118"/>
  <c r="J472" i="118"/>
  <c r="I472" i="118"/>
  <c r="L471" i="118"/>
  <c r="I471" i="118"/>
  <c r="H471" i="118"/>
  <c r="L470" i="118"/>
  <c r="I470" i="118"/>
  <c r="H470" i="118" s="1"/>
  <c r="N469" i="118"/>
  <c r="M469" i="118"/>
  <c r="L469" i="118"/>
  <c r="K469" i="118"/>
  <c r="J469" i="118"/>
  <c r="I469" i="118" s="1"/>
  <c r="H469" i="118" s="1"/>
  <c r="L468" i="118"/>
  <c r="I468" i="118"/>
  <c r="H468" i="118"/>
  <c r="L467" i="118"/>
  <c r="I467" i="118"/>
  <c r="H467" i="118"/>
  <c r="N466" i="118"/>
  <c r="M466" i="118"/>
  <c r="L466" i="118" s="1"/>
  <c r="K466" i="118"/>
  <c r="J466" i="118"/>
  <c r="I466" i="118"/>
  <c r="H466" i="118" s="1"/>
  <c r="L465" i="118"/>
  <c r="I465" i="118"/>
  <c r="H465" i="118" s="1"/>
  <c r="L464" i="118"/>
  <c r="I464" i="118"/>
  <c r="H464" i="118" s="1"/>
  <c r="N463" i="118"/>
  <c r="M463" i="118"/>
  <c r="L463" i="118" s="1"/>
  <c r="K463" i="118"/>
  <c r="J463" i="118"/>
  <c r="I463" i="118" s="1"/>
  <c r="H463" i="118" s="1"/>
  <c r="L462" i="118"/>
  <c r="H462" i="118" s="1"/>
  <c r="I462" i="118"/>
  <c r="L461" i="118"/>
  <c r="I461" i="118"/>
  <c r="N460" i="118"/>
  <c r="M460" i="118"/>
  <c r="L460" i="118" s="1"/>
  <c r="K460" i="118"/>
  <c r="J460" i="118"/>
  <c r="I460" i="118" s="1"/>
  <c r="H460" i="118" s="1"/>
  <c r="L459" i="118"/>
  <c r="I459" i="118"/>
  <c r="H459" i="118"/>
  <c r="L458" i="118"/>
  <c r="I458" i="118"/>
  <c r="H458" i="118"/>
  <c r="N457" i="118"/>
  <c r="M457" i="118"/>
  <c r="K457" i="118"/>
  <c r="J457" i="118"/>
  <c r="I457" i="118"/>
  <c r="L456" i="118"/>
  <c r="I456" i="118"/>
  <c r="H456" i="118" s="1"/>
  <c r="L455" i="118"/>
  <c r="I455" i="118"/>
  <c r="H455" i="118"/>
  <c r="N454" i="118"/>
  <c r="M454" i="118"/>
  <c r="L454" i="118"/>
  <c r="K454" i="118"/>
  <c r="J454" i="118"/>
  <c r="I454" i="118" s="1"/>
  <c r="H454" i="118" s="1"/>
  <c r="L453" i="118"/>
  <c r="I453" i="118"/>
  <c r="L452" i="118"/>
  <c r="I452" i="118"/>
  <c r="H452" i="118" s="1"/>
  <c r="N451" i="118"/>
  <c r="M451" i="118"/>
  <c r="L451" i="118"/>
  <c r="K451" i="118"/>
  <c r="J451" i="118"/>
  <c r="I451" i="118" s="1"/>
  <c r="H451" i="118" s="1"/>
  <c r="L450" i="118"/>
  <c r="I450" i="118"/>
  <c r="H450" i="118" s="1"/>
  <c r="L449" i="118"/>
  <c r="I449" i="118"/>
  <c r="H449" i="118"/>
  <c r="N448" i="118"/>
  <c r="M448" i="118"/>
  <c r="K448" i="118"/>
  <c r="J448" i="118"/>
  <c r="I448" i="118"/>
  <c r="L447" i="118"/>
  <c r="H447" i="118" s="1"/>
  <c r="I447" i="118"/>
  <c r="L446" i="118"/>
  <c r="I446" i="118"/>
  <c r="H446" i="118" s="1"/>
  <c r="N445" i="118"/>
  <c r="M445" i="118"/>
  <c r="L445" i="118" s="1"/>
  <c r="K445" i="118"/>
  <c r="J445" i="118"/>
  <c r="I445" i="118" s="1"/>
  <c r="H445" i="118" s="1"/>
  <c r="L444" i="118"/>
  <c r="I444" i="118"/>
  <c r="H444" i="118" s="1"/>
  <c r="L443" i="118"/>
  <c r="I443" i="118"/>
  <c r="H443" i="118" s="1"/>
  <c r="N442" i="118"/>
  <c r="M442" i="118"/>
  <c r="L442" i="118" s="1"/>
  <c r="K442" i="118"/>
  <c r="J442" i="118"/>
  <c r="I442" i="118" s="1"/>
  <c r="H442" i="118" s="1"/>
  <c r="L441" i="118"/>
  <c r="I441" i="118"/>
  <c r="L440" i="118"/>
  <c r="I440" i="118"/>
  <c r="H440" i="118" s="1"/>
  <c r="N439" i="118"/>
  <c r="L439" i="118" s="1"/>
  <c r="M439" i="118"/>
  <c r="K439" i="118"/>
  <c r="J439" i="118"/>
  <c r="I439" i="118" s="1"/>
  <c r="H439" i="118"/>
  <c r="L438" i="118"/>
  <c r="I438" i="118"/>
  <c r="H438" i="118" s="1"/>
  <c r="L437" i="118"/>
  <c r="I437" i="118"/>
  <c r="H437" i="118" s="1"/>
  <c r="N436" i="118"/>
  <c r="M436" i="118"/>
  <c r="L436" i="118"/>
  <c r="K436" i="118"/>
  <c r="J436" i="118"/>
  <c r="I436" i="118" s="1"/>
  <c r="L435" i="118"/>
  <c r="I435" i="118"/>
  <c r="H435" i="118"/>
  <c r="L434" i="118"/>
  <c r="I434" i="118"/>
  <c r="H434" i="118" s="1"/>
  <c r="N433" i="118"/>
  <c r="M433" i="118"/>
  <c r="K433" i="118"/>
  <c r="J433" i="118"/>
  <c r="I433" i="118"/>
  <c r="L432" i="118"/>
  <c r="I432" i="118"/>
  <c r="H432" i="118" s="1"/>
  <c r="L431" i="118"/>
  <c r="I431" i="118"/>
  <c r="H431" i="118"/>
  <c r="N430" i="118"/>
  <c r="M430" i="118"/>
  <c r="L430" i="118" s="1"/>
  <c r="K430" i="118"/>
  <c r="J430" i="118"/>
  <c r="I430" i="118" s="1"/>
  <c r="H430" i="118" s="1"/>
  <c r="L429" i="118"/>
  <c r="I429" i="118"/>
  <c r="L428" i="118"/>
  <c r="I428" i="118"/>
  <c r="H428" i="118" s="1"/>
  <c r="N427" i="118"/>
  <c r="M427" i="118"/>
  <c r="L427" i="118"/>
  <c r="K427" i="118"/>
  <c r="J427" i="118"/>
  <c r="I427" i="118" s="1"/>
  <c r="H427" i="118" s="1"/>
  <c r="L426" i="118"/>
  <c r="I426" i="118"/>
  <c r="H426" i="118" s="1"/>
  <c r="L425" i="118"/>
  <c r="I425" i="118"/>
  <c r="H425" i="118" s="1"/>
  <c r="N424" i="118"/>
  <c r="M424" i="118"/>
  <c r="K424" i="118"/>
  <c r="J424" i="118"/>
  <c r="I424" i="118"/>
  <c r="L423" i="118"/>
  <c r="I423" i="118"/>
  <c r="H423" i="118"/>
  <c r="L422" i="118"/>
  <c r="I422" i="118"/>
  <c r="H422" i="118" s="1"/>
  <c r="N421" i="118"/>
  <c r="M421" i="118"/>
  <c r="L421" i="118"/>
  <c r="K421" i="118"/>
  <c r="J421" i="118"/>
  <c r="L420" i="118"/>
  <c r="I420" i="118"/>
  <c r="H420" i="118"/>
  <c r="L419" i="118"/>
  <c r="I419" i="118"/>
  <c r="H419" i="118"/>
  <c r="N418" i="118"/>
  <c r="M418" i="118"/>
  <c r="L418" i="118" s="1"/>
  <c r="K418" i="118"/>
  <c r="I418" i="118" s="1"/>
  <c r="H418" i="118" s="1"/>
  <c r="J418" i="118"/>
  <c r="L417" i="118"/>
  <c r="I417" i="118"/>
  <c r="H417" i="118" s="1"/>
  <c r="L416" i="118"/>
  <c r="I416" i="118"/>
  <c r="H416" i="118"/>
  <c r="N415" i="118"/>
  <c r="M415" i="118"/>
  <c r="L415" i="118"/>
  <c r="K415" i="118"/>
  <c r="J415" i="118"/>
  <c r="I415" i="118" s="1"/>
  <c r="H415" i="118"/>
  <c r="L414" i="118"/>
  <c r="I414" i="118"/>
  <c r="H414" i="118" s="1"/>
  <c r="L413" i="118"/>
  <c r="I413" i="118"/>
  <c r="H413" i="118" s="1"/>
  <c r="N412" i="118"/>
  <c r="M412" i="118"/>
  <c r="L412" i="118"/>
  <c r="K412" i="118"/>
  <c r="J412" i="118"/>
  <c r="L411" i="118"/>
  <c r="I411" i="118"/>
  <c r="H411" i="118"/>
  <c r="L410" i="118"/>
  <c r="I410" i="118"/>
  <c r="H410" i="118"/>
  <c r="N409" i="118"/>
  <c r="M409" i="118"/>
  <c r="K409" i="118"/>
  <c r="J409" i="118"/>
  <c r="I409" i="118" s="1"/>
  <c r="L408" i="118"/>
  <c r="I408" i="118"/>
  <c r="H408" i="118" s="1"/>
  <c r="L407" i="118"/>
  <c r="I407" i="118"/>
  <c r="H407" i="118"/>
  <c r="N406" i="118"/>
  <c r="M406" i="118"/>
  <c r="L406" i="118"/>
  <c r="K406" i="118"/>
  <c r="J406" i="118"/>
  <c r="I406" i="118" s="1"/>
  <c r="H406" i="118" s="1"/>
  <c r="L405" i="118"/>
  <c r="H405" i="118" s="1"/>
  <c r="I405" i="118"/>
  <c r="L404" i="118"/>
  <c r="I404" i="118"/>
  <c r="N403" i="118"/>
  <c r="M403" i="118"/>
  <c r="L403" i="118"/>
  <c r="K403" i="118"/>
  <c r="I403" i="118" s="1"/>
  <c r="H403" i="118" s="1"/>
  <c r="J403" i="118"/>
  <c r="L402" i="118"/>
  <c r="I402" i="118"/>
  <c r="H402" i="118" s="1"/>
  <c r="L401" i="118"/>
  <c r="I401" i="118"/>
  <c r="H401" i="118"/>
  <c r="N400" i="118"/>
  <c r="M400" i="118"/>
  <c r="L400" i="118" s="1"/>
  <c r="K400" i="118"/>
  <c r="J400" i="118"/>
  <c r="I400" i="118"/>
  <c r="H400" i="118"/>
  <c r="L399" i="118"/>
  <c r="I399" i="118"/>
  <c r="H399" i="118" s="1"/>
  <c r="L398" i="118"/>
  <c r="I398" i="118"/>
  <c r="H398" i="118" s="1"/>
  <c r="N397" i="118"/>
  <c r="M397" i="118"/>
  <c r="L397" i="118" s="1"/>
  <c r="K397" i="118"/>
  <c r="J397" i="118"/>
  <c r="L396" i="118"/>
  <c r="I396" i="118"/>
  <c r="H396" i="118"/>
  <c r="L395" i="118"/>
  <c r="I395" i="118"/>
  <c r="H395" i="118" s="1"/>
  <c r="N394" i="118"/>
  <c r="M394" i="118"/>
  <c r="L394" i="118" s="1"/>
  <c r="K394" i="118"/>
  <c r="J394" i="118"/>
  <c r="I394" i="118"/>
  <c r="H394" i="118" s="1"/>
  <c r="L393" i="118"/>
  <c r="I393" i="118"/>
  <c r="H393" i="118" s="1"/>
  <c r="L392" i="118"/>
  <c r="I392" i="118"/>
  <c r="H392" i="118" s="1"/>
  <c r="N391" i="118"/>
  <c r="M391" i="118"/>
  <c r="L391" i="118" s="1"/>
  <c r="K391" i="118"/>
  <c r="J391" i="118"/>
  <c r="I391" i="118" s="1"/>
  <c r="H391" i="118" s="1"/>
  <c r="L390" i="118"/>
  <c r="H390" i="118" s="1"/>
  <c r="I390" i="118"/>
  <c r="L389" i="118"/>
  <c r="I389" i="118"/>
  <c r="N388" i="118"/>
  <c r="M388" i="118"/>
  <c r="L388" i="118"/>
  <c r="K388" i="118"/>
  <c r="I388" i="118" s="1"/>
  <c r="J388" i="118"/>
  <c r="L387" i="118"/>
  <c r="I387" i="118"/>
  <c r="H387" i="118"/>
  <c r="L386" i="118"/>
  <c r="I386" i="118"/>
  <c r="H386" i="118"/>
  <c r="N385" i="118"/>
  <c r="M385" i="118"/>
  <c r="L385" i="118" s="1"/>
  <c r="K385" i="118"/>
  <c r="J385" i="118"/>
  <c r="I385" i="118"/>
  <c r="H385" i="118"/>
  <c r="L384" i="118"/>
  <c r="I384" i="118"/>
  <c r="H384" i="118" s="1"/>
  <c r="L383" i="118"/>
  <c r="I383" i="118"/>
  <c r="H383" i="118"/>
  <c r="N382" i="118"/>
  <c r="M382" i="118"/>
  <c r="L382" i="118"/>
  <c r="K382" i="118"/>
  <c r="J382" i="118"/>
  <c r="I382" i="118" s="1"/>
  <c r="H382" i="118" s="1"/>
  <c r="L381" i="118"/>
  <c r="I381" i="118"/>
  <c r="H381" i="118"/>
  <c r="L380" i="118"/>
  <c r="I380" i="118"/>
  <c r="H380" i="118" s="1"/>
  <c r="N379" i="118"/>
  <c r="M379" i="118"/>
  <c r="L379" i="118"/>
  <c r="K379" i="118"/>
  <c r="J379" i="118"/>
  <c r="I379" i="118"/>
  <c r="L378" i="118"/>
  <c r="I378" i="118"/>
  <c r="H378" i="118" s="1"/>
  <c r="L377" i="118"/>
  <c r="I377" i="118"/>
  <c r="H377" i="118" s="1"/>
  <c r="N376" i="118"/>
  <c r="M376" i="118"/>
  <c r="L376" i="118" s="1"/>
  <c r="K376" i="118"/>
  <c r="J376" i="118"/>
  <c r="I376" i="118"/>
  <c r="H376" i="118" s="1"/>
  <c r="L375" i="118"/>
  <c r="H375" i="118" s="1"/>
  <c r="I375" i="118"/>
  <c r="L374" i="118"/>
  <c r="I374" i="118"/>
  <c r="H374" i="118" s="1"/>
  <c r="N373" i="118"/>
  <c r="L373" i="118" s="1"/>
  <c r="M373" i="118"/>
  <c r="K373" i="118"/>
  <c r="J373" i="118"/>
  <c r="L372" i="118"/>
  <c r="I372" i="118"/>
  <c r="H372" i="118" s="1"/>
  <c r="L371" i="118"/>
  <c r="I371" i="118"/>
  <c r="H371" i="118" s="1"/>
  <c r="N370" i="118"/>
  <c r="M370" i="118"/>
  <c r="L370" i="118" s="1"/>
  <c r="K370" i="118"/>
  <c r="J370" i="118"/>
  <c r="I370" i="118" s="1"/>
  <c r="H370" i="118" s="1"/>
  <c r="L369" i="118"/>
  <c r="I369" i="118"/>
  <c r="H369" i="118" s="1"/>
  <c r="L368" i="118"/>
  <c r="I368" i="118"/>
  <c r="H368" i="118"/>
  <c r="N367" i="118"/>
  <c r="M367" i="118"/>
  <c r="L367" i="118"/>
  <c r="K367" i="118"/>
  <c r="J367" i="118"/>
  <c r="I367" i="118" s="1"/>
  <c r="H367" i="118" s="1"/>
  <c r="L366" i="118"/>
  <c r="I366" i="118"/>
  <c r="H366" i="118"/>
  <c r="L365" i="118"/>
  <c r="I365" i="118"/>
  <c r="H365" i="118" s="1"/>
  <c r="N364" i="118"/>
  <c r="M364" i="118"/>
  <c r="L364" i="118" s="1"/>
  <c r="K364" i="118"/>
  <c r="J364" i="118"/>
  <c r="I364" i="118"/>
  <c r="H364" i="118" s="1"/>
  <c r="L363" i="118"/>
  <c r="I363" i="118"/>
  <c r="H363" i="118"/>
  <c r="L362" i="118"/>
  <c r="H362" i="118" s="1"/>
  <c r="I362" i="118"/>
  <c r="N361" i="118"/>
  <c r="M361" i="118"/>
  <c r="K361" i="118"/>
  <c r="J361" i="118"/>
  <c r="I361" i="118"/>
  <c r="L360" i="118"/>
  <c r="I360" i="118"/>
  <c r="H360" i="118"/>
  <c r="L359" i="118"/>
  <c r="I359" i="118"/>
  <c r="H359" i="118"/>
  <c r="N358" i="118"/>
  <c r="M358" i="118"/>
  <c r="K358" i="118"/>
  <c r="J358" i="118"/>
  <c r="I358" i="118" s="1"/>
  <c r="L357" i="118"/>
  <c r="I357" i="118"/>
  <c r="H357" i="118"/>
  <c r="L356" i="118"/>
  <c r="I356" i="118"/>
  <c r="H356" i="118" s="1"/>
  <c r="N355" i="118"/>
  <c r="M355" i="118"/>
  <c r="L355" i="118"/>
  <c r="K355" i="118"/>
  <c r="J355" i="118"/>
  <c r="I355" i="118"/>
  <c r="H355" i="118"/>
  <c r="L354" i="118"/>
  <c r="I354" i="118"/>
  <c r="H354" i="118" s="1"/>
  <c r="L353" i="118"/>
  <c r="I353" i="118"/>
  <c r="H353" i="118"/>
  <c r="N352" i="118"/>
  <c r="M352" i="118"/>
  <c r="L352" i="118"/>
  <c r="K352" i="118"/>
  <c r="J352" i="118"/>
  <c r="I352" i="118"/>
  <c r="L351" i="118"/>
  <c r="I351" i="118"/>
  <c r="H351" i="118" s="1"/>
  <c r="L350" i="118"/>
  <c r="I350" i="118"/>
  <c r="N349" i="118"/>
  <c r="M349" i="118"/>
  <c r="L349" i="118" s="1"/>
  <c r="K349" i="118"/>
  <c r="I349" i="118" s="1"/>
  <c r="J349" i="118"/>
  <c r="L348" i="118"/>
  <c r="I348" i="118"/>
  <c r="H348" i="118"/>
  <c r="L347" i="118"/>
  <c r="I347" i="118"/>
  <c r="H347" i="118"/>
  <c r="N346" i="118"/>
  <c r="M346" i="118"/>
  <c r="L346" i="118" s="1"/>
  <c r="K346" i="118"/>
  <c r="I346" i="118" s="1"/>
  <c r="J346" i="118"/>
  <c r="L345" i="118"/>
  <c r="I345" i="118"/>
  <c r="H345" i="118" s="1"/>
  <c r="L344" i="118"/>
  <c r="I344" i="118"/>
  <c r="H344" i="118" s="1"/>
  <c r="N343" i="118"/>
  <c r="M343" i="118"/>
  <c r="L343" i="118"/>
  <c r="K343" i="118"/>
  <c r="J343" i="118"/>
  <c r="I343" i="118" s="1"/>
  <c r="H343" i="118" s="1"/>
  <c r="L342" i="118"/>
  <c r="I342" i="118"/>
  <c r="L341" i="118"/>
  <c r="I341" i="118"/>
  <c r="H341" i="118" s="1"/>
  <c r="N340" i="118"/>
  <c r="M340" i="118"/>
  <c r="L340" i="118"/>
  <c r="K340" i="118"/>
  <c r="J340" i="118"/>
  <c r="I340" i="118" s="1"/>
  <c r="H340" i="118" s="1"/>
  <c r="L339" i="118"/>
  <c r="I339" i="118"/>
  <c r="H339" i="118"/>
  <c r="L338" i="118"/>
  <c r="I338" i="118"/>
  <c r="H338" i="118"/>
  <c r="N337" i="118"/>
  <c r="M337" i="118"/>
  <c r="L337" i="118" s="1"/>
  <c r="K337" i="118"/>
  <c r="J337" i="118"/>
  <c r="I337" i="118"/>
  <c r="H337" i="118"/>
  <c r="L336" i="118"/>
  <c r="I336" i="118"/>
  <c r="H336" i="118" s="1"/>
  <c r="L335" i="118"/>
  <c r="I335" i="118"/>
  <c r="H335" i="118"/>
  <c r="N334" i="118"/>
  <c r="M334" i="118"/>
  <c r="L334" i="118"/>
  <c r="K334" i="118"/>
  <c r="J334" i="118"/>
  <c r="L333" i="118"/>
  <c r="I333" i="118"/>
  <c r="H333" i="118" s="1"/>
  <c r="L332" i="118"/>
  <c r="I332" i="118"/>
  <c r="H332" i="118" s="1"/>
  <c r="N331" i="118"/>
  <c r="M331" i="118"/>
  <c r="L331" i="118"/>
  <c r="K331" i="118"/>
  <c r="J331" i="118"/>
  <c r="I331" i="118"/>
  <c r="H331" i="118"/>
  <c r="L330" i="118"/>
  <c r="I330" i="118"/>
  <c r="H330" i="118" s="1"/>
  <c r="L329" i="118"/>
  <c r="I329" i="118"/>
  <c r="H329" i="118"/>
  <c r="N328" i="118"/>
  <c r="M328" i="118"/>
  <c r="L328" i="118"/>
  <c r="H328" i="118" s="1"/>
  <c r="K328" i="118"/>
  <c r="J328" i="118"/>
  <c r="I328" i="118"/>
  <c r="L327" i="118"/>
  <c r="I327" i="118"/>
  <c r="H327" i="118"/>
  <c r="L326" i="118"/>
  <c r="I326" i="118"/>
  <c r="H326" i="118" s="1"/>
  <c r="N325" i="118"/>
  <c r="L325" i="118" s="1"/>
  <c r="M325" i="118"/>
  <c r="K325" i="118"/>
  <c r="J325" i="118"/>
  <c r="I325" i="118"/>
  <c r="H325" i="118" s="1"/>
  <c r="L324" i="118"/>
  <c r="I324" i="118"/>
  <c r="H324" i="118"/>
  <c r="L323" i="118"/>
  <c r="I323" i="118"/>
  <c r="H323" i="118"/>
  <c r="N322" i="118"/>
  <c r="M322" i="118"/>
  <c r="L322" i="118" s="1"/>
  <c r="K322" i="118"/>
  <c r="I322" i="118" s="1"/>
  <c r="J322" i="118"/>
  <c r="L321" i="118"/>
  <c r="I321" i="118"/>
  <c r="H321" i="118" s="1"/>
  <c r="L320" i="118"/>
  <c r="I320" i="118"/>
  <c r="H320" i="118"/>
  <c r="N319" i="118"/>
  <c r="M319" i="118"/>
  <c r="K319" i="118"/>
  <c r="J319" i="118"/>
  <c r="I319" i="118" s="1"/>
  <c r="L318" i="118"/>
  <c r="I318" i="118"/>
  <c r="L317" i="118"/>
  <c r="I317" i="118"/>
  <c r="N316" i="118"/>
  <c r="M316" i="118"/>
  <c r="L316" i="118" s="1"/>
  <c r="K316" i="118"/>
  <c r="J316" i="118"/>
  <c r="I316" i="118" s="1"/>
  <c r="H316" i="118" s="1"/>
  <c r="L315" i="118"/>
  <c r="I315" i="118"/>
  <c r="H315" i="118"/>
  <c r="L314" i="118"/>
  <c r="I314" i="118"/>
  <c r="H314" i="118"/>
  <c r="N313" i="118"/>
  <c r="M313" i="118"/>
  <c r="K313" i="118"/>
  <c r="J313" i="118"/>
  <c r="I313" i="118"/>
  <c r="L312" i="118"/>
  <c r="I312" i="118"/>
  <c r="H312" i="118"/>
  <c r="L311" i="118"/>
  <c r="I311" i="118"/>
  <c r="H311" i="118"/>
  <c r="N310" i="118"/>
  <c r="M310" i="118"/>
  <c r="L310" i="118"/>
  <c r="K310" i="118"/>
  <c r="J310" i="118"/>
  <c r="I310" i="118" s="1"/>
  <c r="H310" i="118" s="1"/>
  <c r="L309" i="118"/>
  <c r="H309" i="118" s="1"/>
  <c r="I309" i="118"/>
  <c r="L308" i="118"/>
  <c r="I308" i="118"/>
  <c r="H308" i="118"/>
  <c r="N307" i="118"/>
  <c r="M307" i="118"/>
  <c r="L307" i="118"/>
  <c r="K307" i="118"/>
  <c r="J307" i="118"/>
  <c r="I307" i="118"/>
  <c r="L306" i="118"/>
  <c r="I306" i="118"/>
  <c r="L305" i="118"/>
  <c r="I305" i="118"/>
  <c r="N304" i="118"/>
  <c r="M304" i="118"/>
  <c r="L304" i="118" s="1"/>
  <c r="K304" i="118"/>
  <c r="J304" i="118"/>
  <c r="I304" i="118"/>
  <c r="H304" i="118" s="1"/>
  <c r="L303" i="118"/>
  <c r="I303" i="118"/>
  <c r="H303" i="118"/>
  <c r="L302" i="118"/>
  <c r="I302" i="118"/>
  <c r="H302" i="118" s="1"/>
  <c r="N301" i="118"/>
  <c r="M301" i="118"/>
  <c r="L301" i="118" s="1"/>
  <c r="K301" i="118"/>
  <c r="J301" i="118"/>
  <c r="I301" i="118"/>
  <c r="L300" i="118"/>
  <c r="I300" i="118"/>
  <c r="H300" i="118" s="1"/>
  <c r="L299" i="118"/>
  <c r="I299" i="118"/>
  <c r="N298" i="118"/>
  <c r="M298" i="118"/>
  <c r="L298" i="118" s="1"/>
  <c r="K298" i="118"/>
  <c r="J298" i="118"/>
  <c r="I298" i="118"/>
  <c r="H298" i="118" s="1"/>
  <c r="L297" i="118"/>
  <c r="I297" i="118"/>
  <c r="L296" i="118"/>
  <c r="I296" i="118"/>
  <c r="H296" i="118" s="1"/>
  <c r="N295" i="118"/>
  <c r="M295" i="118"/>
  <c r="L295" i="118"/>
  <c r="K295" i="118"/>
  <c r="J295" i="118"/>
  <c r="L294" i="118"/>
  <c r="I294" i="118"/>
  <c r="H294" i="118"/>
  <c r="L293" i="118"/>
  <c r="I293" i="118"/>
  <c r="H293" i="118" s="1"/>
  <c r="N292" i="118"/>
  <c r="M292" i="118"/>
  <c r="L292" i="118"/>
  <c r="K292" i="118"/>
  <c r="J292" i="118"/>
  <c r="I292" i="118"/>
  <c r="H292" i="118"/>
  <c r="L291" i="118"/>
  <c r="I291" i="118"/>
  <c r="H291" i="118"/>
  <c r="L290" i="118"/>
  <c r="I290" i="118"/>
  <c r="H290" i="118" s="1"/>
  <c r="N289" i="118"/>
  <c r="M289" i="118"/>
  <c r="K289" i="118"/>
  <c r="J289" i="118"/>
  <c r="I289" i="118" s="1"/>
  <c r="L288" i="118"/>
  <c r="I288" i="118"/>
  <c r="H288" i="118"/>
  <c r="L287" i="118"/>
  <c r="I287" i="118"/>
  <c r="H287" i="118"/>
  <c r="N286" i="118"/>
  <c r="M286" i="118"/>
  <c r="L286" i="118"/>
  <c r="K286" i="118"/>
  <c r="J286" i="118"/>
  <c r="I286" i="118" s="1"/>
  <c r="H286" i="118" s="1"/>
  <c r="L285" i="118"/>
  <c r="I285" i="118"/>
  <c r="H285" i="118" s="1"/>
  <c r="L284" i="118"/>
  <c r="I284" i="118"/>
  <c r="H284" i="118"/>
  <c r="N283" i="118"/>
  <c r="M283" i="118"/>
  <c r="L283" i="118"/>
  <c r="K283" i="118"/>
  <c r="J283" i="118"/>
  <c r="L282" i="118"/>
  <c r="I282" i="118"/>
  <c r="L281" i="118"/>
  <c r="I281" i="118"/>
  <c r="H281" i="118" s="1"/>
  <c r="N280" i="118"/>
  <c r="L280" i="118" s="1"/>
  <c r="M280" i="118"/>
  <c r="K280" i="118"/>
  <c r="J280" i="118"/>
  <c r="I280" i="118"/>
  <c r="H280" i="118" s="1"/>
  <c r="L279" i="118"/>
  <c r="I279" i="118"/>
  <c r="L278" i="118"/>
  <c r="I278" i="118"/>
  <c r="H278" i="118" s="1"/>
  <c r="N277" i="118"/>
  <c r="M277" i="118"/>
  <c r="L277" i="118"/>
  <c r="K277" i="118"/>
  <c r="J277" i="118"/>
  <c r="I277" i="118" s="1"/>
  <c r="L276" i="118"/>
  <c r="I276" i="118"/>
  <c r="H276" i="118" s="1"/>
  <c r="L275" i="118"/>
  <c r="I275" i="118"/>
  <c r="H275" i="118"/>
  <c r="N274" i="118"/>
  <c r="M274" i="118"/>
  <c r="K274" i="118"/>
  <c r="J274" i="118"/>
  <c r="I274" i="118" s="1"/>
  <c r="L273" i="118"/>
  <c r="I273" i="118"/>
  <c r="H273" i="118"/>
  <c r="L272" i="118"/>
  <c r="I272" i="118"/>
  <c r="H272" i="118"/>
  <c r="N271" i="118"/>
  <c r="M271" i="118"/>
  <c r="L271" i="118"/>
  <c r="K271" i="118"/>
  <c r="J271" i="118"/>
  <c r="L270" i="118"/>
  <c r="I270" i="118"/>
  <c r="H270" i="118" s="1"/>
  <c r="L269" i="118"/>
  <c r="I269" i="118"/>
  <c r="H269" i="118" s="1"/>
  <c r="N268" i="118"/>
  <c r="M268" i="118"/>
  <c r="L268" i="118"/>
  <c r="K268" i="118"/>
  <c r="J268" i="118"/>
  <c r="I268" i="118"/>
  <c r="H268" i="118" s="1"/>
  <c r="L267" i="118"/>
  <c r="H267" i="118" s="1"/>
  <c r="I267" i="118"/>
  <c r="L266" i="118"/>
  <c r="I266" i="118"/>
  <c r="H266" i="118" s="1"/>
  <c r="N265" i="118"/>
  <c r="M265" i="118"/>
  <c r="L265" i="118"/>
  <c r="H265" i="118" s="1"/>
  <c r="K265" i="118"/>
  <c r="J265" i="118"/>
  <c r="I265" i="118"/>
  <c r="L264" i="118"/>
  <c r="I264" i="118"/>
  <c r="H264" i="118"/>
  <c r="L263" i="118"/>
  <c r="H263" i="118" s="1"/>
  <c r="I263" i="118"/>
  <c r="N262" i="118"/>
  <c r="M262" i="118"/>
  <c r="L262" i="118" s="1"/>
  <c r="K262" i="118"/>
  <c r="J262" i="118"/>
  <c r="I262" i="118"/>
  <c r="H262" i="118" s="1"/>
  <c r="L261" i="118"/>
  <c r="H261" i="118" s="1"/>
  <c r="I261" i="118"/>
  <c r="L260" i="118"/>
  <c r="I260" i="118"/>
  <c r="H260" i="118"/>
  <c r="N259" i="118"/>
  <c r="M259" i="118"/>
  <c r="L259" i="118"/>
  <c r="K259" i="118"/>
  <c r="J259" i="118"/>
  <c r="I259" i="118"/>
  <c r="H259" i="118" s="1"/>
  <c r="L258" i="118"/>
  <c r="I258" i="118"/>
  <c r="L257" i="118"/>
  <c r="I257" i="118"/>
  <c r="N256" i="118"/>
  <c r="M256" i="118"/>
  <c r="L256" i="118" s="1"/>
  <c r="K256" i="118"/>
  <c r="J256" i="118"/>
  <c r="I256" i="118"/>
  <c r="H256" i="118" s="1"/>
  <c r="L255" i="118"/>
  <c r="I255" i="118"/>
  <c r="H255" i="118"/>
  <c r="L254" i="118"/>
  <c r="I254" i="118"/>
  <c r="H254" i="118" s="1"/>
  <c r="N253" i="118"/>
  <c r="M253" i="118"/>
  <c r="K253" i="118"/>
  <c r="J253" i="118"/>
  <c r="I253" i="118"/>
  <c r="L252" i="118"/>
  <c r="I252" i="118"/>
  <c r="H252" i="118"/>
  <c r="L251" i="118"/>
  <c r="H251" i="118" s="1"/>
  <c r="I251" i="118"/>
  <c r="N248" i="118"/>
  <c r="M248" i="118"/>
  <c r="L248" i="118" s="1"/>
  <c r="K248" i="118"/>
  <c r="J248" i="118"/>
  <c r="I248" i="118"/>
  <c r="H248" i="118" s="1"/>
  <c r="N247" i="118"/>
  <c r="M247" i="118"/>
  <c r="K247" i="118"/>
  <c r="J247" i="118"/>
  <c r="I247" i="118"/>
  <c r="N245" i="118"/>
  <c r="M245" i="118"/>
  <c r="L245" i="118"/>
  <c r="K245" i="118"/>
  <c r="J245" i="118"/>
  <c r="I245" i="118" s="1"/>
  <c r="H245" i="118" s="1"/>
  <c r="L244" i="118"/>
  <c r="I244" i="118"/>
  <c r="L243" i="118"/>
  <c r="I243" i="118"/>
  <c r="N242" i="118"/>
  <c r="M242" i="118"/>
  <c r="L242" i="118"/>
  <c r="K242" i="118"/>
  <c r="J242" i="118"/>
  <c r="I242" i="118" s="1"/>
  <c r="L241" i="118"/>
  <c r="H241" i="118" s="1"/>
  <c r="I241" i="118"/>
  <c r="L240" i="118"/>
  <c r="I240" i="118"/>
  <c r="H240" i="118" s="1"/>
  <c r="N239" i="118"/>
  <c r="M239" i="118"/>
  <c r="K239" i="118"/>
  <c r="J239" i="118"/>
  <c r="I239" i="118"/>
  <c r="L238" i="118"/>
  <c r="I238" i="118"/>
  <c r="H238" i="118"/>
  <c r="L237" i="118"/>
  <c r="H237" i="118" s="1"/>
  <c r="I237" i="118"/>
  <c r="N236" i="118"/>
  <c r="M236" i="118"/>
  <c r="L236" i="118"/>
  <c r="K236" i="118"/>
  <c r="J236" i="118"/>
  <c r="L235" i="118"/>
  <c r="I235" i="118"/>
  <c r="H235" i="118"/>
  <c r="L234" i="118"/>
  <c r="I234" i="118"/>
  <c r="H234" i="118"/>
  <c r="N233" i="118"/>
  <c r="L233" i="118" s="1"/>
  <c r="M233" i="118"/>
  <c r="K233" i="118"/>
  <c r="J233" i="118"/>
  <c r="I233" i="118"/>
  <c r="H233" i="118" s="1"/>
  <c r="L232" i="118"/>
  <c r="I232" i="118"/>
  <c r="L231" i="118"/>
  <c r="I231" i="118"/>
  <c r="H231" i="118" s="1"/>
  <c r="N230" i="118"/>
  <c r="L230" i="118" s="1"/>
  <c r="M230" i="118"/>
  <c r="K230" i="118"/>
  <c r="I230" i="118" s="1"/>
  <c r="J230" i="118"/>
  <c r="L229" i="118"/>
  <c r="I229" i="118"/>
  <c r="H229" i="118"/>
  <c r="L228" i="118"/>
  <c r="I228" i="118"/>
  <c r="N227" i="118"/>
  <c r="L227" i="118" s="1"/>
  <c r="M227" i="118"/>
  <c r="K227" i="118"/>
  <c r="J227" i="118"/>
  <c r="I227" i="118" s="1"/>
  <c r="H227" i="118" s="1"/>
  <c r="L226" i="118"/>
  <c r="I226" i="118"/>
  <c r="H226" i="118" s="1"/>
  <c r="L225" i="118"/>
  <c r="I225" i="118"/>
  <c r="H225" i="118"/>
  <c r="N224" i="118"/>
  <c r="M224" i="118"/>
  <c r="K224" i="118"/>
  <c r="J224" i="118"/>
  <c r="I224" i="118" s="1"/>
  <c r="L223" i="118"/>
  <c r="I223" i="118"/>
  <c r="H223" i="118" s="1"/>
  <c r="L222" i="118"/>
  <c r="I222" i="118"/>
  <c r="H222" i="118" s="1"/>
  <c r="N221" i="118"/>
  <c r="M221" i="118"/>
  <c r="L221" i="118" s="1"/>
  <c r="K221" i="118"/>
  <c r="J221" i="118"/>
  <c r="I221" i="118" s="1"/>
  <c r="H221" i="118" s="1"/>
  <c r="L220" i="118"/>
  <c r="I220" i="118"/>
  <c r="H220" i="118" s="1"/>
  <c r="L219" i="118"/>
  <c r="I219" i="118"/>
  <c r="H219" i="118"/>
  <c r="N218" i="118"/>
  <c r="M218" i="118"/>
  <c r="L218" i="118" s="1"/>
  <c r="K218" i="118"/>
  <c r="I218" i="118" s="1"/>
  <c r="J218" i="118"/>
  <c r="L217" i="118"/>
  <c r="H217" i="118" s="1"/>
  <c r="I217" i="118"/>
  <c r="L216" i="118"/>
  <c r="I216" i="118"/>
  <c r="H216" i="118" s="1"/>
  <c r="N215" i="118"/>
  <c r="M215" i="118"/>
  <c r="L215" i="118"/>
  <c r="K215" i="118"/>
  <c r="J215" i="118"/>
  <c r="I215" i="118" s="1"/>
  <c r="H215" i="118" s="1"/>
  <c r="L214" i="118"/>
  <c r="I214" i="118"/>
  <c r="H214" i="118" s="1"/>
  <c r="L213" i="118"/>
  <c r="H213" i="118" s="1"/>
  <c r="I213" i="118"/>
  <c r="N212" i="118"/>
  <c r="M212" i="118"/>
  <c r="K212" i="118"/>
  <c r="J212" i="118"/>
  <c r="I212" i="118"/>
  <c r="L211" i="118"/>
  <c r="H211" i="118" s="1"/>
  <c r="I211" i="118"/>
  <c r="L210" i="118"/>
  <c r="H210" i="118" s="1"/>
  <c r="I210" i="118"/>
  <c r="N209" i="118"/>
  <c r="M209" i="118"/>
  <c r="L209" i="118"/>
  <c r="K209" i="118"/>
  <c r="I209" i="118" s="1"/>
  <c r="H209" i="118" s="1"/>
  <c r="J209" i="118"/>
  <c r="L208" i="118"/>
  <c r="I208" i="118"/>
  <c r="L207" i="118"/>
  <c r="I207" i="118"/>
  <c r="H207" i="118" s="1"/>
  <c r="N206" i="118"/>
  <c r="M206" i="118"/>
  <c r="L206" i="118" s="1"/>
  <c r="J206" i="118"/>
  <c r="L205" i="118"/>
  <c r="I205" i="118"/>
  <c r="H205" i="118" s="1"/>
  <c r="L204" i="118"/>
  <c r="K204" i="118"/>
  <c r="I204" i="118" s="1"/>
  <c r="H204" i="118" s="1"/>
  <c r="N203" i="118"/>
  <c r="L203" i="118" s="1"/>
  <c r="M203" i="118"/>
  <c r="J203" i="118"/>
  <c r="L202" i="118"/>
  <c r="K202" i="118"/>
  <c r="I202" i="118"/>
  <c r="H202" i="118"/>
  <c r="L201" i="118"/>
  <c r="K201" i="118"/>
  <c r="N200" i="118"/>
  <c r="M200" i="118"/>
  <c r="L200" i="118" s="1"/>
  <c r="K200" i="118"/>
  <c r="J200" i="118"/>
  <c r="I200" i="118" s="1"/>
  <c r="H200" i="118" s="1"/>
  <c r="L199" i="118"/>
  <c r="H199" i="118" s="1"/>
  <c r="I199" i="118"/>
  <c r="L198" i="118"/>
  <c r="I198" i="118"/>
  <c r="H198" i="118" s="1"/>
  <c r="N197" i="118"/>
  <c r="M197" i="118"/>
  <c r="L197" i="118"/>
  <c r="K197" i="118"/>
  <c r="J197" i="118"/>
  <c r="I197" i="118" s="1"/>
  <c r="H197" i="118" s="1"/>
  <c r="L196" i="118"/>
  <c r="I196" i="118"/>
  <c r="H196" i="118" s="1"/>
  <c r="L195" i="118"/>
  <c r="I195" i="118"/>
  <c r="N194" i="118"/>
  <c r="M194" i="118"/>
  <c r="L194" i="118"/>
  <c r="K194" i="118"/>
  <c r="J194" i="118"/>
  <c r="I194" i="118" s="1"/>
  <c r="H194" i="118" s="1"/>
  <c r="L193" i="118"/>
  <c r="H193" i="118" s="1"/>
  <c r="I193" i="118"/>
  <c r="L192" i="118"/>
  <c r="H192" i="118" s="1"/>
  <c r="I192" i="118"/>
  <c r="N191" i="118"/>
  <c r="M191" i="118"/>
  <c r="L191" i="118" s="1"/>
  <c r="H191" i="118" s="1"/>
  <c r="K191" i="118"/>
  <c r="J191" i="118"/>
  <c r="I191" i="118"/>
  <c r="L190" i="118"/>
  <c r="I190" i="118"/>
  <c r="H190" i="118"/>
  <c r="L189" i="118"/>
  <c r="H189" i="118" s="1"/>
  <c r="I189" i="118"/>
  <c r="N188" i="118"/>
  <c r="M188" i="118"/>
  <c r="L188" i="118"/>
  <c r="K188" i="118"/>
  <c r="J188" i="118"/>
  <c r="I188" i="118" s="1"/>
  <c r="L187" i="118"/>
  <c r="I187" i="118"/>
  <c r="H187" i="118"/>
  <c r="L186" i="118"/>
  <c r="I186" i="118"/>
  <c r="H186" i="118"/>
  <c r="N185" i="118"/>
  <c r="L185" i="118" s="1"/>
  <c r="M185" i="118"/>
  <c r="K185" i="118"/>
  <c r="J185" i="118"/>
  <c r="I185" i="118" s="1"/>
  <c r="H185" i="118" s="1"/>
  <c r="L184" i="118"/>
  <c r="I184" i="118"/>
  <c r="H184" i="118" s="1"/>
  <c r="L183" i="118"/>
  <c r="I183" i="118"/>
  <c r="H183" i="118" s="1"/>
  <c r="N182" i="118"/>
  <c r="M182" i="118"/>
  <c r="L182" i="118" s="1"/>
  <c r="H182" i="118" s="1"/>
  <c r="K182" i="118"/>
  <c r="I182" i="118" s="1"/>
  <c r="J182" i="118"/>
  <c r="L181" i="118"/>
  <c r="I181" i="118"/>
  <c r="H181" i="118"/>
  <c r="L180" i="118"/>
  <c r="I180" i="118"/>
  <c r="N179" i="118"/>
  <c r="M179" i="118"/>
  <c r="L179" i="118"/>
  <c r="K179" i="118"/>
  <c r="J179" i="118"/>
  <c r="I179" i="118"/>
  <c r="H179" i="118" s="1"/>
  <c r="L178" i="118"/>
  <c r="I178" i="118"/>
  <c r="H178" i="118" s="1"/>
  <c r="L177" i="118"/>
  <c r="I177" i="118"/>
  <c r="H177" i="118"/>
  <c r="N176" i="118"/>
  <c r="M176" i="118"/>
  <c r="L176" i="118" s="1"/>
  <c r="K176" i="118"/>
  <c r="J176" i="118"/>
  <c r="L175" i="118"/>
  <c r="I175" i="118"/>
  <c r="H175" i="118" s="1"/>
  <c r="L174" i="118"/>
  <c r="I174" i="118"/>
  <c r="H174" i="118" s="1"/>
  <c r="N173" i="118"/>
  <c r="M173" i="118"/>
  <c r="L173" i="118" s="1"/>
  <c r="K173" i="118"/>
  <c r="J173" i="118"/>
  <c r="I173" i="118" s="1"/>
  <c r="H173" i="118" s="1"/>
  <c r="L172" i="118"/>
  <c r="I172" i="118"/>
  <c r="L171" i="118"/>
  <c r="H171" i="118" s="1"/>
  <c r="I171" i="118"/>
  <c r="N170" i="118"/>
  <c r="M170" i="118"/>
  <c r="L170" i="118" s="1"/>
  <c r="K170" i="118"/>
  <c r="J170" i="118"/>
  <c r="I170" i="118"/>
  <c r="H170" i="118" s="1"/>
  <c r="L169" i="118"/>
  <c r="I169" i="118"/>
  <c r="H169" i="118"/>
  <c r="L168" i="118"/>
  <c r="I168" i="118"/>
  <c r="N167" i="118"/>
  <c r="M167" i="118"/>
  <c r="L167" i="118"/>
  <c r="H167" i="118" s="1"/>
  <c r="K167" i="118"/>
  <c r="J167" i="118"/>
  <c r="I167" i="118"/>
  <c r="L166" i="118"/>
  <c r="I166" i="118"/>
  <c r="H166" i="118" s="1"/>
  <c r="L165" i="118"/>
  <c r="H165" i="118" s="1"/>
  <c r="I165" i="118"/>
  <c r="N164" i="118"/>
  <c r="M164" i="118"/>
  <c r="L164" i="118" s="1"/>
  <c r="K164" i="118"/>
  <c r="I164" i="118" s="1"/>
  <c r="H164" i="118" s="1"/>
  <c r="J164" i="118"/>
  <c r="L163" i="118"/>
  <c r="I163" i="118"/>
  <c r="H163" i="118" s="1"/>
  <c r="L162" i="118"/>
  <c r="I162" i="118"/>
  <c r="H162" i="118"/>
  <c r="N161" i="118"/>
  <c r="M161" i="118"/>
  <c r="L161" i="118"/>
  <c r="K161" i="118"/>
  <c r="J161" i="118"/>
  <c r="I161" i="118" s="1"/>
  <c r="H161" i="118" s="1"/>
  <c r="L160" i="118"/>
  <c r="I160" i="118"/>
  <c r="L159" i="118"/>
  <c r="I159" i="118"/>
  <c r="H159" i="118"/>
  <c r="N158" i="118"/>
  <c r="M158" i="118"/>
  <c r="K158" i="118"/>
  <c r="J158" i="118"/>
  <c r="I158" i="118"/>
  <c r="L157" i="118"/>
  <c r="I157" i="118"/>
  <c r="H157" i="118"/>
  <c r="L156" i="118"/>
  <c r="I156" i="118"/>
  <c r="H156" i="118" s="1"/>
  <c r="N155" i="118"/>
  <c r="M155" i="118"/>
  <c r="L155" i="118" s="1"/>
  <c r="K155" i="118"/>
  <c r="J155" i="118"/>
  <c r="I155" i="118" s="1"/>
  <c r="H155" i="118" s="1"/>
  <c r="L154" i="118"/>
  <c r="I154" i="118"/>
  <c r="H154" i="118"/>
  <c r="L153" i="118"/>
  <c r="H153" i="118" s="1"/>
  <c r="I153" i="118"/>
  <c r="N152" i="118"/>
  <c r="M152" i="118"/>
  <c r="K152" i="118"/>
  <c r="J152" i="118"/>
  <c r="I152" i="118"/>
  <c r="L151" i="118"/>
  <c r="I151" i="118"/>
  <c r="H151" i="118"/>
  <c r="L150" i="118"/>
  <c r="I150" i="118"/>
  <c r="H150" i="118" s="1"/>
  <c r="N149" i="118"/>
  <c r="M149" i="118"/>
  <c r="L149" i="118"/>
  <c r="K149" i="118"/>
  <c r="J149" i="118"/>
  <c r="I149" i="118" s="1"/>
  <c r="L148" i="118"/>
  <c r="K148" i="118"/>
  <c r="I148" i="118"/>
  <c r="H148" i="118" s="1"/>
  <c r="L147" i="118"/>
  <c r="I147" i="118"/>
  <c r="H147" i="118" s="1"/>
  <c r="N146" i="118"/>
  <c r="M146" i="118"/>
  <c r="L146" i="118"/>
  <c r="K146" i="118"/>
  <c r="J146" i="118"/>
  <c r="I146" i="118" s="1"/>
  <c r="H146" i="118" s="1"/>
  <c r="L145" i="118"/>
  <c r="H145" i="118"/>
  <c r="L144" i="118"/>
  <c r="H144" i="118"/>
  <c r="M142" i="118"/>
  <c r="N141" i="118"/>
  <c r="M141" i="118"/>
  <c r="L141" i="118" s="1"/>
  <c r="K141" i="118"/>
  <c r="K120" i="118" s="1"/>
  <c r="J141" i="118"/>
  <c r="N140" i="118"/>
  <c r="M140" i="118"/>
  <c r="L140" i="118" s="1"/>
  <c r="K140" i="118"/>
  <c r="I140" i="118" s="1"/>
  <c r="H140" i="118" s="1"/>
  <c r="J140" i="118"/>
  <c r="N138" i="118"/>
  <c r="M138" i="118"/>
  <c r="L138" i="118" s="1"/>
  <c r="K138" i="118"/>
  <c r="J138" i="118"/>
  <c r="I138" i="118"/>
  <c r="H138" i="118" s="1"/>
  <c r="L137" i="118"/>
  <c r="I137" i="118"/>
  <c r="H137" i="118"/>
  <c r="L136" i="118"/>
  <c r="I136" i="118"/>
  <c r="N135" i="118"/>
  <c r="M135" i="118"/>
  <c r="K135" i="118"/>
  <c r="I135" i="118" s="1"/>
  <c r="J135" i="118"/>
  <c r="L134" i="118"/>
  <c r="H134" i="118" s="1"/>
  <c r="I134" i="118"/>
  <c r="L133" i="118"/>
  <c r="I133" i="118"/>
  <c r="H133" i="118" s="1"/>
  <c r="N132" i="118"/>
  <c r="N125" i="118" s="1"/>
  <c r="M132" i="118"/>
  <c r="M125" i="118" s="1"/>
  <c r="K132" i="118"/>
  <c r="J132" i="118"/>
  <c r="I132" i="118" s="1"/>
  <c r="L131" i="118"/>
  <c r="I131" i="118"/>
  <c r="H131" i="118" s="1"/>
  <c r="L130" i="118"/>
  <c r="I130" i="118"/>
  <c r="H130" i="118" s="1"/>
  <c r="N129" i="118"/>
  <c r="M129" i="118"/>
  <c r="L129" i="118"/>
  <c r="K129" i="118"/>
  <c r="J129" i="118"/>
  <c r="I129" i="118" s="1"/>
  <c r="H129" i="118" s="1"/>
  <c r="L128" i="118"/>
  <c r="H128" i="118" s="1"/>
  <c r="I128" i="118"/>
  <c r="L127" i="118"/>
  <c r="I127" i="118"/>
  <c r="H127" i="118"/>
  <c r="J125" i="118"/>
  <c r="N124" i="118"/>
  <c r="N120" i="118" s="1"/>
  <c r="M124" i="118"/>
  <c r="L124" i="118" s="1"/>
  <c r="K124" i="118"/>
  <c r="J124" i="118"/>
  <c r="I124" i="118"/>
  <c r="N123" i="118"/>
  <c r="M123" i="118"/>
  <c r="L123" i="118" s="1"/>
  <c r="K123" i="118"/>
  <c r="J123" i="118"/>
  <c r="J120" i="118"/>
  <c r="I120" i="118" s="1"/>
  <c r="J119" i="118"/>
  <c r="N117" i="118"/>
  <c r="M117" i="118"/>
  <c r="L117" i="118"/>
  <c r="K117" i="118"/>
  <c r="J117" i="118"/>
  <c r="I117" i="118" s="1"/>
  <c r="L116" i="118"/>
  <c r="I116" i="118"/>
  <c r="H116" i="118" s="1"/>
  <c r="L115" i="118"/>
  <c r="I115" i="118"/>
  <c r="H115" i="118"/>
  <c r="N114" i="118"/>
  <c r="M114" i="118"/>
  <c r="L114" i="118" s="1"/>
  <c r="K114" i="118"/>
  <c r="J114" i="118"/>
  <c r="I114" i="118"/>
  <c r="L113" i="118"/>
  <c r="H113" i="118" s="1"/>
  <c r="I113" i="118"/>
  <c r="L112" i="118"/>
  <c r="I112" i="118"/>
  <c r="N111" i="118"/>
  <c r="M111" i="118"/>
  <c r="L111" i="118"/>
  <c r="K111" i="118"/>
  <c r="I111" i="118" s="1"/>
  <c r="H111" i="118" s="1"/>
  <c r="J111" i="118"/>
  <c r="L110" i="118"/>
  <c r="I110" i="118"/>
  <c r="H110" i="118" s="1"/>
  <c r="L109" i="118"/>
  <c r="I109" i="118"/>
  <c r="H109" i="118"/>
  <c r="N108" i="118"/>
  <c r="M108" i="118"/>
  <c r="K108" i="118"/>
  <c r="J108" i="118"/>
  <c r="I108" i="118"/>
  <c r="L107" i="118"/>
  <c r="I107" i="118"/>
  <c r="H107" i="118"/>
  <c r="L106" i="118"/>
  <c r="I106" i="118"/>
  <c r="H106" i="118" s="1"/>
  <c r="N105" i="118"/>
  <c r="M105" i="118"/>
  <c r="L105" i="118"/>
  <c r="K105" i="118"/>
  <c r="J105" i="118"/>
  <c r="I105" i="118" s="1"/>
  <c r="H105" i="118"/>
  <c r="L104" i="118"/>
  <c r="I104" i="118"/>
  <c r="H104" i="118" s="1"/>
  <c r="L103" i="118"/>
  <c r="I103" i="118"/>
  <c r="H103" i="118" s="1"/>
  <c r="M102" i="118"/>
  <c r="K102" i="118"/>
  <c r="N101" i="118"/>
  <c r="M101" i="118"/>
  <c r="L101" i="118"/>
  <c r="K101" i="118"/>
  <c r="J101" i="118"/>
  <c r="I101" i="118" s="1"/>
  <c r="H101" i="118" s="1"/>
  <c r="N100" i="118"/>
  <c r="M100" i="118"/>
  <c r="L100" i="118" s="1"/>
  <c r="K100" i="118"/>
  <c r="K42" i="118" s="1"/>
  <c r="K38" i="118" s="1"/>
  <c r="J100" i="118"/>
  <c r="N99" i="118"/>
  <c r="N93" i="118" s="1"/>
  <c r="M99" i="118"/>
  <c r="K99" i="118"/>
  <c r="J99" i="118"/>
  <c r="I99" i="118" s="1"/>
  <c r="L98" i="118"/>
  <c r="H98" i="118" s="1"/>
  <c r="I98" i="118"/>
  <c r="L97" i="118"/>
  <c r="I97" i="118"/>
  <c r="H97" i="118"/>
  <c r="N96" i="118"/>
  <c r="M96" i="118"/>
  <c r="M93" i="118" s="1"/>
  <c r="L96" i="118"/>
  <c r="K96" i="118"/>
  <c r="K93" i="118" s="1"/>
  <c r="J96" i="118"/>
  <c r="L95" i="118"/>
  <c r="I95" i="118"/>
  <c r="H95" i="118"/>
  <c r="L94" i="118"/>
  <c r="I94" i="118"/>
  <c r="H94" i="118"/>
  <c r="N92" i="118"/>
  <c r="M92" i="118"/>
  <c r="K92" i="118"/>
  <c r="I92" i="118" s="1"/>
  <c r="J92" i="118"/>
  <c r="N91" i="118"/>
  <c r="N42" i="118" s="1"/>
  <c r="N38" i="118" s="1"/>
  <c r="M91" i="118"/>
  <c r="L91" i="118" s="1"/>
  <c r="K91" i="118"/>
  <c r="J91" i="118"/>
  <c r="I91" i="118" s="1"/>
  <c r="H91" i="118" s="1"/>
  <c r="N90" i="118"/>
  <c r="M90" i="118"/>
  <c r="L90" i="118"/>
  <c r="K90" i="118"/>
  <c r="I90" i="118" s="1"/>
  <c r="H90" i="118" s="1"/>
  <c r="J90" i="118"/>
  <c r="L89" i="118"/>
  <c r="I89" i="118"/>
  <c r="H89" i="118" s="1"/>
  <c r="L88" i="118"/>
  <c r="I88" i="118"/>
  <c r="H88" i="118" s="1"/>
  <c r="N87" i="118"/>
  <c r="M87" i="118"/>
  <c r="L87" i="118"/>
  <c r="K87" i="118"/>
  <c r="J87" i="118"/>
  <c r="I87" i="118" s="1"/>
  <c r="L86" i="118"/>
  <c r="I86" i="118"/>
  <c r="H86" i="118" s="1"/>
  <c r="L85" i="118"/>
  <c r="I85" i="118"/>
  <c r="H85" i="118"/>
  <c r="N84" i="118"/>
  <c r="M84" i="118"/>
  <c r="K84" i="118"/>
  <c r="J84" i="118"/>
  <c r="I84" i="118"/>
  <c r="L83" i="118"/>
  <c r="I83" i="118"/>
  <c r="H83" i="118"/>
  <c r="L82" i="118"/>
  <c r="I82" i="118"/>
  <c r="H82" i="118" s="1"/>
  <c r="N81" i="118"/>
  <c r="M81" i="118"/>
  <c r="L81" i="118" s="1"/>
  <c r="K81" i="118"/>
  <c r="J81" i="118"/>
  <c r="L80" i="118"/>
  <c r="I80" i="118"/>
  <c r="H80" i="118"/>
  <c r="L79" i="118"/>
  <c r="I79" i="118"/>
  <c r="H79" i="118"/>
  <c r="N78" i="118"/>
  <c r="M78" i="118"/>
  <c r="L78" i="118" s="1"/>
  <c r="H78" i="118" s="1"/>
  <c r="K78" i="118"/>
  <c r="J78" i="118"/>
  <c r="I78" i="118"/>
  <c r="L77" i="118"/>
  <c r="I77" i="118"/>
  <c r="H77" i="118"/>
  <c r="L76" i="118"/>
  <c r="I76" i="118"/>
  <c r="H76" i="118" s="1"/>
  <c r="N75" i="118"/>
  <c r="N72" i="118" s="1"/>
  <c r="M75" i="118"/>
  <c r="L75" i="118" s="1"/>
  <c r="K75" i="118"/>
  <c r="J75" i="118"/>
  <c r="L74" i="118"/>
  <c r="I74" i="118"/>
  <c r="H74" i="118"/>
  <c r="L73" i="118"/>
  <c r="H73" i="118" s="1"/>
  <c r="I73" i="118"/>
  <c r="K72" i="118"/>
  <c r="N71" i="118"/>
  <c r="N43" i="118" s="1"/>
  <c r="N39" i="118" s="1"/>
  <c r="N12" i="118" s="1"/>
  <c r="N586" i="118" s="1"/>
  <c r="M71" i="118"/>
  <c r="L71" i="118"/>
  <c r="K71" i="118"/>
  <c r="J71" i="118"/>
  <c r="N70" i="118"/>
  <c r="M70" i="118"/>
  <c r="K70" i="118"/>
  <c r="J70" i="118"/>
  <c r="J42" i="118" s="1"/>
  <c r="I70" i="118"/>
  <c r="N69" i="118"/>
  <c r="M69" i="118"/>
  <c r="L69" i="118"/>
  <c r="K69" i="118"/>
  <c r="J69" i="118"/>
  <c r="I69" i="118"/>
  <c r="H69" i="118"/>
  <c r="L68" i="118"/>
  <c r="I68" i="118"/>
  <c r="L67" i="118"/>
  <c r="I67" i="118"/>
  <c r="H67" i="118"/>
  <c r="N66" i="118"/>
  <c r="M66" i="118"/>
  <c r="L66" i="118"/>
  <c r="K66" i="118"/>
  <c r="I66" i="118" s="1"/>
  <c r="H66" i="118" s="1"/>
  <c r="J66" i="118"/>
  <c r="L65" i="118"/>
  <c r="I65" i="118"/>
  <c r="H65" i="118" s="1"/>
  <c r="L64" i="118"/>
  <c r="I64" i="118"/>
  <c r="N63" i="118"/>
  <c r="L63" i="118" s="1"/>
  <c r="H63" i="118" s="1"/>
  <c r="M63" i="118"/>
  <c r="K63" i="118"/>
  <c r="J63" i="118"/>
  <c r="I63" i="118" s="1"/>
  <c r="L62" i="118"/>
  <c r="I62" i="118"/>
  <c r="H62" i="118" s="1"/>
  <c r="L61" i="118"/>
  <c r="I61" i="118"/>
  <c r="H61" i="118"/>
  <c r="N60" i="118"/>
  <c r="M60" i="118"/>
  <c r="K60" i="118"/>
  <c r="J60" i="118"/>
  <c r="I60" i="118"/>
  <c r="L59" i="118"/>
  <c r="I59" i="118"/>
  <c r="H59" i="118"/>
  <c r="L58" i="118"/>
  <c r="I58" i="118"/>
  <c r="H58" i="118" s="1"/>
  <c r="N57" i="118"/>
  <c r="M57" i="118"/>
  <c r="L57" i="118" s="1"/>
  <c r="K57" i="118"/>
  <c r="J57" i="118"/>
  <c r="I57" i="118" s="1"/>
  <c r="H57" i="118"/>
  <c r="L56" i="118"/>
  <c r="I56" i="118"/>
  <c r="H56" i="118" s="1"/>
  <c r="L55" i="118"/>
  <c r="I55" i="118"/>
  <c r="H55" i="118" s="1"/>
  <c r="N54" i="118"/>
  <c r="M54" i="118"/>
  <c r="L54" i="118" s="1"/>
  <c r="K54" i="118"/>
  <c r="J54" i="118"/>
  <c r="I54" i="118"/>
  <c r="H54" i="118" s="1"/>
  <c r="L53" i="118"/>
  <c r="H53" i="118" s="1"/>
  <c r="I53" i="118"/>
  <c r="L52" i="118"/>
  <c r="I52" i="118"/>
  <c r="H52" i="118"/>
  <c r="N51" i="118"/>
  <c r="M51" i="118"/>
  <c r="L51" i="118" s="1"/>
  <c r="H51" i="118" s="1"/>
  <c r="K51" i="118"/>
  <c r="J51" i="118"/>
  <c r="I51" i="118" s="1"/>
  <c r="L50" i="118"/>
  <c r="I50" i="118"/>
  <c r="H50" i="118"/>
  <c r="L49" i="118"/>
  <c r="H49" i="118" s="1"/>
  <c r="I49" i="118"/>
  <c r="N48" i="118"/>
  <c r="M48" i="118"/>
  <c r="K48" i="118"/>
  <c r="J48" i="118"/>
  <c r="I48" i="118" s="1"/>
  <c r="L47" i="118"/>
  <c r="H47" i="118" s="1"/>
  <c r="I47" i="118"/>
  <c r="L46" i="118"/>
  <c r="H46" i="118" s="1"/>
  <c r="I46" i="118"/>
  <c r="K43" i="118"/>
  <c r="K39" i="118" s="1"/>
  <c r="N36" i="118"/>
  <c r="M36" i="118"/>
  <c r="L36" i="118"/>
  <c r="K36" i="118"/>
  <c r="J36" i="118"/>
  <c r="I36" i="118" s="1"/>
  <c r="L35" i="118"/>
  <c r="H35" i="118" s="1"/>
  <c r="I35" i="118"/>
  <c r="L34" i="118"/>
  <c r="I34" i="118"/>
  <c r="H34" i="118" s="1"/>
  <c r="N33" i="118"/>
  <c r="M33" i="118"/>
  <c r="L33" i="118"/>
  <c r="K33" i="118"/>
  <c r="J33" i="118"/>
  <c r="I33" i="118" s="1"/>
  <c r="H33" i="118" s="1"/>
  <c r="L32" i="118"/>
  <c r="H32" i="118" s="1"/>
  <c r="I32" i="118"/>
  <c r="L31" i="118"/>
  <c r="I31" i="118"/>
  <c r="H31" i="118"/>
  <c r="N30" i="118"/>
  <c r="M30" i="118"/>
  <c r="K30" i="118"/>
  <c r="J30" i="118"/>
  <c r="I30" i="118"/>
  <c r="L29" i="118"/>
  <c r="I29" i="118"/>
  <c r="H29" i="118"/>
  <c r="L28" i="118"/>
  <c r="H28" i="118" s="1"/>
  <c r="I28" i="118"/>
  <c r="N27" i="118"/>
  <c r="M27" i="118"/>
  <c r="L27" i="118"/>
  <c r="K27" i="118"/>
  <c r="J27" i="118"/>
  <c r="I27" i="118" s="1"/>
  <c r="L26" i="118"/>
  <c r="I26" i="118"/>
  <c r="H26" i="118" s="1"/>
  <c r="L25" i="118"/>
  <c r="I25" i="118"/>
  <c r="H25" i="118"/>
  <c r="N24" i="118"/>
  <c r="L24" i="118" s="1"/>
  <c r="M24" i="118"/>
  <c r="K24" i="118"/>
  <c r="J24" i="118"/>
  <c r="I24" i="118"/>
  <c r="H24" i="118" s="1"/>
  <c r="L23" i="118"/>
  <c r="I23" i="118"/>
  <c r="H23" i="118" s="1"/>
  <c r="L22" i="118"/>
  <c r="I22" i="118"/>
  <c r="H22" i="118" s="1"/>
  <c r="N21" i="118"/>
  <c r="M21" i="118"/>
  <c r="M17" i="118" s="1"/>
  <c r="L21" i="118"/>
  <c r="K21" i="118"/>
  <c r="I21" i="118" s="1"/>
  <c r="J21" i="118"/>
  <c r="H21" i="118"/>
  <c r="L20" i="118"/>
  <c r="I20" i="118"/>
  <c r="H20" i="118"/>
  <c r="L19" i="118"/>
  <c r="I19" i="118"/>
  <c r="H19" i="118" s="1"/>
  <c r="K17" i="118"/>
  <c r="J17" i="118"/>
  <c r="I17" i="118"/>
  <c r="N16" i="118"/>
  <c r="M16" i="118"/>
  <c r="L16" i="118"/>
  <c r="K16" i="118"/>
  <c r="J16" i="118"/>
  <c r="I16" i="118"/>
  <c r="H16" i="118"/>
  <c r="N15" i="118"/>
  <c r="L15" i="118" s="1"/>
  <c r="M15" i="118"/>
  <c r="K15" i="118"/>
  <c r="J15" i="118"/>
  <c r="I15" i="118"/>
  <c r="H15" i="118" s="1"/>
  <c r="F58" i="117"/>
  <c r="E58" i="117"/>
  <c r="D58" i="117"/>
  <c r="E56" i="117"/>
  <c r="D56" i="117"/>
  <c r="D54" i="117"/>
  <c r="E53" i="117"/>
  <c r="D53" i="117"/>
  <c r="F52" i="117"/>
  <c r="D49" i="117"/>
  <c r="D50" i="117" s="1"/>
  <c r="F48" i="117"/>
  <c r="E48" i="117"/>
  <c r="D48" i="117"/>
  <c r="F44" i="117"/>
  <c r="E44" i="117"/>
  <c r="D44" i="117"/>
  <c r="E43" i="117"/>
  <c r="E42" i="117"/>
  <c r="D42" i="117"/>
  <c r="F41" i="117"/>
  <c r="E41" i="117"/>
  <c r="E40" i="117" s="1"/>
  <c r="E39" i="117" s="1"/>
  <c r="D41" i="117"/>
  <c r="D40" i="117" s="1"/>
  <c r="D39" i="117" s="1"/>
  <c r="D33" i="117"/>
  <c r="F32" i="117"/>
  <c r="F31" i="117" s="1"/>
  <c r="E31" i="117"/>
  <c r="D31" i="117"/>
  <c r="F30" i="117"/>
  <c r="F29" i="117"/>
  <c r="F28" i="117"/>
  <c r="F53" i="117" s="1"/>
  <c r="F27" i="117"/>
  <c r="F26" i="117" s="1"/>
  <c r="E27" i="117"/>
  <c r="E26" i="117" s="1"/>
  <c r="E33" i="117" s="1"/>
  <c r="D27" i="117"/>
  <c r="D26" i="117" s="1"/>
  <c r="F23" i="117"/>
  <c r="F22" i="117"/>
  <c r="E21" i="117"/>
  <c r="D21" i="117"/>
  <c r="F20" i="117"/>
  <c r="F43" i="117" s="1"/>
  <c r="D20" i="117"/>
  <c r="D43" i="117" s="1"/>
  <c r="F19" i="117"/>
  <c r="E18" i="117"/>
  <c r="E60" i="117" s="1"/>
  <c r="F17" i="117"/>
  <c r="F42" i="117" s="1"/>
  <c r="F40" i="117" s="1"/>
  <c r="F16" i="117"/>
  <c r="F15" i="117"/>
  <c r="E15" i="117"/>
  <c r="E54" i="117" s="1"/>
  <c r="D15" i="117"/>
  <c r="F13" i="117"/>
  <c r="F12" i="117"/>
  <c r="F11" i="117"/>
  <c r="E11" i="117"/>
  <c r="E52" i="117" s="1"/>
  <c r="E55" i="117" s="1"/>
  <c r="E57" i="117" s="1"/>
  <c r="E59" i="117" s="1"/>
  <c r="E63" i="117" s="1"/>
  <c r="D11" i="117"/>
  <c r="D52" i="117" s="1"/>
  <c r="D55" i="117" s="1"/>
  <c r="D57" i="117" s="1"/>
  <c r="D59" i="117" s="1"/>
  <c r="J85" i="122" l="1"/>
  <c r="N100" i="122"/>
  <c r="J110" i="122"/>
  <c r="J50" i="122"/>
  <c r="J95" i="122"/>
  <c r="N110" i="122"/>
  <c r="J24" i="122"/>
  <c r="J35" i="122"/>
  <c r="J105" i="122"/>
  <c r="U127" i="122"/>
  <c r="V132" i="122"/>
  <c r="V130" i="122"/>
  <c r="J45" i="122"/>
  <c r="N50" i="122"/>
  <c r="J115" i="122"/>
  <c r="J67" i="122"/>
  <c r="J70" i="122" s="1"/>
  <c r="J77" i="122"/>
  <c r="J80" i="122" s="1"/>
  <c r="J65" i="122"/>
  <c r="J87" i="122"/>
  <c r="J90" i="122" s="1"/>
  <c r="O25" i="122"/>
  <c r="N75" i="122"/>
  <c r="R80" i="122"/>
  <c r="U132" i="122"/>
  <c r="O20" i="122"/>
  <c r="W130" i="122"/>
  <c r="W132" i="122"/>
  <c r="W135" i="122" s="1"/>
  <c r="V129" i="122"/>
  <c r="N65" i="122"/>
  <c r="N125" i="122"/>
  <c r="S30" i="122"/>
  <c r="R17" i="122"/>
  <c r="N27" i="122"/>
  <c r="N30" i="122" s="1"/>
  <c r="O90" i="122"/>
  <c r="O100" i="122"/>
  <c r="O110" i="122"/>
  <c r="N35" i="122"/>
  <c r="N55" i="122"/>
  <c r="J22" i="122"/>
  <c r="J25" i="122" s="1"/>
  <c r="N37" i="122"/>
  <c r="N40" i="122" s="1"/>
  <c r="J44" i="122"/>
  <c r="N57" i="122"/>
  <c r="N60" i="122" s="1"/>
  <c r="N67" i="122"/>
  <c r="N70" i="122" s="1"/>
  <c r="N117" i="122"/>
  <c r="N120" i="122" s="1"/>
  <c r="K20" i="122"/>
  <c r="S20" i="122"/>
  <c r="N132" i="121"/>
  <c r="N179" i="121"/>
  <c r="N160" i="121"/>
  <c r="J157" i="121"/>
  <c r="J160" i="121" s="1"/>
  <c r="U233" i="121"/>
  <c r="V236" i="121"/>
  <c r="W177" i="121"/>
  <c r="V17" i="121"/>
  <c r="W20" i="121"/>
  <c r="K179" i="121"/>
  <c r="R125" i="121"/>
  <c r="U132" i="121"/>
  <c r="U135" i="121" s="1"/>
  <c r="V135" i="121"/>
  <c r="U145" i="121"/>
  <c r="N142" i="121"/>
  <c r="K208" i="121"/>
  <c r="N213" i="121"/>
  <c r="N230" i="121"/>
  <c r="R275" i="121"/>
  <c r="G177" i="121"/>
  <c r="J19" i="121"/>
  <c r="N24" i="121"/>
  <c r="K40" i="121"/>
  <c r="U42" i="121"/>
  <c r="U45" i="121" s="1"/>
  <c r="J49" i="121"/>
  <c r="U52" i="121"/>
  <c r="U55" i="121" s="1"/>
  <c r="W55" i="121"/>
  <c r="K60" i="121"/>
  <c r="J57" i="121"/>
  <c r="J60" i="121" s="1"/>
  <c r="N64" i="121"/>
  <c r="J64" i="121" s="1"/>
  <c r="J87" i="121"/>
  <c r="J90" i="121" s="1"/>
  <c r="N89" i="121"/>
  <c r="J99" i="121"/>
  <c r="J109" i="121"/>
  <c r="U120" i="121"/>
  <c r="V125" i="121"/>
  <c r="U122" i="121"/>
  <c r="U125" i="121" s="1"/>
  <c r="J134" i="121"/>
  <c r="V162" i="121"/>
  <c r="J167" i="121"/>
  <c r="J170" i="121" s="1"/>
  <c r="J192" i="121"/>
  <c r="N195" i="121"/>
  <c r="O198" i="121"/>
  <c r="O273" i="121"/>
  <c r="N228" i="121"/>
  <c r="O231" i="121"/>
  <c r="U251" i="121"/>
  <c r="N248" i="121"/>
  <c r="J263" i="121"/>
  <c r="J266" i="121" s="1"/>
  <c r="N266" i="121"/>
  <c r="R276" i="121"/>
  <c r="J40" i="121"/>
  <c r="R193" i="121"/>
  <c r="N190" i="121"/>
  <c r="R220" i="121"/>
  <c r="J89" i="121"/>
  <c r="R90" i="121"/>
  <c r="R135" i="121"/>
  <c r="O135" i="121"/>
  <c r="H177" i="121"/>
  <c r="H278" i="121" s="1"/>
  <c r="N22" i="121"/>
  <c r="U32" i="121"/>
  <c r="U35" i="121" s="1"/>
  <c r="N57" i="121"/>
  <c r="N60" i="121" s="1"/>
  <c r="W70" i="121"/>
  <c r="V67" i="121"/>
  <c r="U77" i="121"/>
  <c r="U80" i="121" s="1"/>
  <c r="V80" i="121"/>
  <c r="J94" i="121"/>
  <c r="N99" i="121"/>
  <c r="N134" i="121"/>
  <c r="U137" i="121"/>
  <c r="U140" i="121" s="1"/>
  <c r="J174" i="121"/>
  <c r="M281" i="121"/>
  <c r="R231" i="121"/>
  <c r="K256" i="121"/>
  <c r="O177" i="121"/>
  <c r="N62" i="121"/>
  <c r="R65" i="121"/>
  <c r="J72" i="121"/>
  <c r="J75" i="121" s="1"/>
  <c r="N82" i="121"/>
  <c r="N90" i="121"/>
  <c r="U102" i="121"/>
  <c r="U105" i="121" s="1"/>
  <c r="V105" i="121"/>
  <c r="P180" i="121"/>
  <c r="P278" i="121"/>
  <c r="P281" i="121" s="1"/>
  <c r="G278" i="121"/>
  <c r="J222" i="121"/>
  <c r="J268" i="121"/>
  <c r="J271" i="121" s="1"/>
  <c r="N271" i="121"/>
  <c r="O75" i="121"/>
  <c r="N72" i="121"/>
  <c r="N75" i="121" s="1"/>
  <c r="O100" i="121"/>
  <c r="N97" i="121"/>
  <c r="N100" i="121" s="1"/>
  <c r="K110" i="121"/>
  <c r="V112" i="121"/>
  <c r="V127" i="121"/>
  <c r="R150" i="121"/>
  <c r="K222" i="121"/>
  <c r="K188" i="121"/>
  <c r="U215" i="121"/>
  <c r="U218" i="121" s="1"/>
  <c r="J238" i="121"/>
  <c r="J241" i="121" s="1"/>
  <c r="N241" i="121"/>
  <c r="U179" i="121"/>
  <c r="U280" i="121" s="1"/>
  <c r="U25" i="121"/>
  <c r="V30" i="121"/>
  <c r="U27" i="121"/>
  <c r="U30" i="121" s="1"/>
  <c r="J34" i="121"/>
  <c r="O35" i="121"/>
  <c r="V85" i="121"/>
  <c r="J92" i="121"/>
  <c r="R100" i="121"/>
  <c r="J117" i="121"/>
  <c r="J120" i="121" s="1"/>
  <c r="J139" i="121"/>
  <c r="J188" i="121"/>
  <c r="J213" i="121"/>
  <c r="K246" i="121"/>
  <c r="K177" i="121"/>
  <c r="W95" i="121"/>
  <c r="V155" i="121"/>
  <c r="N172" i="121"/>
  <c r="N175" i="121" s="1"/>
  <c r="R177" i="121"/>
  <c r="T180" i="121"/>
  <c r="K220" i="121"/>
  <c r="U198" i="121"/>
  <c r="R203" i="121"/>
  <c r="O213" i="121"/>
  <c r="O220" i="121"/>
  <c r="O223" i="121" s="1"/>
  <c r="U231" i="121"/>
  <c r="J44" i="121"/>
  <c r="K75" i="121"/>
  <c r="K90" i="121"/>
  <c r="V147" i="121"/>
  <c r="N152" i="121"/>
  <c r="K170" i="121"/>
  <c r="S278" i="121"/>
  <c r="S281" i="121" s="1"/>
  <c r="K213" i="121"/>
  <c r="K273" i="121"/>
  <c r="G281" i="121"/>
  <c r="O179" i="121"/>
  <c r="O280" i="121" s="1"/>
  <c r="J24" i="121"/>
  <c r="N52" i="121"/>
  <c r="K150" i="121"/>
  <c r="R222" i="121"/>
  <c r="R280" i="121" s="1"/>
  <c r="V205" i="121"/>
  <c r="O218" i="121"/>
  <c r="G280" i="121"/>
  <c r="W273" i="121"/>
  <c r="W276" i="121" s="1"/>
  <c r="W236" i="121"/>
  <c r="V243" i="121"/>
  <c r="V273" i="121" s="1"/>
  <c r="V276" i="121" s="1"/>
  <c r="K275" i="121"/>
  <c r="J22" i="121"/>
  <c r="V47" i="121"/>
  <c r="J97" i="121"/>
  <c r="J100" i="121" s="1"/>
  <c r="V107" i="121"/>
  <c r="N137" i="121"/>
  <c r="N140" i="121" s="1"/>
  <c r="L180" i="121"/>
  <c r="V200" i="121"/>
  <c r="V253" i="121"/>
  <c r="U258" i="121"/>
  <c r="O275" i="121"/>
  <c r="Q180" i="121"/>
  <c r="I42" i="118"/>
  <c r="J38" i="118"/>
  <c r="I38" i="118" s="1"/>
  <c r="F33" i="117"/>
  <c r="N44" i="118"/>
  <c r="N40" i="118" s="1"/>
  <c r="F39" i="117"/>
  <c r="F55" i="117"/>
  <c r="H48" i="118"/>
  <c r="H99" i="118"/>
  <c r="K119" i="118"/>
  <c r="F56" i="117"/>
  <c r="M119" i="118"/>
  <c r="H188" i="118"/>
  <c r="F21" i="117"/>
  <c r="F54" i="117" s="1"/>
  <c r="D37" i="117"/>
  <c r="L30" i="118"/>
  <c r="H30" i="118" s="1"/>
  <c r="H64" i="118"/>
  <c r="I81" i="118"/>
  <c r="H81" i="118" s="1"/>
  <c r="L99" i="118"/>
  <c r="H117" i="118"/>
  <c r="I141" i="118"/>
  <c r="H141" i="118" s="1"/>
  <c r="H453" i="118"/>
  <c r="L93" i="118"/>
  <c r="K12" i="118"/>
  <c r="K586" i="118" s="1"/>
  <c r="E37" i="117"/>
  <c r="L70" i="118"/>
  <c r="H70" i="118" s="1"/>
  <c r="M42" i="118"/>
  <c r="L92" i="118"/>
  <c r="H92" i="118" s="1"/>
  <c r="M43" i="118"/>
  <c r="F18" i="117"/>
  <c r="F60" i="117" s="1"/>
  <c r="J11" i="118"/>
  <c r="K44" i="118"/>
  <c r="K40" i="118" s="1"/>
  <c r="M72" i="118"/>
  <c r="L72" i="118" s="1"/>
  <c r="I75" i="118"/>
  <c r="H75" i="118" s="1"/>
  <c r="J72" i="118"/>
  <c r="I72" i="118" s="1"/>
  <c r="H72" i="118" s="1"/>
  <c r="N119" i="118"/>
  <c r="N11" i="118" s="1"/>
  <c r="N585" i="118" s="1"/>
  <c r="L212" i="118"/>
  <c r="H87" i="118"/>
  <c r="H242" i="118"/>
  <c r="H277" i="118"/>
  <c r="H289" i="118"/>
  <c r="H433" i="118"/>
  <c r="I119" i="118"/>
  <c r="L125" i="118"/>
  <c r="M249" i="118"/>
  <c r="L249" i="118" s="1"/>
  <c r="L253" i="118"/>
  <c r="J102" i="118"/>
  <c r="I102" i="118" s="1"/>
  <c r="J44" i="118"/>
  <c r="E14" i="117"/>
  <c r="E24" i="117" s="1"/>
  <c r="E35" i="117" s="1"/>
  <c r="F37" i="117"/>
  <c r="E49" i="117"/>
  <c r="E50" i="117" s="1"/>
  <c r="K11" i="118"/>
  <c r="K585" i="118" s="1"/>
  <c r="N17" i="118"/>
  <c r="H27" i="118"/>
  <c r="H36" i="118"/>
  <c r="M44" i="118"/>
  <c r="L48" i="118"/>
  <c r="J43" i="118"/>
  <c r="I71" i="118"/>
  <c r="H71" i="118" s="1"/>
  <c r="I96" i="118"/>
  <c r="H96" i="118" s="1"/>
  <c r="J93" i="118"/>
  <c r="I93" i="118" s="1"/>
  <c r="I100" i="118"/>
  <c r="H100" i="118" s="1"/>
  <c r="D14" i="117"/>
  <c r="D24" i="117" s="1"/>
  <c r="D35" i="117" s="1"/>
  <c r="F49" i="117"/>
  <c r="F50" i="117" s="1"/>
  <c r="L108" i="118"/>
  <c r="H108" i="118" s="1"/>
  <c r="L132" i="118"/>
  <c r="H149" i="118"/>
  <c r="H172" i="118"/>
  <c r="L247" i="118"/>
  <c r="H247" i="118" s="1"/>
  <c r="H318" i="118"/>
  <c r="H349" i="118"/>
  <c r="L358" i="118"/>
  <c r="L60" i="118"/>
  <c r="H60" i="118" s="1"/>
  <c r="H114" i="118"/>
  <c r="H124" i="118"/>
  <c r="N142" i="118"/>
  <c r="L142" i="118" s="1"/>
  <c r="H168" i="118"/>
  <c r="K203" i="118"/>
  <c r="I201" i="118"/>
  <c r="H201" i="118" s="1"/>
  <c r="H218" i="118"/>
  <c r="I236" i="118"/>
  <c r="H236" i="118" s="1"/>
  <c r="N249" i="118"/>
  <c r="K249" i="118"/>
  <c r="H322" i="118"/>
  <c r="H388" i="118"/>
  <c r="L448" i="118"/>
  <c r="H500" i="118"/>
  <c r="H580" i="118"/>
  <c r="K125" i="118"/>
  <c r="I125" i="118" s="1"/>
  <c r="H125" i="118" s="1"/>
  <c r="H307" i="118"/>
  <c r="H436" i="118"/>
  <c r="I271" i="118"/>
  <c r="H271" i="118" s="1"/>
  <c r="J249" i="118"/>
  <c r="H574" i="118"/>
  <c r="N102" i="118"/>
  <c r="L102" i="118" s="1"/>
  <c r="H112" i="118"/>
  <c r="I123" i="118"/>
  <c r="H123" i="118" s="1"/>
  <c r="H132" i="118"/>
  <c r="H195" i="118"/>
  <c r="L224" i="118"/>
  <c r="H224" i="118" s="1"/>
  <c r="H232" i="118"/>
  <c r="L313" i="118"/>
  <c r="L481" i="118"/>
  <c r="H481" i="118" s="1"/>
  <c r="L496" i="118"/>
  <c r="H496" i="118" s="1"/>
  <c r="D18" i="117"/>
  <c r="D60" i="117" s="1"/>
  <c r="D63" i="117" s="1"/>
  <c r="H68" i="118"/>
  <c r="L84" i="118"/>
  <c r="H84" i="118" s="1"/>
  <c r="M120" i="118"/>
  <c r="L120" i="118" s="1"/>
  <c r="H120" i="118" s="1"/>
  <c r="H136" i="118"/>
  <c r="J142" i="118"/>
  <c r="J121" i="118" s="1"/>
  <c r="L158" i="118"/>
  <c r="H158" i="118" s="1"/>
  <c r="I176" i="118"/>
  <c r="H176" i="118" s="1"/>
  <c r="H180" i="118"/>
  <c r="H244" i="118"/>
  <c r="H253" i="118"/>
  <c r="H279" i="118"/>
  <c r="H352" i="118"/>
  <c r="H429" i="118"/>
  <c r="L526" i="118"/>
  <c r="L135" i="118"/>
  <c r="H135" i="118" s="1"/>
  <c r="H160" i="118"/>
  <c r="H212" i="118"/>
  <c r="H230" i="118"/>
  <c r="H243" i="118"/>
  <c r="H257" i="118"/>
  <c r="I283" i="118"/>
  <c r="H283" i="118" s="1"/>
  <c r="L289" i="118"/>
  <c r="H305" i="118"/>
  <c r="H346" i="118"/>
  <c r="I397" i="118"/>
  <c r="H397" i="118" s="1"/>
  <c r="I421" i="118"/>
  <c r="H421" i="118" s="1"/>
  <c r="H448" i="118"/>
  <c r="H485" i="118"/>
  <c r="I203" i="118"/>
  <c r="H203" i="118" s="1"/>
  <c r="H505" i="118"/>
  <c r="H571" i="118"/>
  <c r="L152" i="118"/>
  <c r="H152" i="118" s="1"/>
  <c r="H228" i="118"/>
  <c r="L239" i="118"/>
  <c r="H239" i="118" s="1"/>
  <c r="H258" i="118"/>
  <c r="H299" i="118"/>
  <c r="H306" i="118"/>
  <c r="H313" i="118"/>
  <c r="L319" i="118"/>
  <c r="H319" i="118" s="1"/>
  <c r="H342" i="118"/>
  <c r="H379" i="118"/>
  <c r="I412" i="118"/>
  <c r="H412" i="118" s="1"/>
  <c r="L433" i="118"/>
  <c r="L457" i="118"/>
  <c r="H457" i="118" s="1"/>
  <c r="L502" i="118"/>
  <c r="H509" i="118"/>
  <c r="H561" i="118"/>
  <c r="H208" i="118"/>
  <c r="H282" i="118"/>
  <c r="L361" i="118"/>
  <c r="H361" i="118" s="1"/>
  <c r="H389" i="118"/>
  <c r="H404" i="118"/>
  <c r="H441" i="118"/>
  <c r="I478" i="118"/>
  <c r="H478" i="118" s="1"/>
  <c r="H480" i="118"/>
  <c r="I493" i="118"/>
  <c r="H493" i="118" s="1"/>
  <c r="L529" i="118"/>
  <c r="H529" i="118" s="1"/>
  <c r="L544" i="118"/>
  <c r="H544" i="118" s="1"/>
  <c r="H581" i="118"/>
  <c r="K206" i="118"/>
  <c r="I206" i="118" s="1"/>
  <c r="H206" i="118" s="1"/>
  <c r="H301" i="118"/>
  <c r="H358" i="118"/>
  <c r="H502" i="118"/>
  <c r="H517" i="118"/>
  <c r="H556" i="118"/>
  <c r="H526" i="118"/>
  <c r="H541" i="118"/>
  <c r="L274" i="118"/>
  <c r="H274" i="118" s="1"/>
  <c r="I295" i="118"/>
  <c r="H295" i="118" s="1"/>
  <c r="H297" i="118"/>
  <c r="H317" i="118"/>
  <c r="I334" i="118"/>
  <c r="H334" i="118" s="1"/>
  <c r="H350" i="118"/>
  <c r="I373" i="118"/>
  <c r="H373" i="118" s="1"/>
  <c r="L409" i="118"/>
  <c r="H409" i="118" s="1"/>
  <c r="L424" i="118"/>
  <c r="H424" i="118" s="1"/>
  <c r="H461" i="118"/>
  <c r="H476" i="118"/>
  <c r="H513" i="118"/>
  <c r="I550" i="118"/>
  <c r="H550" i="118" s="1"/>
  <c r="H552" i="118"/>
  <c r="I565" i="118"/>
  <c r="H565" i="118" s="1"/>
  <c r="R20" i="122" l="1"/>
  <c r="J27" i="122"/>
  <c r="J30" i="122" s="1"/>
  <c r="J117" i="122"/>
  <c r="J120" i="122" s="1"/>
  <c r="V134" i="122"/>
  <c r="U129" i="122"/>
  <c r="J57" i="122"/>
  <c r="J60" i="122" s="1"/>
  <c r="N17" i="122"/>
  <c r="J37" i="122"/>
  <c r="J40" i="122" s="1"/>
  <c r="V135" i="122"/>
  <c r="T127" i="122"/>
  <c r="U127" i="121"/>
  <c r="V130" i="121"/>
  <c r="N193" i="121"/>
  <c r="N155" i="121"/>
  <c r="J152" i="121"/>
  <c r="J155" i="121" s="1"/>
  <c r="U112" i="121"/>
  <c r="V115" i="121"/>
  <c r="J228" i="121"/>
  <c r="N231" i="121"/>
  <c r="V150" i="121"/>
  <c r="U147" i="121"/>
  <c r="K276" i="121"/>
  <c r="U67" i="121"/>
  <c r="V70" i="121"/>
  <c r="W180" i="121"/>
  <c r="W278" i="121"/>
  <c r="W281" i="121" s="1"/>
  <c r="N102" i="121"/>
  <c r="N77" i="121"/>
  <c r="N65" i="121"/>
  <c r="J62" i="121"/>
  <c r="J65" i="121" s="1"/>
  <c r="U236" i="121"/>
  <c r="N233" i="121"/>
  <c r="R278" i="121"/>
  <c r="R281" i="121" s="1"/>
  <c r="R180" i="121"/>
  <c r="J137" i="121"/>
  <c r="J140" i="121" s="1"/>
  <c r="J195" i="121"/>
  <c r="J198" i="121" s="1"/>
  <c r="N198" i="121"/>
  <c r="V50" i="121"/>
  <c r="U47" i="121"/>
  <c r="J172" i="121"/>
  <c r="J175" i="121" s="1"/>
  <c r="U205" i="121"/>
  <c r="V208" i="121"/>
  <c r="K278" i="121"/>
  <c r="K281" i="121" s="1"/>
  <c r="K180" i="121"/>
  <c r="O180" i="121"/>
  <c r="O278" i="121"/>
  <c r="O281" i="121" s="1"/>
  <c r="J248" i="121"/>
  <c r="J251" i="121" s="1"/>
  <c r="N251" i="121"/>
  <c r="J230" i="121"/>
  <c r="J275" i="121" s="1"/>
  <c r="N275" i="121"/>
  <c r="N280" i="121" s="1"/>
  <c r="N215" i="121"/>
  <c r="U107" i="121"/>
  <c r="V110" i="121"/>
  <c r="N122" i="121"/>
  <c r="J179" i="121"/>
  <c r="U261" i="121"/>
  <c r="N258" i="121"/>
  <c r="U253" i="121"/>
  <c r="V256" i="121"/>
  <c r="N42" i="121"/>
  <c r="N55" i="121"/>
  <c r="J52" i="121"/>
  <c r="J55" i="121" s="1"/>
  <c r="V203" i="121"/>
  <c r="U200" i="121"/>
  <c r="V220" i="121"/>
  <c r="V223" i="121" s="1"/>
  <c r="J25" i="121"/>
  <c r="J190" i="121"/>
  <c r="N27" i="121"/>
  <c r="K223" i="121"/>
  <c r="J95" i="121"/>
  <c r="N25" i="121"/>
  <c r="R223" i="121"/>
  <c r="U162" i="121"/>
  <c r="V165" i="121"/>
  <c r="N32" i="121"/>
  <c r="K280" i="121"/>
  <c r="U243" i="121"/>
  <c r="V246" i="121"/>
  <c r="J82" i="121"/>
  <c r="J85" i="121" s="1"/>
  <c r="N85" i="121"/>
  <c r="O276" i="121"/>
  <c r="N145" i="121"/>
  <c r="J142" i="121"/>
  <c r="J145" i="121" s="1"/>
  <c r="V177" i="121"/>
  <c r="V20" i="121"/>
  <c r="U17" i="121"/>
  <c r="N135" i="121"/>
  <c r="J132" i="121"/>
  <c r="J135" i="121" s="1"/>
  <c r="I44" i="118"/>
  <c r="J40" i="118"/>
  <c r="H102" i="118"/>
  <c r="N121" i="118"/>
  <c r="N13" i="118" s="1"/>
  <c r="N587" i="118" s="1"/>
  <c r="L42" i="118"/>
  <c r="H42" i="118" s="1"/>
  <c r="M38" i="118"/>
  <c r="F57" i="117"/>
  <c r="F59" i="117" s="1"/>
  <c r="F63" i="117" s="1"/>
  <c r="H93" i="118"/>
  <c r="M40" i="118"/>
  <c r="L44" i="118"/>
  <c r="K142" i="118"/>
  <c r="K121" i="118" s="1"/>
  <c r="J585" i="118"/>
  <c r="I11" i="118"/>
  <c r="F14" i="117"/>
  <c r="F24" i="117" s="1"/>
  <c r="F35" i="117" s="1"/>
  <c r="L17" i="118"/>
  <c r="H17" i="118" s="1"/>
  <c r="J39" i="118"/>
  <c r="I43" i="118"/>
  <c r="H43" i="118" s="1"/>
  <c r="I249" i="118"/>
  <c r="H249" i="118" s="1"/>
  <c r="M121" i="118"/>
  <c r="L121" i="118" s="1"/>
  <c r="L43" i="118"/>
  <c r="M39" i="118"/>
  <c r="L119" i="118"/>
  <c r="H119" i="118" s="1"/>
  <c r="T129" i="122" l="1"/>
  <c r="U134" i="122"/>
  <c r="U135" i="122" s="1"/>
  <c r="J17" i="122"/>
  <c r="N20" i="122"/>
  <c r="U130" i="122"/>
  <c r="T130" i="122"/>
  <c r="S127" i="122"/>
  <c r="T132" i="122"/>
  <c r="J258" i="121"/>
  <c r="J261" i="121" s="1"/>
  <c r="N261" i="121"/>
  <c r="N236" i="121"/>
  <c r="J233" i="121"/>
  <c r="J236" i="121" s="1"/>
  <c r="U130" i="121"/>
  <c r="N127" i="121"/>
  <c r="J280" i="121"/>
  <c r="U50" i="121"/>
  <c r="N47" i="121"/>
  <c r="U115" i="121"/>
  <c r="N112" i="121"/>
  <c r="U177" i="121"/>
  <c r="U20" i="121"/>
  <c r="N17" i="121"/>
  <c r="N125" i="121"/>
  <c r="J122" i="121"/>
  <c r="J125" i="121" s="1"/>
  <c r="U246" i="121"/>
  <c r="N243" i="121"/>
  <c r="U273" i="121"/>
  <c r="U276" i="121" s="1"/>
  <c r="U150" i="121"/>
  <c r="N147" i="121"/>
  <c r="V180" i="121"/>
  <c r="V278" i="121"/>
  <c r="V281" i="121" s="1"/>
  <c r="N30" i="121"/>
  <c r="J27" i="121"/>
  <c r="J30" i="121" s="1"/>
  <c r="N45" i="121"/>
  <c r="J42" i="121"/>
  <c r="J45" i="121" s="1"/>
  <c r="U110" i="121"/>
  <c r="N107" i="121"/>
  <c r="N80" i="121"/>
  <c r="J77" i="121"/>
  <c r="J80" i="121" s="1"/>
  <c r="U208" i="121"/>
  <c r="N205" i="121"/>
  <c r="U203" i="121"/>
  <c r="N200" i="121"/>
  <c r="U220" i="121"/>
  <c r="U223" i="121" s="1"/>
  <c r="U70" i="121"/>
  <c r="N67" i="121"/>
  <c r="N35" i="121"/>
  <c r="J32" i="121"/>
  <c r="J35" i="121" s="1"/>
  <c r="J193" i="121"/>
  <c r="J215" i="121"/>
  <c r="J218" i="121" s="1"/>
  <c r="N218" i="121"/>
  <c r="N105" i="121"/>
  <c r="J102" i="121"/>
  <c r="J105" i="121" s="1"/>
  <c r="U165" i="121"/>
  <c r="N162" i="121"/>
  <c r="U256" i="121"/>
  <c r="N253" i="121"/>
  <c r="J231" i="121"/>
  <c r="K13" i="118"/>
  <c r="K587" i="118" s="1"/>
  <c r="I121" i="118"/>
  <c r="H121" i="118" s="1"/>
  <c r="I142" i="118"/>
  <c r="H142" i="118" s="1"/>
  <c r="L38" i="118"/>
  <c r="H38" i="118" s="1"/>
  <c r="M11" i="118"/>
  <c r="I39" i="118"/>
  <c r="J12" i="118"/>
  <c r="L39" i="118"/>
  <c r="M12" i="118"/>
  <c r="L40" i="118"/>
  <c r="M13" i="118"/>
  <c r="I40" i="118"/>
  <c r="H40" i="118" s="1"/>
  <c r="J13" i="118"/>
  <c r="H44" i="118"/>
  <c r="I585" i="118"/>
  <c r="R127" i="122" l="1"/>
  <c r="S132" i="122"/>
  <c r="J20" i="122"/>
  <c r="T134" i="122"/>
  <c r="T135" i="122" s="1"/>
  <c r="S129" i="122"/>
  <c r="N256" i="121"/>
  <c r="J253" i="121"/>
  <c r="J256" i="121" s="1"/>
  <c r="N208" i="121"/>
  <c r="J205" i="121"/>
  <c r="J208" i="121" s="1"/>
  <c r="N177" i="121"/>
  <c r="N20" i="121"/>
  <c r="J17" i="121"/>
  <c r="N203" i="121"/>
  <c r="J200" i="121"/>
  <c r="N220" i="121"/>
  <c r="N223" i="121" s="1"/>
  <c r="N115" i="121"/>
  <c r="J112" i="121"/>
  <c r="J115" i="121" s="1"/>
  <c r="N165" i="121"/>
  <c r="J162" i="121"/>
  <c r="J165" i="121" s="1"/>
  <c r="N110" i="121"/>
  <c r="J107" i="121"/>
  <c r="J110" i="121" s="1"/>
  <c r="N150" i="121"/>
  <c r="J147" i="121"/>
  <c r="J150" i="121" s="1"/>
  <c r="N246" i="121"/>
  <c r="J243" i="121"/>
  <c r="N273" i="121"/>
  <c r="N276" i="121" s="1"/>
  <c r="N50" i="121"/>
  <c r="J47" i="121"/>
  <c r="J50" i="121" s="1"/>
  <c r="N70" i="121"/>
  <c r="J67" i="121"/>
  <c r="J70" i="121" s="1"/>
  <c r="N130" i="121"/>
  <c r="J127" i="121"/>
  <c r="J130" i="121" s="1"/>
  <c r="U180" i="121"/>
  <c r="U278" i="121"/>
  <c r="U281" i="121" s="1"/>
  <c r="J586" i="118"/>
  <c r="I12" i="118"/>
  <c r="H39" i="118"/>
  <c r="I13" i="118"/>
  <c r="J587" i="118"/>
  <c r="M585" i="118"/>
  <c r="L11" i="118"/>
  <c r="M587" i="118"/>
  <c r="L13" i="118"/>
  <c r="L587" i="118" s="1"/>
  <c r="M586" i="118"/>
  <c r="L12" i="118"/>
  <c r="L586" i="118" s="1"/>
  <c r="I500" i="116"/>
  <c r="H500" i="116"/>
  <c r="G499" i="116"/>
  <c r="G498" i="116"/>
  <c r="I494" i="116"/>
  <c r="H494" i="116"/>
  <c r="G493" i="116"/>
  <c r="G492" i="116"/>
  <c r="G494" i="116" s="1"/>
  <c r="I488" i="116"/>
  <c r="H488" i="116"/>
  <c r="G488" i="116"/>
  <c r="G487" i="116"/>
  <c r="G486" i="116"/>
  <c r="H481" i="116"/>
  <c r="I480" i="116"/>
  <c r="I478" i="116"/>
  <c r="H478" i="116"/>
  <c r="F478" i="116"/>
  <c r="E478" i="116"/>
  <c r="G477" i="116"/>
  <c r="G476" i="116"/>
  <c r="I475" i="116"/>
  <c r="H475" i="116"/>
  <c r="F475" i="116"/>
  <c r="E475" i="116"/>
  <c r="G474" i="116"/>
  <c r="G473" i="116"/>
  <c r="G475" i="116" s="1"/>
  <c r="I472" i="116"/>
  <c r="H472" i="116"/>
  <c r="F472" i="116"/>
  <c r="E472" i="116"/>
  <c r="G471" i="116"/>
  <c r="G472" i="116" s="1"/>
  <c r="G470" i="116"/>
  <c r="I469" i="116"/>
  <c r="H469" i="116"/>
  <c r="F469" i="116"/>
  <c r="E469" i="116"/>
  <c r="G468" i="116"/>
  <c r="G467" i="116"/>
  <c r="G469" i="116" s="1"/>
  <c r="I466" i="116"/>
  <c r="H466" i="116"/>
  <c r="G466" i="116"/>
  <c r="F466" i="116"/>
  <c r="E466" i="116"/>
  <c r="G465" i="116"/>
  <c r="G464" i="116"/>
  <c r="I463" i="116"/>
  <c r="H463" i="116"/>
  <c r="G463" i="116"/>
  <c r="F463" i="116"/>
  <c r="E463" i="116"/>
  <c r="G462" i="116"/>
  <c r="G461" i="116"/>
  <c r="I460" i="116"/>
  <c r="H460" i="116"/>
  <c r="F460" i="116"/>
  <c r="E460" i="116"/>
  <c r="G459" i="116"/>
  <c r="G458" i="116"/>
  <c r="I457" i="116"/>
  <c r="H457" i="116"/>
  <c r="F457" i="116"/>
  <c r="E457" i="116"/>
  <c r="G456" i="116"/>
  <c r="G455" i="116"/>
  <c r="I454" i="116"/>
  <c r="H454" i="116"/>
  <c r="F454" i="116"/>
  <c r="E454" i="116"/>
  <c r="G453" i="116"/>
  <c r="G452" i="116"/>
  <c r="G454" i="116" s="1"/>
  <c r="I451" i="116"/>
  <c r="H451" i="116"/>
  <c r="F451" i="116"/>
  <c r="E451" i="116"/>
  <c r="G450" i="116"/>
  <c r="G449" i="116"/>
  <c r="G451" i="116" s="1"/>
  <c r="I448" i="116"/>
  <c r="H448" i="116"/>
  <c r="G448" i="116"/>
  <c r="F448" i="116"/>
  <c r="E448" i="116"/>
  <c r="G447" i="116"/>
  <c r="G446" i="116"/>
  <c r="I445" i="116"/>
  <c r="H445" i="116"/>
  <c r="G445" i="116"/>
  <c r="F445" i="116"/>
  <c r="E445" i="116"/>
  <c r="G444" i="116"/>
  <c r="G443" i="116"/>
  <c r="I442" i="116"/>
  <c r="H442" i="116"/>
  <c r="G442" i="116"/>
  <c r="F442" i="116"/>
  <c r="E442" i="116"/>
  <c r="G441" i="116"/>
  <c r="G440" i="116"/>
  <c r="I439" i="116"/>
  <c r="H439" i="116"/>
  <c r="F439" i="116"/>
  <c r="E439" i="116"/>
  <c r="G438" i="116"/>
  <c r="G439" i="116" s="1"/>
  <c r="G437" i="116"/>
  <c r="I436" i="116"/>
  <c r="H436" i="116"/>
  <c r="F436" i="116"/>
  <c r="E436" i="116"/>
  <c r="G435" i="116"/>
  <c r="G434" i="116"/>
  <c r="G436" i="116" s="1"/>
  <c r="I433" i="116"/>
  <c r="H433" i="116"/>
  <c r="F433" i="116"/>
  <c r="E433" i="116"/>
  <c r="G432" i="116"/>
  <c r="G431" i="116"/>
  <c r="F430" i="116"/>
  <c r="I429" i="116"/>
  <c r="I430" i="116" s="1"/>
  <c r="H429" i="116"/>
  <c r="F429" i="116"/>
  <c r="E429" i="116"/>
  <c r="I428" i="116"/>
  <c r="H428" i="116"/>
  <c r="H430" i="116" s="1"/>
  <c r="F428" i="116"/>
  <c r="E428" i="116"/>
  <c r="E430" i="116" s="1"/>
  <c r="I427" i="116"/>
  <c r="H427" i="116"/>
  <c r="F427" i="116"/>
  <c r="E427" i="116"/>
  <c r="G426" i="116"/>
  <c r="G425" i="116"/>
  <c r="G427" i="116" s="1"/>
  <c r="I424" i="116"/>
  <c r="H424" i="116"/>
  <c r="G424" i="116"/>
  <c r="F424" i="116"/>
  <c r="E424" i="116"/>
  <c r="G423" i="116"/>
  <c r="G420" i="116" s="1"/>
  <c r="G422" i="116"/>
  <c r="F421" i="116"/>
  <c r="I420" i="116"/>
  <c r="H420" i="116"/>
  <c r="F420" i="116"/>
  <c r="E420" i="116"/>
  <c r="I419" i="116"/>
  <c r="I421" i="116" s="1"/>
  <c r="H419" i="116"/>
  <c r="H421" i="116" s="1"/>
  <c r="F419" i="116"/>
  <c r="E419" i="116"/>
  <c r="I418" i="116"/>
  <c r="H418" i="116"/>
  <c r="G418" i="116"/>
  <c r="F418" i="116"/>
  <c r="E418" i="116"/>
  <c r="G417" i="116"/>
  <c r="G416" i="116"/>
  <c r="I415" i="116"/>
  <c r="H415" i="116"/>
  <c r="F415" i="116"/>
  <c r="E415" i="116"/>
  <c r="G414" i="116"/>
  <c r="G413" i="116"/>
  <c r="I412" i="116"/>
  <c r="H412" i="116"/>
  <c r="F412" i="116"/>
  <c r="E412" i="116"/>
  <c r="G411" i="116"/>
  <c r="G410" i="116"/>
  <c r="G412" i="116" s="1"/>
  <c r="I409" i="116"/>
  <c r="H409" i="116"/>
  <c r="G409" i="116"/>
  <c r="F409" i="116"/>
  <c r="E409" i="116"/>
  <c r="G408" i="116"/>
  <c r="G407" i="116"/>
  <c r="F406" i="116"/>
  <c r="I405" i="116"/>
  <c r="I406" i="116" s="1"/>
  <c r="H405" i="116"/>
  <c r="F405" i="116"/>
  <c r="E405" i="116"/>
  <c r="I404" i="116"/>
  <c r="H404" i="116"/>
  <c r="F404" i="116"/>
  <c r="E404" i="116"/>
  <c r="E406" i="116" s="1"/>
  <c r="I403" i="116"/>
  <c r="H403" i="116"/>
  <c r="F403" i="116"/>
  <c r="E403" i="116"/>
  <c r="G402" i="116"/>
  <c r="G401" i="116"/>
  <c r="H400" i="116"/>
  <c r="I399" i="116"/>
  <c r="H399" i="116"/>
  <c r="G399" i="116"/>
  <c r="F399" i="116"/>
  <c r="E399" i="116"/>
  <c r="I398" i="116"/>
  <c r="I400" i="116" s="1"/>
  <c r="H398" i="116"/>
  <c r="F398" i="116"/>
  <c r="F400" i="116" s="1"/>
  <c r="E398" i="116"/>
  <c r="I397" i="116"/>
  <c r="H397" i="116"/>
  <c r="F397" i="116"/>
  <c r="E397" i="116"/>
  <c r="G396" i="116"/>
  <c r="G395" i="116"/>
  <c r="I394" i="116"/>
  <c r="H394" i="116"/>
  <c r="G394" i="116"/>
  <c r="F394" i="116"/>
  <c r="E394" i="116"/>
  <c r="G393" i="116"/>
  <c r="G392" i="116"/>
  <c r="I391" i="116"/>
  <c r="E391" i="116"/>
  <c r="I390" i="116"/>
  <c r="H390" i="116"/>
  <c r="G390" i="116"/>
  <c r="F390" i="116"/>
  <c r="E390" i="116"/>
  <c r="I389" i="116"/>
  <c r="H389" i="116"/>
  <c r="H391" i="116" s="1"/>
  <c r="F389" i="116"/>
  <c r="E389" i="116"/>
  <c r="I388" i="116"/>
  <c r="H388" i="116"/>
  <c r="F388" i="116"/>
  <c r="E388" i="116"/>
  <c r="G387" i="116"/>
  <c r="G386" i="116"/>
  <c r="I384" i="116"/>
  <c r="H384" i="116"/>
  <c r="G384" i="116"/>
  <c r="F384" i="116"/>
  <c r="E384" i="116"/>
  <c r="I383" i="116"/>
  <c r="H383" i="116"/>
  <c r="G383" i="116"/>
  <c r="F383" i="116"/>
  <c r="F385" i="116" s="1"/>
  <c r="E383" i="116"/>
  <c r="I382" i="116"/>
  <c r="H382" i="116"/>
  <c r="F382" i="116"/>
  <c r="E382" i="116"/>
  <c r="G381" i="116"/>
  <c r="G380" i="116"/>
  <c r="G382" i="116" s="1"/>
  <c r="I379" i="116"/>
  <c r="H379" i="116"/>
  <c r="F379" i="116"/>
  <c r="E379" i="116"/>
  <c r="G378" i="116"/>
  <c r="G377" i="116"/>
  <c r="H376" i="116"/>
  <c r="I375" i="116"/>
  <c r="H375" i="116"/>
  <c r="G375" i="116"/>
  <c r="F375" i="116"/>
  <c r="E375" i="116"/>
  <c r="I374" i="116"/>
  <c r="I376" i="116" s="1"/>
  <c r="H374" i="116"/>
  <c r="F374" i="116"/>
  <c r="F376" i="116" s="1"/>
  <c r="E374" i="116"/>
  <c r="E376" i="116" s="1"/>
  <c r="I373" i="116"/>
  <c r="H373" i="116"/>
  <c r="F373" i="116"/>
  <c r="E373" i="116"/>
  <c r="G372" i="116"/>
  <c r="G371" i="116"/>
  <c r="H370" i="116"/>
  <c r="F370" i="116"/>
  <c r="I369" i="116"/>
  <c r="H369" i="116"/>
  <c r="G369" i="116"/>
  <c r="F369" i="116"/>
  <c r="E369" i="116"/>
  <c r="E370" i="116" s="1"/>
  <c r="I368" i="116"/>
  <c r="I370" i="116" s="1"/>
  <c r="H368" i="116"/>
  <c r="F368" i="116"/>
  <c r="E368" i="116"/>
  <c r="I367" i="116"/>
  <c r="H367" i="116"/>
  <c r="G367" i="116"/>
  <c r="F367" i="116"/>
  <c r="E367" i="116"/>
  <c r="G366" i="116"/>
  <c r="G365" i="116"/>
  <c r="I364" i="116"/>
  <c r="H364" i="116"/>
  <c r="F364" i="116"/>
  <c r="E364" i="116"/>
  <c r="G363" i="116"/>
  <c r="G362" i="116"/>
  <c r="I361" i="116"/>
  <c r="H361" i="116"/>
  <c r="F361" i="116"/>
  <c r="E361" i="116"/>
  <c r="G360" i="116"/>
  <c r="G359" i="116"/>
  <c r="I358" i="116"/>
  <c r="H358" i="116"/>
  <c r="F358" i="116"/>
  <c r="E358" i="116"/>
  <c r="G357" i="116"/>
  <c r="G356" i="116"/>
  <c r="G358" i="116" s="1"/>
  <c r="I355" i="116"/>
  <c r="H355" i="116"/>
  <c r="F355" i="116"/>
  <c r="E355" i="116"/>
  <c r="G354" i="116"/>
  <c r="G353" i="116"/>
  <c r="G355" i="116" s="1"/>
  <c r="I352" i="116"/>
  <c r="H352" i="116"/>
  <c r="G352" i="116"/>
  <c r="F352" i="116"/>
  <c r="E352" i="116"/>
  <c r="G351" i="116"/>
  <c r="G350" i="116"/>
  <c r="I349" i="116"/>
  <c r="H349" i="116"/>
  <c r="G349" i="116"/>
  <c r="F349" i="116"/>
  <c r="E349" i="116"/>
  <c r="G348" i="116"/>
  <c r="G347" i="116"/>
  <c r="I346" i="116"/>
  <c r="H346" i="116"/>
  <c r="G346" i="116"/>
  <c r="F346" i="116"/>
  <c r="E346" i="116"/>
  <c r="G345" i="116"/>
  <c r="G344" i="116"/>
  <c r="I343" i="116"/>
  <c r="H343" i="116"/>
  <c r="F343" i="116"/>
  <c r="E343" i="116"/>
  <c r="G342" i="116"/>
  <c r="G343" i="116" s="1"/>
  <c r="G341" i="116"/>
  <c r="I340" i="116"/>
  <c r="H340" i="116"/>
  <c r="F340" i="116"/>
  <c r="E340" i="116"/>
  <c r="G339" i="116"/>
  <c r="G338" i="116"/>
  <c r="G340" i="116" s="1"/>
  <c r="I337" i="116"/>
  <c r="H337" i="116"/>
  <c r="F337" i="116"/>
  <c r="E337" i="116"/>
  <c r="G336" i="116"/>
  <c r="G335" i="116"/>
  <c r="G337" i="116" s="1"/>
  <c r="I334" i="116"/>
  <c r="H334" i="116"/>
  <c r="F334" i="116"/>
  <c r="E334" i="116"/>
  <c r="G333" i="116"/>
  <c r="G332" i="116"/>
  <c r="I331" i="116"/>
  <c r="H331" i="116"/>
  <c r="F331" i="116"/>
  <c r="E331" i="116"/>
  <c r="G330" i="116"/>
  <c r="G329" i="116"/>
  <c r="G331" i="116" s="1"/>
  <c r="I328" i="116"/>
  <c r="H328" i="116"/>
  <c r="F328" i="116"/>
  <c r="E328" i="116"/>
  <c r="G327" i="116"/>
  <c r="G328" i="116" s="1"/>
  <c r="G326" i="116"/>
  <c r="I325" i="116"/>
  <c r="H325" i="116"/>
  <c r="F325" i="116"/>
  <c r="E325" i="116"/>
  <c r="G324" i="116"/>
  <c r="G323" i="116"/>
  <c r="G325" i="116" s="1"/>
  <c r="I322" i="116"/>
  <c r="H322" i="116"/>
  <c r="G322" i="116"/>
  <c r="F322" i="116"/>
  <c r="E322" i="116"/>
  <c r="G321" i="116"/>
  <c r="G320" i="116"/>
  <c r="I319" i="116"/>
  <c r="H319" i="116"/>
  <c r="F319" i="116"/>
  <c r="E319" i="116"/>
  <c r="G318" i="116"/>
  <c r="G319" i="116" s="1"/>
  <c r="G317" i="116"/>
  <c r="I316" i="116"/>
  <c r="H316" i="116"/>
  <c r="F316" i="116"/>
  <c r="E316" i="116"/>
  <c r="G315" i="116"/>
  <c r="G314" i="116"/>
  <c r="G316" i="116" s="1"/>
  <c r="I313" i="116"/>
  <c r="H313" i="116"/>
  <c r="G313" i="116"/>
  <c r="F313" i="116"/>
  <c r="E313" i="116"/>
  <c r="G312" i="116"/>
  <c r="G311" i="116"/>
  <c r="I310" i="116"/>
  <c r="H310" i="116"/>
  <c r="F310" i="116"/>
  <c r="E310" i="116"/>
  <c r="G309" i="116"/>
  <c r="G308" i="116"/>
  <c r="I307" i="116"/>
  <c r="H307" i="116"/>
  <c r="F307" i="116"/>
  <c r="E307" i="116"/>
  <c r="G306" i="116"/>
  <c r="G305" i="116"/>
  <c r="G307" i="116" s="1"/>
  <c r="I304" i="116"/>
  <c r="H304" i="116"/>
  <c r="F304" i="116"/>
  <c r="E304" i="116"/>
  <c r="G303" i="116"/>
  <c r="G304" i="116" s="1"/>
  <c r="G302" i="116"/>
  <c r="I301" i="116"/>
  <c r="H301" i="116"/>
  <c r="G301" i="116"/>
  <c r="F301" i="116"/>
  <c r="E301" i="116"/>
  <c r="G300" i="116"/>
  <c r="G299" i="116"/>
  <c r="I298" i="116"/>
  <c r="H298" i="116"/>
  <c r="G298" i="116"/>
  <c r="F298" i="116"/>
  <c r="E298" i="116"/>
  <c r="G297" i="116"/>
  <c r="G296" i="116"/>
  <c r="I295" i="116"/>
  <c r="H295" i="116"/>
  <c r="G295" i="116"/>
  <c r="F295" i="116"/>
  <c r="E295" i="116"/>
  <c r="G294" i="116"/>
  <c r="G293" i="116"/>
  <c r="I292" i="116"/>
  <c r="H292" i="116"/>
  <c r="F292" i="116"/>
  <c r="E292" i="116"/>
  <c r="G291" i="116"/>
  <c r="G290" i="116"/>
  <c r="G292" i="116" s="1"/>
  <c r="I289" i="116"/>
  <c r="H289" i="116"/>
  <c r="F289" i="116"/>
  <c r="E289" i="116"/>
  <c r="G288" i="116"/>
  <c r="G287" i="116"/>
  <c r="I286" i="116"/>
  <c r="H286" i="116"/>
  <c r="F286" i="116"/>
  <c r="E286" i="116"/>
  <c r="G285" i="116"/>
  <c r="G284" i="116"/>
  <c r="G286" i="116" s="1"/>
  <c r="I283" i="116"/>
  <c r="H283" i="116"/>
  <c r="F283" i="116"/>
  <c r="E283" i="116"/>
  <c r="G282" i="116"/>
  <c r="G281" i="116"/>
  <c r="H280" i="116"/>
  <c r="I279" i="116"/>
  <c r="H279" i="116"/>
  <c r="F279" i="116"/>
  <c r="E279" i="116"/>
  <c r="I278" i="116"/>
  <c r="H278" i="116"/>
  <c r="F278" i="116"/>
  <c r="E278" i="116"/>
  <c r="E280" i="116" s="1"/>
  <c r="I270" i="116"/>
  <c r="H270" i="116"/>
  <c r="E270" i="116"/>
  <c r="G269" i="116"/>
  <c r="G268" i="116"/>
  <c r="I267" i="116"/>
  <c r="H267" i="116"/>
  <c r="E267" i="116"/>
  <c r="G266" i="116"/>
  <c r="G265" i="116"/>
  <c r="G267" i="116" s="1"/>
  <c r="I264" i="116"/>
  <c r="H264" i="116"/>
  <c r="G264" i="116"/>
  <c r="E264" i="116"/>
  <c r="G263" i="116"/>
  <c r="G262" i="116"/>
  <c r="I261" i="116"/>
  <c r="H261" i="116"/>
  <c r="E261" i="116"/>
  <c r="G260" i="116"/>
  <c r="G257" i="116" s="1"/>
  <c r="G259" i="116"/>
  <c r="I257" i="116"/>
  <c r="H257" i="116"/>
  <c r="E257" i="116"/>
  <c r="I256" i="116"/>
  <c r="I258" i="116" s="1"/>
  <c r="H256" i="116"/>
  <c r="H258" i="116" s="1"/>
  <c r="G256" i="116"/>
  <c r="E256" i="116"/>
  <c r="E258" i="116" s="1"/>
  <c r="I255" i="116"/>
  <c r="H255" i="116"/>
  <c r="G255" i="116"/>
  <c r="E255" i="116"/>
  <c r="G254" i="116"/>
  <c r="G253" i="116"/>
  <c r="I252" i="116"/>
  <c r="H252" i="116"/>
  <c r="G252" i="116"/>
  <c r="E252" i="116"/>
  <c r="G251" i="116"/>
  <c r="G250" i="116"/>
  <c r="I249" i="116"/>
  <c r="H249" i="116"/>
  <c r="G249" i="116"/>
  <c r="E249" i="116"/>
  <c r="G248" i="116"/>
  <c r="G247" i="116"/>
  <c r="G244" i="116" s="1"/>
  <c r="I245" i="116"/>
  <c r="I246" i="116" s="1"/>
  <c r="H245" i="116"/>
  <c r="G245" i="116"/>
  <c r="E245" i="116"/>
  <c r="I244" i="116"/>
  <c r="H244" i="116"/>
  <c r="H246" i="116" s="1"/>
  <c r="E244" i="116"/>
  <c r="I243" i="116"/>
  <c r="H243" i="116"/>
  <c r="E243" i="116"/>
  <c r="G242" i="116"/>
  <c r="G243" i="116" s="1"/>
  <c r="G241" i="116"/>
  <c r="I240" i="116"/>
  <c r="H240" i="116"/>
  <c r="E240" i="116"/>
  <c r="G239" i="116"/>
  <c r="G238" i="116"/>
  <c r="G240" i="116" s="1"/>
  <c r="I237" i="116"/>
  <c r="H237" i="116"/>
  <c r="E237" i="116"/>
  <c r="G236" i="116"/>
  <c r="G235" i="116"/>
  <c r="G237" i="116" s="1"/>
  <c r="I234" i="116"/>
  <c r="H234" i="116"/>
  <c r="G234" i="116"/>
  <c r="E234" i="116"/>
  <c r="G233" i="116"/>
  <c r="G232" i="116"/>
  <c r="I231" i="116"/>
  <c r="H231" i="116"/>
  <c r="E231" i="116"/>
  <c r="G230" i="116"/>
  <c r="G229" i="116"/>
  <c r="G231" i="116" s="1"/>
  <c r="I228" i="116"/>
  <c r="H228" i="116"/>
  <c r="E228" i="116"/>
  <c r="G227" i="116"/>
  <c r="G226" i="116"/>
  <c r="G228" i="116" s="1"/>
  <c r="I225" i="116"/>
  <c r="H225" i="116"/>
  <c r="E225" i="116"/>
  <c r="G224" i="116"/>
  <c r="G223" i="116"/>
  <c r="G225" i="116" s="1"/>
  <c r="I222" i="116"/>
  <c r="H222" i="116"/>
  <c r="G222" i="116"/>
  <c r="E222" i="116"/>
  <c r="G221" i="116"/>
  <c r="G220" i="116"/>
  <c r="I219" i="116"/>
  <c r="H219" i="116"/>
  <c r="E219" i="116"/>
  <c r="G218" i="116"/>
  <c r="G217" i="116"/>
  <c r="G219" i="116" s="1"/>
  <c r="I216" i="116"/>
  <c r="H216" i="116"/>
  <c r="E216" i="116"/>
  <c r="G215" i="116"/>
  <c r="G214" i="116"/>
  <c r="G216" i="116" s="1"/>
  <c r="I213" i="116"/>
  <c r="H213" i="116"/>
  <c r="E213" i="116"/>
  <c r="G212" i="116"/>
  <c r="G211" i="116"/>
  <c r="G213" i="116" s="1"/>
  <c r="I210" i="116"/>
  <c r="H210" i="116"/>
  <c r="G210" i="116"/>
  <c r="E210" i="116"/>
  <c r="G209" i="116"/>
  <c r="G208" i="116"/>
  <c r="I207" i="116"/>
  <c r="H207" i="116"/>
  <c r="E207" i="116"/>
  <c r="G206" i="116"/>
  <c r="G205" i="116"/>
  <c r="G207" i="116" s="1"/>
  <c r="I204" i="116"/>
  <c r="H204" i="116"/>
  <c r="E204" i="116"/>
  <c r="G203" i="116"/>
  <c r="G202" i="116"/>
  <c r="G204" i="116" s="1"/>
  <c r="I201" i="116"/>
  <c r="H201" i="116"/>
  <c r="E201" i="116"/>
  <c r="G200" i="116"/>
  <c r="G199" i="116"/>
  <c r="I198" i="116"/>
  <c r="H198" i="116"/>
  <c r="G198" i="116"/>
  <c r="E198" i="116"/>
  <c r="G197" i="116"/>
  <c r="G196" i="116"/>
  <c r="I195" i="116"/>
  <c r="H195" i="116"/>
  <c r="E195" i="116"/>
  <c r="G194" i="116"/>
  <c r="G193" i="116"/>
  <c r="I192" i="116"/>
  <c r="H192" i="116"/>
  <c r="G192" i="116"/>
  <c r="E192" i="116"/>
  <c r="G191" i="116"/>
  <c r="G190" i="116"/>
  <c r="I189" i="116"/>
  <c r="H189" i="116"/>
  <c r="E189" i="116"/>
  <c r="G188" i="116"/>
  <c r="G187" i="116"/>
  <c r="G189" i="116" s="1"/>
  <c r="I186" i="116"/>
  <c r="H186" i="116"/>
  <c r="G186" i="116"/>
  <c r="E186" i="116"/>
  <c r="G185" i="116"/>
  <c r="G184" i="116"/>
  <c r="I183" i="116"/>
  <c r="H183" i="116"/>
  <c r="E183" i="116"/>
  <c r="G182" i="116"/>
  <c r="G181" i="116"/>
  <c r="G183" i="116" s="1"/>
  <c r="I179" i="116"/>
  <c r="H179" i="116"/>
  <c r="G179" i="116"/>
  <c r="E179" i="116"/>
  <c r="I178" i="116"/>
  <c r="H178" i="116"/>
  <c r="E178" i="116"/>
  <c r="E180" i="116" s="1"/>
  <c r="I177" i="116"/>
  <c r="H177" i="116"/>
  <c r="G177" i="116"/>
  <c r="E177" i="116"/>
  <c r="G176" i="116"/>
  <c r="G175" i="116"/>
  <c r="I174" i="116"/>
  <c r="H174" i="116"/>
  <c r="E174" i="116"/>
  <c r="G173" i="116"/>
  <c r="G174" i="116" s="1"/>
  <c r="G172" i="116"/>
  <c r="I171" i="116"/>
  <c r="H171" i="116"/>
  <c r="E171" i="116"/>
  <c r="G170" i="116"/>
  <c r="G169" i="116"/>
  <c r="G171" i="116" s="1"/>
  <c r="I168" i="116"/>
  <c r="H168" i="116"/>
  <c r="E168" i="116"/>
  <c r="G167" i="116"/>
  <c r="G166" i="116"/>
  <c r="G168" i="116" s="1"/>
  <c r="H165" i="116"/>
  <c r="E165" i="116"/>
  <c r="I164" i="116"/>
  <c r="H164" i="116"/>
  <c r="E164" i="116"/>
  <c r="I163" i="116"/>
  <c r="I272" i="116" s="1"/>
  <c r="I274" i="116" s="1"/>
  <c r="H163" i="116"/>
  <c r="E163" i="116"/>
  <c r="I162" i="116"/>
  <c r="H162" i="116"/>
  <c r="E162" i="116"/>
  <c r="G161" i="116"/>
  <c r="G155" i="116" s="1"/>
  <c r="G160" i="116"/>
  <c r="I159" i="116"/>
  <c r="H159" i="116"/>
  <c r="E159" i="116"/>
  <c r="G158" i="116"/>
  <c r="G157" i="116"/>
  <c r="G159" i="116" s="1"/>
  <c r="H156" i="116"/>
  <c r="G156" i="116"/>
  <c r="I155" i="116"/>
  <c r="H155" i="116"/>
  <c r="E155" i="116"/>
  <c r="I154" i="116"/>
  <c r="I156" i="116" s="1"/>
  <c r="H154" i="116"/>
  <c r="H272" i="116" s="1"/>
  <c r="G154" i="116"/>
  <c r="E154" i="116"/>
  <c r="E156" i="116" s="1"/>
  <c r="I153" i="116"/>
  <c r="H153" i="116"/>
  <c r="E153" i="116"/>
  <c r="G152" i="116"/>
  <c r="G151" i="116"/>
  <c r="G153" i="116" s="1"/>
  <c r="I150" i="116"/>
  <c r="H150" i="116"/>
  <c r="E150" i="116"/>
  <c r="G149" i="116"/>
  <c r="G148" i="116"/>
  <c r="I146" i="116"/>
  <c r="H146" i="116"/>
  <c r="G146" i="116"/>
  <c r="E146" i="116"/>
  <c r="I145" i="116"/>
  <c r="I147" i="116" s="1"/>
  <c r="H145" i="116"/>
  <c r="H147" i="116" s="1"/>
  <c r="E145" i="116"/>
  <c r="E272" i="116" s="1"/>
  <c r="I144" i="116"/>
  <c r="H144" i="116"/>
  <c r="E144" i="116"/>
  <c r="G143" i="116"/>
  <c r="G144" i="116" s="1"/>
  <c r="G142" i="116"/>
  <c r="I141" i="116"/>
  <c r="H141" i="116"/>
  <c r="E141" i="116"/>
  <c r="G140" i="116"/>
  <c r="G131" i="116" s="1"/>
  <c r="G139" i="116"/>
  <c r="I138" i="116"/>
  <c r="H138" i="116"/>
  <c r="G138" i="116"/>
  <c r="E138" i="116"/>
  <c r="G137" i="116"/>
  <c r="G136" i="116"/>
  <c r="I135" i="116"/>
  <c r="H135" i="116"/>
  <c r="E135" i="116"/>
  <c r="G134" i="116"/>
  <c r="G133" i="116"/>
  <c r="G135" i="116" s="1"/>
  <c r="I131" i="116"/>
  <c r="H131" i="116"/>
  <c r="E131" i="116"/>
  <c r="I130" i="116"/>
  <c r="H130" i="116"/>
  <c r="G130" i="116"/>
  <c r="G132" i="116" s="1"/>
  <c r="E130" i="116"/>
  <c r="E132" i="116" s="1"/>
  <c r="I129" i="116"/>
  <c r="H129" i="116"/>
  <c r="G129" i="116"/>
  <c r="E129" i="116"/>
  <c r="G128" i="116"/>
  <c r="G127" i="116"/>
  <c r="I126" i="116"/>
  <c r="H126" i="116"/>
  <c r="G126" i="116"/>
  <c r="E126" i="116"/>
  <c r="G125" i="116"/>
  <c r="G124" i="116"/>
  <c r="I123" i="116"/>
  <c r="H123" i="116"/>
  <c r="G123" i="116"/>
  <c r="E123" i="116"/>
  <c r="G122" i="116"/>
  <c r="G121" i="116"/>
  <c r="I120" i="116"/>
  <c r="H120" i="116"/>
  <c r="E120" i="116"/>
  <c r="G119" i="116"/>
  <c r="G118" i="116"/>
  <c r="G120" i="116" s="1"/>
  <c r="I117" i="116"/>
  <c r="H117" i="116"/>
  <c r="G117" i="116"/>
  <c r="E117" i="116"/>
  <c r="G116" i="116"/>
  <c r="G115" i="116"/>
  <c r="I114" i="116"/>
  <c r="H114" i="116"/>
  <c r="G114" i="116"/>
  <c r="E114" i="116"/>
  <c r="G113" i="116"/>
  <c r="G112" i="116"/>
  <c r="I111" i="116"/>
  <c r="H111" i="116"/>
  <c r="E111" i="116"/>
  <c r="G110" i="116"/>
  <c r="G109" i="116"/>
  <c r="I108" i="116"/>
  <c r="H108" i="116"/>
  <c r="E108" i="116"/>
  <c r="G107" i="116"/>
  <c r="G106" i="116"/>
  <c r="G108" i="116" s="1"/>
  <c r="I105" i="116"/>
  <c r="H105" i="116"/>
  <c r="G105" i="116"/>
  <c r="E105" i="116"/>
  <c r="G104" i="116"/>
  <c r="G103" i="116"/>
  <c r="I102" i="116"/>
  <c r="H102" i="116"/>
  <c r="G102" i="116"/>
  <c r="E102" i="116"/>
  <c r="G101" i="116"/>
  <c r="G100" i="116"/>
  <c r="I98" i="116"/>
  <c r="H98" i="116"/>
  <c r="E98" i="116"/>
  <c r="I97" i="116"/>
  <c r="I99" i="116" s="1"/>
  <c r="H97" i="116"/>
  <c r="H99" i="116" s="1"/>
  <c r="G97" i="116"/>
  <c r="E97" i="116"/>
  <c r="I96" i="116"/>
  <c r="H96" i="116"/>
  <c r="G96" i="116"/>
  <c r="E96" i="116"/>
  <c r="G95" i="116"/>
  <c r="G94" i="116"/>
  <c r="I93" i="116"/>
  <c r="H93" i="116"/>
  <c r="E93" i="116"/>
  <c r="G92" i="116"/>
  <c r="G91" i="116"/>
  <c r="G93" i="116" s="1"/>
  <c r="I90" i="116"/>
  <c r="H90" i="116"/>
  <c r="G90" i="116"/>
  <c r="E90" i="116"/>
  <c r="G89" i="116"/>
  <c r="G88" i="116"/>
  <c r="H87" i="116"/>
  <c r="I86" i="116"/>
  <c r="H86" i="116"/>
  <c r="G86" i="116"/>
  <c r="E86" i="116"/>
  <c r="I85" i="116"/>
  <c r="I87" i="116" s="1"/>
  <c r="H85" i="116"/>
  <c r="E85" i="116"/>
  <c r="E87" i="116" s="1"/>
  <c r="I84" i="116"/>
  <c r="H84" i="116"/>
  <c r="G84" i="116"/>
  <c r="E84" i="116"/>
  <c r="G83" i="116"/>
  <c r="G82" i="116"/>
  <c r="I80" i="116"/>
  <c r="H80" i="116"/>
  <c r="G80" i="116"/>
  <c r="G81" i="116" s="1"/>
  <c r="E80" i="116"/>
  <c r="I79" i="116"/>
  <c r="I81" i="116" s="1"/>
  <c r="H79" i="116"/>
  <c r="G79" i="116"/>
  <c r="E79" i="116"/>
  <c r="I78" i="116"/>
  <c r="H78" i="116"/>
  <c r="G78" i="116"/>
  <c r="E78" i="116"/>
  <c r="G77" i="116"/>
  <c r="G76" i="116"/>
  <c r="I75" i="116"/>
  <c r="H75" i="116"/>
  <c r="E75" i="116"/>
  <c r="G74" i="116"/>
  <c r="G71" i="116" s="1"/>
  <c r="G73" i="116"/>
  <c r="G75" i="116" s="1"/>
  <c r="I71" i="116"/>
  <c r="H71" i="116"/>
  <c r="E71" i="116"/>
  <c r="I70" i="116"/>
  <c r="I72" i="116" s="1"/>
  <c r="H70" i="116"/>
  <c r="H72" i="116" s="1"/>
  <c r="E70" i="116"/>
  <c r="E72" i="116" s="1"/>
  <c r="I69" i="116"/>
  <c r="H69" i="116"/>
  <c r="G69" i="116"/>
  <c r="E69" i="116"/>
  <c r="G68" i="116"/>
  <c r="G67" i="116"/>
  <c r="I66" i="116"/>
  <c r="H66" i="116"/>
  <c r="E66" i="116"/>
  <c r="G65" i="116"/>
  <c r="G64" i="116"/>
  <c r="G66" i="116" s="1"/>
  <c r="I63" i="116"/>
  <c r="H63" i="116"/>
  <c r="G63" i="116"/>
  <c r="E63" i="116"/>
  <c r="G62" i="116"/>
  <c r="G61" i="116"/>
  <c r="I60" i="116"/>
  <c r="H60" i="116"/>
  <c r="E60" i="116"/>
  <c r="G59" i="116"/>
  <c r="G58" i="116"/>
  <c r="I57" i="116"/>
  <c r="H57" i="116"/>
  <c r="E57" i="116"/>
  <c r="G56" i="116"/>
  <c r="G55" i="116"/>
  <c r="G57" i="116" s="1"/>
  <c r="I54" i="116"/>
  <c r="H54" i="116"/>
  <c r="G54" i="116"/>
  <c r="E54" i="116"/>
  <c r="G53" i="116"/>
  <c r="G52" i="116"/>
  <c r="I51" i="116"/>
  <c r="H51" i="116"/>
  <c r="G51" i="116"/>
  <c r="E51" i="116"/>
  <c r="G50" i="116"/>
  <c r="G49" i="116"/>
  <c r="I48" i="116"/>
  <c r="H48" i="116"/>
  <c r="E48" i="116"/>
  <c r="G47" i="116"/>
  <c r="G46" i="116"/>
  <c r="G48" i="116" s="1"/>
  <c r="I45" i="116"/>
  <c r="H45" i="116"/>
  <c r="G45" i="116"/>
  <c r="E45" i="116"/>
  <c r="G44" i="116"/>
  <c r="G43" i="116"/>
  <c r="I42" i="116"/>
  <c r="H42" i="116"/>
  <c r="G42" i="116"/>
  <c r="E42" i="116"/>
  <c r="G41" i="116"/>
  <c r="G40" i="116"/>
  <c r="I39" i="116"/>
  <c r="H39" i="116"/>
  <c r="E39" i="116"/>
  <c r="G38" i="116"/>
  <c r="G37" i="116"/>
  <c r="I36" i="116"/>
  <c r="H36" i="116"/>
  <c r="E36" i="116"/>
  <c r="G35" i="116"/>
  <c r="G34" i="116"/>
  <c r="G36" i="116" s="1"/>
  <c r="I33" i="116"/>
  <c r="H33" i="116"/>
  <c r="G33" i="116"/>
  <c r="E33" i="116"/>
  <c r="G32" i="116"/>
  <c r="G31" i="116"/>
  <c r="I30" i="116"/>
  <c r="H30" i="116"/>
  <c r="G30" i="116"/>
  <c r="E30" i="116"/>
  <c r="G29" i="116"/>
  <c r="G28" i="116"/>
  <c r="I26" i="116"/>
  <c r="H26" i="116"/>
  <c r="E26" i="116"/>
  <c r="I25" i="116"/>
  <c r="I27" i="116" s="1"/>
  <c r="H25" i="116"/>
  <c r="H27" i="116" s="1"/>
  <c r="E25" i="116"/>
  <c r="I24" i="116"/>
  <c r="H24" i="116"/>
  <c r="G24" i="116"/>
  <c r="E24" i="116"/>
  <c r="G23" i="116"/>
  <c r="G22" i="116"/>
  <c r="G19" i="116" s="1"/>
  <c r="I20" i="116"/>
  <c r="I273" i="116" s="1"/>
  <c r="H20" i="116"/>
  <c r="G20" i="116"/>
  <c r="E20" i="116"/>
  <c r="I19" i="116"/>
  <c r="H19" i="116"/>
  <c r="E19" i="116"/>
  <c r="E21" i="116" s="1"/>
  <c r="G287" i="115"/>
  <c r="G286" i="115"/>
  <c r="F285" i="115"/>
  <c r="E285" i="115"/>
  <c r="G284" i="115"/>
  <c r="F283" i="115"/>
  <c r="E283" i="115"/>
  <c r="G283" i="115" s="1"/>
  <c r="E282" i="115"/>
  <c r="G281" i="115"/>
  <c r="G280" i="115"/>
  <c r="G279" i="115"/>
  <c r="G278" i="115"/>
  <c r="G277" i="115"/>
  <c r="G276" i="115"/>
  <c r="G275" i="115"/>
  <c r="G274" i="115"/>
  <c r="F273" i="115"/>
  <c r="F272" i="115" s="1"/>
  <c r="E273" i="115"/>
  <c r="G271" i="115"/>
  <c r="G270" i="115"/>
  <c r="G269" i="115"/>
  <c r="G268" i="115"/>
  <c r="G267" i="115"/>
  <c r="G266" i="115"/>
  <c r="G265" i="115"/>
  <c r="G264" i="115"/>
  <c r="G263" i="115"/>
  <c r="G262" i="115"/>
  <c r="G261" i="115"/>
  <c r="F260" i="115"/>
  <c r="E260" i="115"/>
  <c r="G260" i="115" s="1"/>
  <c r="G259" i="115"/>
  <c r="G258" i="115"/>
  <c r="G257" i="115"/>
  <c r="F256" i="115"/>
  <c r="E256" i="115"/>
  <c r="G255" i="115"/>
  <c r="G254" i="115"/>
  <c r="G253" i="115"/>
  <c r="F252" i="115"/>
  <c r="E252" i="115"/>
  <c r="G252" i="115" s="1"/>
  <c r="G251" i="115"/>
  <c r="G250" i="115"/>
  <c r="F249" i="115"/>
  <c r="E249" i="115"/>
  <c r="G249" i="115" s="1"/>
  <c r="G248" i="115"/>
  <c r="G247" i="115"/>
  <c r="G246" i="115"/>
  <c r="F245" i="115"/>
  <c r="E245" i="115"/>
  <c r="G244" i="115"/>
  <c r="F243" i="115"/>
  <c r="E243" i="115"/>
  <c r="G243" i="115" s="1"/>
  <c r="G242" i="115"/>
  <c r="G241" i="115"/>
  <c r="F240" i="115"/>
  <c r="E240" i="115"/>
  <c r="G239" i="115"/>
  <c r="F238" i="115"/>
  <c r="E238" i="115"/>
  <c r="G236" i="115"/>
  <c r="G235" i="115"/>
  <c r="G234" i="115"/>
  <c r="G233" i="115"/>
  <c r="G232" i="115"/>
  <c r="G231" i="115"/>
  <c r="G230" i="115"/>
  <c r="G229" i="115"/>
  <c r="G228" i="115"/>
  <c r="G227" i="115"/>
  <c r="G226" i="115"/>
  <c r="G225" i="115"/>
  <c r="G224" i="115"/>
  <c r="G223" i="115"/>
  <c r="G222" i="115"/>
  <c r="G221" i="115"/>
  <c r="G220" i="115"/>
  <c r="G219" i="115"/>
  <c r="G218" i="115"/>
  <c r="G217" i="115"/>
  <c r="G216" i="115"/>
  <c r="G215" i="115"/>
  <c r="G214" i="115"/>
  <c r="G213" i="115"/>
  <c r="G212" i="115"/>
  <c r="F211" i="115"/>
  <c r="F210" i="115" s="1"/>
  <c r="E211" i="115"/>
  <c r="E210" i="115" s="1"/>
  <c r="G209" i="115"/>
  <c r="G208" i="115"/>
  <c r="F207" i="115"/>
  <c r="E207" i="115"/>
  <c r="F206" i="115"/>
  <c r="G205" i="115"/>
  <c r="F204" i="115"/>
  <c r="G204" i="115" s="1"/>
  <c r="E204" i="115"/>
  <c r="G203" i="115"/>
  <c r="G202" i="115"/>
  <c r="G201" i="115"/>
  <c r="G200" i="115"/>
  <c r="G199" i="115"/>
  <c r="F198" i="115"/>
  <c r="E198" i="115"/>
  <c r="G197" i="115"/>
  <c r="G196" i="115"/>
  <c r="F195" i="115"/>
  <c r="E195" i="115"/>
  <c r="G193" i="115"/>
  <c r="F192" i="115"/>
  <c r="E192" i="115"/>
  <c r="G192" i="115" s="1"/>
  <c r="G191" i="115"/>
  <c r="G190" i="115"/>
  <c r="G189" i="115"/>
  <c r="G188" i="115"/>
  <c r="G187" i="115"/>
  <c r="G186" i="115"/>
  <c r="G185" i="115"/>
  <c r="G184" i="115"/>
  <c r="G183" i="115"/>
  <c r="G182" i="115"/>
  <c r="G181" i="115"/>
  <c r="G180" i="115"/>
  <c r="F179" i="115"/>
  <c r="E179" i="115"/>
  <c r="E176" i="115" s="1"/>
  <c r="G178" i="115"/>
  <c r="F177" i="115"/>
  <c r="E177" i="115"/>
  <c r="G177" i="115" s="1"/>
  <c r="G175" i="115"/>
  <c r="G174" i="115"/>
  <c r="G173" i="115"/>
  <c r="G172" i="115"/>
  <c r="G171" i="115"/>
  <c r="G170" i="115"/>
  <c r="G169" i="115"/>
  <c r="G168" i="115"/>
  <c r="G167" i="115"/>
  <c r="G166" i="115"/>
  <c r="G165" i="115"/>
  <c r="G164" i="115"/>
  <c r="G163" i="115"/>
  <c r="F162" i="115"/>
  <c r="F161" i="115" s="1"/>
  <c r="E162" i="115"/>
  <c r="G162" i="115" s="1"/>
  <c r="E161" i="115"/>
  <c r="G160" i="115"/>
  <c r="G159" i="115"/>
  <c r="G158" i="115"/>
  <c r="G157" i="115"/>
  <c r="G156" i="115"/>
  <c r="G155" i="115"/>
  <c r="G154" i="115"/>
  <c r="G153" i="115"/>
  <c r="G152" i="115"/>
  <c r="G151" i="115"/>
  <c r="G150" i="115"/>
  <c r="G149" i="115"/>
  <c r="G148" i="115"/>
  <c r="G147" i="115"/>
  <c r="G146" i="115"/>
  <c r="G145" i="115"/>
  <c r="G144" i="115"/>
  <c r="G143" i="115"/>
  <c r="G142" i="115"/>
  <c r="G141" i="115"/>
  <c r="F140" i="115"/>
  <c r="E140" i="115"/>
  <c r="G139" i="115"/>
  <c r="F138" i="115"/>
  <c r="E138" i="115"/>
  <c r="G137" i="115"/>
  <c r="G136" i="115"/>
  <c r="F135" i="115"/>
  <c r="E135" i="115"/>
  <c r="G133" i="115"/>
  <c r="G132" i="115"/>
  <c r="G131" i="115"/>
  <c r="G130" i="115"/>
  <c r="G129" i="115"/>
  <c r="G128" i="115"/>
  <c r="G127" i="115"/>
  <c r="G126" i="115"/>
  <c r="G125" i="115"/>
  <c r="G124" i="115"/>
  <c r="G123" i="115"/>
  <c r="G122" i="115"/>
  <c r="F121" i="115"/>
  <c r="E121" i="115"/>
  <c r="G121" i="115" s="1"/>
  <c r="G120" i="115"/>
  <c r="F119" i="115"/>
  <c r="G119" i="115" s="1"/>
  <c r="E119" i="115"/>
  <c r="G118" i="115"/>
  <c r="F117" i="115"/>
  <c r="E117" i="115"/>
  <c r="G117" i="115" s="1"/>
  <c r="G116" i="115"/>
  <c r="G115" i="115"/>
  <c r="G114" i="115"/>
  <c r="G113" i="115"/>
  <c r="G112" i="115"/>
  <c r="G111" i="115"/>
  <c r="G110" i="115"/>
  <c r="G109" i="115"/>
  <c r="G108" i="115"/>
  <c r="G107" i="115"/>
  <c r="G106" i="115"/>
  <c r="G105" i="115"/>
  <c r="G104" i="115"/>
  <c r="G103" i="115"/>
  <c r="F102" i="115"/>
  <c r="E102" i="115"/>
  <c r="G101" i="115"/>
  <c r="F100" i="115"/>
  <c r="F99" i="115" s="1"/>
  <c r="E100" i="115"/>
  <c r="G98" i="115"/>
  <c r="G97" i="115"/>
  <c r="G96" i="115"/>
  <c r="G95" i="115"/>
  <c r="G94" i="115"/>
  <c r="G93" i="115"/>
  <c r="G92" i="115"/>
  <c r="G91" i="115"/>
  <c r="G90" i="115"/>
  <c r="G89" i="115"/>
  <c r="G88" i="115"/>
  <c r="G87" i="115"/>
  <c r="G86" i="115"/>
  <c r="G85" i="115"/>
  <c r="G84" i="115"/>
  <c r="F83" i="115"/>
  <c r="E83" i="115"/>
  <c r="G83" i="115" s="1"/>
  <c r="G82" i="115"/>
  <c r="G81" i="115"/>
  <c r="G80" i="115"/>
  <c r="G79" i="115"/>
  <c r="G78" i="115"/>
  <c r="G77" i="115"/>
  <c r="G76" i="115"/>
  <c r="G75" i="115"/>
  <c r="G74" i="115"/>
  <c r="G73" i="115"/>
  <c r="F72" i="115"/>
  <c r="E72" i="115"/>
  <c r="G72" i="115" s="1"/>
  <c r="G71" i="115"/>
  <c r="G70" i="115"/>
  <c r="G69" i="115"/>
  <c r="G68" i="115"/>
  <c r="G67" i="115"/>
  <c r="G66" i="115"/>
  <c r="G65" i="115"/>
  <c r="G64" i="115"/>
  <c r="G63" i="115"/>
  <c r="G62" i="115"/>
  <c r="G61" i="115"/>
  <c r="G60" i="115"/>
  <c r="F59" i="115"/>
  <c r="E59" i="115"/>
  <c r="F58" i="115"/>
  <c r="G57" i="115"/>
  <c r="G56" i="115"/>
  <c r="F56" i="115"/>
  <c r="E56" i="115"/>
  <c r="E55" i="115" s="1"/>
  <c r="G55" i="115" s="1"/>
  <c r="F55" i="115"/>
  <c r="G54" i="115"/>
  <c r="F53" i="115"/>
  <c r="F52" i="115" s="1"/>
  <c r="E53" i="115"/>
  <c r="G53" i="115" s="1"/>
  <c r="E52" i="115"/>
  <c r="G51" i="115"/>
  <c r="G50" i="115"/>
  <c r="G49" i="115"/>
  <c r="G48" i="115"/>
  <c r="G47" i="115"/>
  <c r="G46" i="115"/>
  <c r="G45" i="115"/>
  <c r="G44" i="115"/>
  <c r="G43" i="115"/>
  <c r="G42" i="115"/>
  <c r="G41" i="115"/>
  <c r="G40" i="115"/>
  <c r="G39" i="115"/>
  <c r="G38" i="115"/>
  <c r="G37" i="115"/>
  <c r="G36" i="115"/>
  <c r="G35" i="115"/>
  <c r="G34" i="115"/>
  <c r="G33" i="115"/>
  <c r="G32" i="115"/>
  <c r="F31" i="115"/>
  <c r="E31" i="115"/>
  <c r="G30" i="115"/>
  <c r="F29" i="115"/>
  <c r="E29" i="115"/>
  <c r="E28" i="115" s="1"/>
  <c r="G27" i="115"/>
  <c r="G26" i="115"/>
  <c r="G25" i="115"/>
  <c r="G24" i="115"/>
  <c r="G23" i="115"/>
  <c r="G22" i="115"/>
  <c r="G21" i="115"/>
  <c r="G20" i="115"/>
  <c r="G19" i="115"/>
  <c r="F18" i="115"/>
  <c r="G18" i="115" s="1"/>
  <c r="E18" i="115"/>
  <c r="F17" i="115"/>
  <c r="E17" i="115"/>
  <c r="G16" i="115"/>
  <c r="G15" i="115"/>
  <c r="G14" i="115"/>
  <c r="G13" i="115"/>
  <c r="F12" i="115"/>
  <c r="E12" i="115"/>
  <c r="F11" i="115"/>
  <c r="E11" i="115"/>
  <c r="P400" i="114"/>
  <c r="O400" i="114"/>
  <c r="N400" i="114"/>
  <c r="L400" i="114"/>
  <c r="K400" i="114"/>
  <c r="J400" i="114"/>
  <c r="I400" i="114"/>
  <c r="H400" i="114"/>
  <c r="G400" i="114"/>
  <c r="M399" i="114"/>
  <c r="F399" i="114"/>
  <c r="E399" i="114"/>
  <c r="M398" i="114"/>
  <c r="F398" i="114"/>
  <c r="F389" i="114" s="1"/>
  <c r="P397" i="114"/>
  <c r="O397" i="114"/>
  <c r="N397" i="114"/>
  <c r="L397" i="114"/>
  <c r="K397" i="114"/>
  <c r="J397" i="114"/>
  <c r="I397" i="114"/>
  <c r="H397" i="114"/>
  <c r="G397" i="114"/>
  <c r="M396" i="114"/>
  <c r="H396" i="114"/>
  <c r="F396" i="114"/>
  <c r="E396" i="114"/>
  <c r="D396" i="114"/>
  <c r="M395" i="114"/>
  <c r="M389" i="114" s="1"/>
  <c r="H395" i="114"/>
  <c r="F395" i="114"/>
  <c r="E395" i="114" s="1"/>
  <c r="P394" i="114"/>
  <c r="O394" i="114"/>
  <c r="N394" i="114"/>
  <c r="L394" i="114"/>
  <c r="K394" i="114"/>
  <c r="J394" i="114"/>
  <c r="I394" i="114"/>
  <c r="H394" i="114"/>
  <c r="G394" i="114"/>
  <c r="F394" i="114"/>
  <c r="E394" i="114"/>
  <c r="M393" i="114"/>
  <c r="M390" i="114" s="1"/>
  <c r="F393" i="114"/>
  <c r="E393" i="114" s="1"/>
  <c r="D393" i="114" s="1"/>
  <c r="D394" i="114" s="1"/>
  <c r="M392" i="114"/>
  <c r="F392" i="114"/>
  <c r="E392" i="114"/>
  <c r="D392" i="114" s="1"/>
  <c r="P391" i="114"/>
  <c r="K391" i="114"/>
  <c r="G391" i="114"/>
  <c r="P390" i="114"/>
  <c r="O390" i="114"/>
  <c r="N390" i="114"/>
  <c r="L390" i="114"/>
  <c r="L391" i="114" s="1"/>
  <c r="K390" i="114"/>
  <c r="J390" i="114"/>
  <c r="J391" i="114" s="1"/>
  <c r="I390" i="114"/>
  <c r="I391" i="114" s="1"/>
  <c r="H390" i="114"/>
  <c r="H391" i="114" s="1"/>
  <c r="G390" i="114"/>
  <c r="P389" i="114"/>
  <c r="O389" i="114"/>
  <c r="O391" i="114" s="1"/>
  <c r="N389" i="114"/>
  <c r="L389" i="114"/>
  <c r="K389" i="114"/>
  <c r="J389" i="114"/>
  <c r="I389" i="114"/>
  <c r="H389" i="114"/>
  <c r="G389" i="114"/>
  <c r="P388" i="114"/>
  <c r="N388" i="114"/>
  <c r="L388" i="114"/>
  <c r="K388" i="114"/>
  <c r="J388" i="114"/>
  <c r="I388" i="114"/>
  <c r="G388" i="114"/>
  <c r="M387" i="114"/>
  <c r="M388" i="114" s="1"/>
  <c r="K387" i="114"/>
  <c r="K384" i="114" s="1"/>
  <c r="H387" i="114"/>
  <c r="H388" i="114" s="1"/>
  <c r="G387" i="114"/>
  <c r="F387" i="114"/>
  <c r="E387" i="114"/>
  <c r="O386" i="114"/>
  <c r="O388" i="114" s="1"/>
  <c r="M386" i="114"/>
  <c r="F386" i="114"/>
  <c r="E386" i="114"/>
  <c r="D386" i="114" s="1"/>
  <c r="O385" i="114"/>
  <c r="K385" i="114"/>
  <c r="P384" i="114"/>
  <c r="P385" i="114" s="1"/>
  <c r="O384" i="114"/>
  <c r="N384" i="114"/>
  <c r="M384" i="114"/>
  <c r="L384" i="114"/>
  <c r="J384" i="114"/>
  <c r="J385" i="114" s="1"/>
  <c r="I384" i="114"/>
  <c r="I385" i="114" s="1"/>
  <c r="H384" i="114"/>
  <c r="H385" i="114" s="1"/>
  <c r="G384" i="114"/>
  <c r="G385" i="114" s="1"/>
  <c r="P383" i="114"/>
  <c r="O383" i="114"/>
  <c r="N383" i="114"/>
  <c r="M383" i="114"/>
  <c r="M385" i="114" s="1"/>
  <c r="L383" i="114"/>
  <c r="L385" i="114" s="1"/>
  <c r="K383" i="114"/>
  <c r="J383" i="114"/>
  <c r="I383" i="114"/>
  <c r="H383" i="114"/>
  <c r="G383" i="114"/>
  <c r="F383" i="114"/>
  <c r="E383" i="114"/>
  <c r="D383" i="114"/>
  <c r="P382" i="114"/>
  <c r="O382" i="114"/>
  <c r="N382" i="114"/>
  <c r="L382" i="114"/>
  <c r="J382" i="114"/>
  <c r="I382" i="114"/>
  <c r="G382" i="114"/>
  <c r="F382" i="114"/>
  <c r="M381" i="114"/>
  <c r="K381" i="114"/>
  <c r="K382" i="114" s="1"/>
  <c r="F381" i="114"/>
  <c r="M380" i="114"/>
  <c r="H380" i="114"/>
  <c r="H382" i="114" s="1"/>
  <c r="F380" i="114"/>
  <c r="E380" i="114"/>
  <c r="D380" i="114" s="1"/>
  <c r="P379" i="114"/>
  <c r="O379" i="114"/>
  <c r="N379" i="114"/>
  <c r="L379" i="114"/>
  <c r="K379" i="114"/>
  <c r="J379" i="114"/>
  <c r="I379" i="114"/>
  <c r="H379" i="114"/>
  <c r="G379" i="114"/>
  <c r="M378" i="114"/>
  <c r="M379" i="114" s="1"/>
  <c r="F378" i="114"/>
  <c r="F379" i="114" s="1"/>
  <c r="E378" i="114"/>
  <c r="D378" i="114" s="1"/>
  <c r="M377" i="114"/>
  <c r="F377" i="114"/>
  <c r="E377" i="114" s="1"/>
  <c r="D377" i="114" s="1"/>
  <c r="P376" i="114"/>
  <c r="O376" i="114"/>
  <c r="N376" i="114"/>
  <c r="L376" i="114"/>
  <c r="K376" i="114"/>
  <c r="J376" i="114"/>
  <c r="H376" i="114"/>
  <c r="G376" i="114"/>
  <c r="M375" i="114"/>
  <c r="M376" i="114" s="1"/>
  <c r="I375" i="114"/>
  <c r="I376" i="114" s="1"/>
  <c r="F375" i="114"/>
  <c r="E375" i="114"/>
  <c r="D375" i="114" s="1"/>
  <c r="M374" i="114"/>
  <c r="F374" i="114"/>
  <c r="P373" i="114"/>
  <c r="O373" i="114"/>
  <c r="N373" i="114"/>
  <c r="L373" i="114"/>
  <c r="K373" i="114"/>
  <c r="J373" i="114"/>
  <c r="I373" i="114"/>
  <c r="H373" i="114"/>
  <c r="G373" i="114"/>
  <c r="M372" i="114"/>
  <c r="M373" i="114" s="1"/>
  <c r="I372" i="114"/>
  <c r="F372" i="114"/>
  <c r="F373" i="114" s="1"/>
  <c r="E372" i="114"/>
  <c r="M371" i="114"/>
  <c r="F371" i="114"/>
  <c r="E371" i="114"/>
  <c r="D371" i="114" s="1"/>
  <c r="P370" i="114"/>
  <c r="O370" i="114"/>
  <c r="N370" i="114"/>
  <c r="L370" i="114"/>
  <c r="K370" i="114"/>
  <c r="J370" i="114"/>
  <c r="I370" i="114"/>
  <c r="H370" i="114"/>
  <c r="G370" i="114"/>
  <c r="F370" i="114"/>
  <c r="M369" i="114"/>
  <c r="M370" i="114" s="1"/>
  <c r="F369" i="114"/>
  <c r="E369" i="114" s="1"/>
  <c r="M368" i="114"/>
  <c r="F368" i="114"/>
  <c r="E368" i="114" s="1"/>
  <c r="D368" i="114"/>
  <c r="P367" i="114"/>
  <c r="O367" i="114"/>
  <c r="N367" i="114"/>
  <c r="L367" i="114"/>
  <c r="K367" i="114"/>
  <c r="J367" i="114"/>
  <c r="I367" i="114"/>
  <c r="H367" i="114"/>
  <c r="G367" i="114"/>
  <c r="M366" i="114"/>
  <c r="F366" i="114"/>
  <c r="E366" i="114"/>
  <c r="D366" i="114" s="1"/>
  <c r="M365" i="114"/>
  <c r="F365" i="114"/>
  <c r="E365" i="114" s="1"/>
  <c r="P364" i="114"/>
  <c r="O364" i="114"/>
  <c r="N364" i="114"/>
  <c r="L364" i="114"/>
  <c r="K364" i="114"/>
  <c r="J364" i="114"/>
  <c r="I364" i="114"/>
  <c r="H364" i="114"/>
  <c r="G364" i="114"/>
  <c r="M363" i="114"/>
  <c r="M364" i="114" s="1"/>
  <c r="I363" i="114"/>
  <c r="F363" i="114"/>
  <c r="E363" i="114"/>
  <c r="M362" i="114"/>
  <c r="F362" i="114"/>
  <c r="E362" i="114" s="1"/>
  <c r="D362" i="114" s="1"/>
  <c r="P361" i="114"/>
  <c r="O361" i="114"/>
  <c r="N361" i="114"/>
  <c r="L361" i="114"/>
  <c r="K361" i="114"/>
  <c r="J361" i="114"/>
  <c r="I361" i="114"/>
  <c r="H361" i="114"/>
  <c r="G361" i="114"/>
  <c r="F361" i="114"/>
  <c r="M360" i="114"/>
  <c r="M361" i="114" s="1"/>
  <c r="F360" i="114"/>
  <c r="E360" i="114"/>
  <c r="M359" i="114"/>
  <c r="F359" i="114"/>
  <c r="E359" i="114" s="1"/>
  <c r="D359" i="114"/>
  <c r="P358" i="114"/>
  <c r="O358" i="114"/>
  <c r="N358" i="114"/>
  <c r="L358" i="114"/>
  <c r="K358" i="114"/>
  <c r="J358" i="114"/>
  <c r="I358" i="114"/>
  <c r="H358" i="114"/>
  <c r="G358" i="114"/>
  <c r="F358" i="114"/>
  <c r="M357" i="114"/>
  <c r="M358" i="114" s="1"/>
  <c r="F357" i="114"/>
  <c r="E357" i="114"/>
  <c r="D357" i="114"/>
  <c r="M356" i="114"/>
  <c r="F356" i="114"/>
  <c r="P355" i="114"/>
  <c r="O355" i="114"/>
  <c r="N355" i="114"/>
  <c r="L355" i="114"/>
  <c r="K355" i="114"/>
  <c r="J355" i="114"/>
  <c r="I355" i="114"/>
  <c r="H355" i="114"/>
  <c r="G355" i="114"/>
  <c r="F355" i="114"/>
  <c r="E355" i="114"/>
  <c r="M354" i="114"/>
  <c r="M355" i="114" s="1"/>
  <c r="F354" i="114"/>
  <c r="E354" i="114" s="1"/>
  <c r="M353" i="114"/>
  <c r="F353" i="114"/>
  <c r="E353" i="114"/>
  <c r="D353" i="114"/>
  <c r="P352" i="114"/>
  <c r="K352" i="114"/>
  <c r="J352" i="114"/>
  <c r="I352" i="114"/>
  <c r="P351" i="114"/>
  <c r="O351" i="114"/>
  <c r="O352" i="114" s="1"/>
  <c r="N351" i="114"/>
  <c r="N352" i="114" s="1"/>
  <c r="M351" i="114"/>
  <c r="L351" i="114"/>
  <c r="L352" i="114" s="1"/>
  <c r="K351" i="114"/>
  <c r="J351" i="114"/>
  <c r="I351" i="114"/>
  <c r="H351" i="114"/>
  <c r="H352" i="114" s="1"/>
  <c r="G351" i="114"/>
  <c r="G352" i="114" s="1"/>
  <c r="P350" i="114"/>
  <c r="O350" i="114"/>
  <c r="N350" i="114"/>
  <c r="L350" i="114"/>
  <c r="K350" i="114"/>
  <c r="J350" i="114"/>
  <c r="I350" i="114"/>
  <c r="H350" i="114"/>
  <c r="G350" i="114"/>
  <c r="P349" i="114"/>
  <c r="O349" i="114"/>
  <c r="N349" i="114"/>
  <c r="L349" i="114"/>
  <c r="J349" i="114"/>
  <c r="I349" i="114"/>
  <c r="G349" i="114"/>
  <c r="M348" i="114"/>
  <c r="M349" i="114" s="1"/>
  <c r="K348" i="114"/>
  <c r="H348" i="114"/>
  <c r="H349" i="114" s="1"/>
  <c r="F348" i="114"/>
  <c r="F349" i="114" s="1"/>
  <c r="E348" i="114"/>
  <c r="M347" i="114"/>
  <c r="F347" i="114"/>
  <c r="E347" i="114"/>
  <c r="D347" i="114"/>
  <c r="P346" i="114"/>
  <c r="O346" i="114"/>
  <c r="N346" i="114"/>
  <c r="L346" i="114"/>
  <c r="K346" i="114"/>
  <c r="J346" i="114"/>
  <c r="I346" i="114"/>
  <c r="G346" i="114"/>
  <c r="M345" i="114"/>
  <c r="M346" i="114" s="1"/>
  <c r="F345" i="114"/>
  <c r="E345" i="114"/>
  <c r="M344" i="114"/>
  <c r="H344" i="114"/>
  <c r="P343" i="114"/>
  <c r="O343" i="114"/>
  <c r="N343" i="114"/>
  <c r="M343" i="114"/>
  <c r="L343" i="114"/>
  <c r="K343" i="114"/>
  <c r="J343" i="114"/>
  <c r="I343" i="114"/>
  <c r="H343" i="114"/>
  <c r="G343" i="114"/>
  <c r="F343" i="114"/>
  <c r="M342" i="114"/>
  <c r="F342" i="114"/>
  <c r="E342" i="114"/>
  <c r="D342" i="114" s="1"/>
  <c r="M341" i="114"/>
  <c r="F341" i="114"/>
  <c r="E341" i="114"/>
  <c r="P340" i="114"/>
  <c r="O340" i="114"/>
  <c r="N340" i="114"/>
  <c r="L340" i="114"/>
  <c r="K340" i="114"/>
  <c r="J340" i="114"/>
  <c r="I340" i="114"/>
  <c r="G340" i="114"/>
  <c r="M339" i="114"/>
  <c r="M340" i="114" s="1"/>
  <c r="F339" i="114"/>
  <c r="E339" i="114"/>
  <c r="M338" i="114"/>
  <c r="H338" i="114"/>
  <c r="H340" i="114" s="1"/>
  <c r="P337" i="114"/>
  <c r="O337" i="114"/>
  <c r="N337" i="114"/>
  <c r="L337" i="114"/>
  <c r="K337" i="114"/>
  <c r="J337" i="114"/>
  <c r="I337" i="114"/>
  <c r="H337" i="114"/>
  <c r="G337" i="114"/>
  <c r="M336" i="114"/>
  <c r="F336" i="114"/>
  <c r="E336" i="114"/>
  <c r="D336" i="114"/>
  <c r="M335" i="114"/>
  <c r="H335" i="114"/>
  <c r="F335" i="114" s="1"/>
  <c r="E335" i="114" s="1"/>
  <c r="D335" i="114" s="1"/>
  <c r="P334" i="114"/>
  <c r="O334" i="114"/>
  <c r="N334" i="114"/>
  <c r="L334" i="114"/>
  <c r="K334" i="114"/>
  <c r="J334" i="114"/>
  <c r="I334" i="114"/>
  <c r="H334" i="114"/>
  <c r="G334" i="114"/>
  <c r="M333" i="114"/>
  <c r="F333" i="114"/>
  <c r="E333" i="114" s="1"/>
  <c r="D333" i="114"/>
  <c r="M332" i="114"/>
  <c r="F332" i="114"/>
  <c r="P331" i="114"/>
  <c r="O331" i="114"/>
  <c r="N331" i="114"/>
  <c r="L331" i="114"/>
  <c r="K331" i="114"/>
  <c r="J331" i="114"/>
  <c r="I331" i="114"/>
  <c r="G331" i="114"/>
  <c r="M330" i="114"/>
  <c r="M327" i="114" s="1"/>
  <c r="F330" i="114"/>
  <c r="M329" i="114"/>
  <c r="H329" i="114"/>
  <c r="H331" i="114" s="1"/>
  <c r="F329" i="114"/>
  <c r="J328" i="114"/>
  <c r="I328" i="114"/>
  <c r="P327" i="114"/>
  <c r="P328" i="114" s="1"/>
  <c r="O327" i="114"/>
  <c r="O328" i="114" s="1"/>
  <c r="N327" i="114"/>
  <c r="N328" i="114" s="1"/>
  <c r="L327" i="114"/>
  <c r="J327" i="114"/>
  <c r="I327" i="114"/>
  <c r="H327" i="114"/>
  <c r="G327" i="114"/>
  <c r="G328" i="114" s="1"/>
  <c r="P326" i="114"/>
  <c r="O326" i="114"/>
  <c r="N326" i="114"/>
  <c r="L326" i="114"/>
  <c r="K326" i="114"/>
  <c r="J326" i="114"/>
  <c r="I326" i="114"/>
  <c r="G326" i="114"/>
  <c r="P325" i="114"/>
  <c r="O325" i="114"/>
  <c r="N325" i="114"/>
  <c r="L325" i="114"/>
  <c r="J325" i="114"/>
  <c r="I325" i="114"/>
  <c r="H325" i="114"/>
  <c r="G325" i="114"/>
  <c r="M324" i="114"/>
  <c r="M325" i="114" s="1"/>
  <c r="F324" i="114"/>
  <c r="E324" i="114"/>
  <c r="M323" i="114"/>
  <c r="K323" i="114"/>
  <c r="K325" i="114" s="1"/>
  <c r="H323" i="114"/>
  <c r="F323" i="114"/>
  <c r="E323" i="114" s="1"/>
  <c r="D323" i="114" s="1"/>
  <c r="P322" i="114"/>
  <c r="O322" i="114"/>
  <c r="N322" i="114"/>
  <c r="L322" i="114"/>
  <c r="K322" i="114"/>
  <c r="J322" i="114"/>
  <c r="I322" i="114"/>
  <c r="H322" i="114"/>
  <c r="G322" i="114"/>
  <c r="F322" i="114"/>
  <c r="M321" i="114"/>
  <c r="F321" i="114"/>
  <c r="E321" i="114"/>
  <c r="D321" i="114"/>
  <c r="M320" i="114"/>
  <c r="M317" i="114" s="1"/>
  <c r="M319" i="114" s="1"/>
  <c r="F320" i="114"/>
  <c r="N319" i="114"/>
  <c r="L319" i="114"/>
  <c r="P318" i="114"/>
  <c r="O318" i="114"/>
  <c r="O319" i="114" s="1"/>
  <c r="N318" i="114"/>
  <c r="M318" i="114"/>
  <c r="L318" i="114"/>
  <c r="K318" i="114"/>
  <c r="K319" i="114" s="1"/>
  <c r="J318" i="114"/>
  <c r="J319" i="114" s="1"/>
  <c r="I318" i="114"/>
  <c r="I319" i="114" s="1"/>
  <c r="H318" i="114"/>
  <c r="H319" i="114" s="1"/>
  <c r="G318" i="114"/>
  <c r="P317" i="114"/>
  <c r="O317" i="114"/>
  <c r="N317" i="114"/>
  <c r="L317" i="114"/>
  <c r="K317" i="114"/>
  <c r="J317" i="114"/>
  <c r="I317" i="114"/>
  <c r="H317" i="114"/>
  <c r="G317" i="114"/>
  <c r="P316" i="114"/>
  <c r="O316" i="114"/>
  <c r="N316" i="114"/>
  <c r="L316" i="114"/>
  <c r="K316" i="114"/>
  <c r="J316" i="114"/>
  <c r="I316" i="114"/>
  <c r="H316" i="114"/>
  <c r="G316" i="114"/>
  <c r="M315" i="114"/>
  <c r="M316" i="114" s="1"/>
  <c r="F315" i="114"/>
  <c r="M314" i="114"/>
  <c r="H314" i="114"/>
  <c r="F314" i="114"/>
  <c r="E314" i="114"/>
  <c r="D314" i="114"/>
  <c r="P313" i="114"/>
  <c r="O313" i="114"/>
  <c r="N313" i="114"/>
  <c r="L313" i="114"/>
  <c r="K313" i="114"/>
  <c r="J313" i="114"/>
  <c r="I313" i="114"/>
  <c r="H313" i="114"/>
  <c r="G313" i="114"/>
  <c r="M312" i="114"/>
  <c r="M313" i="114" s="1"/>
  <c r="F312" i="114"/>
  <c r="M311" i="114"/>
  <c r="F311" i="114"/>
  <c r="E311" i="114" s="1"/>
  <c r="D311" i="114" s="1"/>
  <c r="P310" i="114"/>
  <c r="O310" i="114"/>
  <c r="N310" i="114"/>
  <c r="M310" i="114"/>
  <c r="L310" i="114"/>
  <c r="J310" i="114"/>
  <c r="I310" i="114"/>
  <c r="H310" i="114"/>
  <c r="G310" i="114"/>
  <c r="F310" i="114"/>
  <c r="M309" i="114"/>
  <c r="K309" i="114"/>
  <c r="F309" i="114"/>
  <c r="E309" i="114"/>
  <c r="D309" i="114"/>
  <c r="D310" i="114" s="1"/>
  <c r="M308" i="114"/>
  <c r="K308" i="114"/>
  <c r="K293" i="114" s="1"/>
  <c r="F308" i="114"/>
  <c r="E308" i="114" s="1"/>
  <c r="D308" i="114" s="1"/>
  <c r="P307" i="114"/>
  <c r="O307" i="114"/>
  <c r="N307" i="114"/>
  <c r="L307" i="114"/>
  <c r="K307" i="114"/>
  <c r="J307" i="114"/>
  <c r="I307" i="114"/>
  <c r="H307" i="114"/>
  <c r="G307" i="114"/>
  <c r="M306" i="114"/>
  <c r="F306" i="114"/>
  <c r="E306" i="114" s="1"/>
  <c r="M305" i="114"/>
  <c r="M307" i="114" s="1"/>
  <c r="F305" i="114"/>
  <c r="P304" i="114"/>
  <c r="O304" i="114"/>
  <c r="N304" i="114"/>
  <c r="L304" i="114"/>
  <c r="K304" i="114"/>
  <c r="J304" i="114"/>
  <c r="I304" i="114"/>
  <c r="G304" i="114"/>
  <c r="M303" i="114"/>
  <c r="F303" i="114"/>
  <c r="E303" i="114" s="1"/>
  <c r="M302" i="114"/>
  <c r="H302" i="114"/>
  <c r="H304" i="114" s="1"/>
  <c r="P301" i="114"/>
  <c r="O301" i="114"/>
  <c r="N301" i="114"/>
  <c r="L301" i="114"/>
  <c r="K301" i="114"/>
  <c r="J301" i="114"/>
  <c r="I301" i="114"/>
  <c r="H301" i="114"/>
  <c r="G301" i="114"/>
  <c r="M300" i="114"/>
  <c r="M301" i="114" s="1"/>
  <c r="F300" i="114"/>
  <c r="F301" i="114" s="1"/>
  <c r="E300" i="114"/>
  <c r="E301" i="114" s="1"/>
  <c r="D300" i="114"/>
  <c r="M299" i="114"/>
  <c r="H299" i="114"/>
  <c r="F299" i="114" s="1"/>
  <c r="E299" i="114" s="1"/>
  <c r="P298" i="114"/>
  <c r="O298" i="114"/>
  <c r="N298" i="114"/>
  <c r="M298" i="114"/>
  <c r="L298" i="114"/>
  <c r="K298" i="114"/>
  <c r="J298" i="114"/>
  <c r="I298" i="114"/>
  <c r="G298" i="114"/>
  <c r="M297" i="114"/>
  <c r="F297" i="114"/>
  <c r="E297" i="114" s="1"/>
  <c r="M296" i="114"/>
  <c r="H296" i="114"/>
  <c r="H298" i="114" s="1"/>
  <c r="F296" i="114"/>
  <c r="G295" i="114"/>
  <c r="P294" i="114"/>
  <c r="P295" i="114" s="1"/>
  <c r="O294" i="114"/>
  <c r="N294" i="114"/>
  <c r="L294" i="114"/>
  <c r="L295" i="114" s="1"/>
  <c r="K294" i="114"/>
  <c r="K295" i="114" s="1"/>
  <c r="J294" i="114"/>
  <c r="J295" i="114" s="1"/>
  <c r="I294" i="114"/>
  <c r="I295" i="114" s="1"/>
  <c r="H294" i="114"/>
  <c r="H295" i="114" s="1"/>
  <c r="G294" i="114"/>
  <c r="P293" i="114"/>
  <c r="O293" i="114"/>
  <c r="N293" i="114"/>
  <c r="N295" i="114" s="1"/>
  <c r="M293" i="114"/>
  <c r="L293" i="114"/>
  <c r="J293" i="114"/>
  <c r="I293" i="114"/>
  <c r="H293" i="114"/>
  <c r="G293" i="114"/>
  <c r="P292" i="114"/>
  <c r="O292" i="114"/>
  <c r="N292" i="114"/>
  <c r="L292" i="114"/>
  <c r="K292" i="114"/>
  <c r="J292" i="114"/>
  <c r="I292" i="114"/>
  <c r="H292" i="114"/>
  <c r="G292" i="114"/>
  <c r="F292" i="114"/>
  <c r="D292" i="114"/>
  <c r="N291" i="114"/>
  <c r="M291" i="114"/>
  <c r="D291" i="114" s="1"/>
  <c r="F291" i="114"/>
  <c r="E291" i="114"/>
  <c r="M290" i="114"/>
  <c r="F290" i="114"/>
  <c r="E290" i="114" s="1"/>
  <c r="E292" i="114" s="1"/>
  <c r="D290" i="114"/>
  <c r="P289" i="114"/>
  <c r="O289" i="114"/>
  <c r="N289" i="114"/>
  <c r="L289" i="114"/>
  <c r="K289" i="114"/>
  <c r="J289" i="114"/>
  <c r="I289" i="114"/>
  <c r="H289" i="114"/>
  <c r="G289" i="114"/>
  <c r="M288" i="114"/>
  <c r="F288" i="114"/>
  <c r="E288" i="114"/>
  <c r="M287" i="114"/>
  <c r="K287" i="114"/>
  <c r="H287" i="114"/>
  <c r="F287" i="114"/>
  <c r="E287" i="114"/>
  <c r="D287" i="114" s="1"/>
  <c r="P286" i="114"/>
  <c r="O286" i="114"/>
  <c r="N286" i="114"/>
  <c r="L286" i="114"/>
  <c r="K286" i="114"/>
  <c r="J286" i="114"/>
  <c r="I286" i="114"/>
  <c r="H286" i="114"/>
  <c r="G286" i="114"/>
  <c r="M285" i="114"/>
  <c r="M286" i="114" s="1"/>
  <c r="F285" i="114"/>
  <c r="F286" i="114" s="1"/>
  <c r="E285" i="114"/>
  <c r="M284" i="114"/>
  <c r="H284" i="114"/>
  <c r="F284" i="114"/>
  <c r="E284" i="114"/>
  <c r="D284" i="114"/>
  <c r="P283" i="114"/>
  <c r="O283" i="114"/>
  <c r="N283" i="114"/>
  <c r="M283" i="114"/>
  <c r="L283" i="114"/>
  <c r="K283" i="114"/>
  <c r="J283" i="114"/>
  <c r="I283" i="114"/>
  <c r="G283" i="114"/>
  <c r="M282" i="114"/>
  <c r="F282" i="114"/>
  <c r="E282" i="114"/>
  <c r="D282" i="114"/>
  <c r="M281" i="114"/>
  <c r="H281" i="114"/>
  <c r="P280" i="114"/>
  <c r="O280" i="114"/>
  <c r="N280" i="114"/>
  <c r="M280" i="114"/>
  <c r="L280" i="114"/>
  <c r="K280" i="114"/>
  <c r="J280" i="114"/>
  <c r="I280" i="114"/>
  <c r="H280" i="114"/>
  <c r="G280" i="114"/>
  <c r="F280" i="114"/>
  <c r="E280" i="114"/>
  <c r="D280" i="114"/>
  <c r="M279" i="114"/>
  <c r="D279" i="114" s="1"/>
  <c r="F279" i="114"/>
  <c r="E279" i="114"/>
  <c r="M278" i="114"/>
  <c r="F278" i="114"/>
  <c r="E278" i="114"/>
  <c r="D278" i="114"/>
  <c r="P277" i="114"/>
  <c r="K277" i="114"/>
  <c r="P276" i="114"/>
  <c r="O276" i="114"/>
  <c r="O277" i="114" s="1"/>
  <c r="N276" i="114"/>
  <c r="L276" i="114"/>
  <c r="K276" i="114"/>
  <c r="J276" i="114"/>
  <c r="I276" i="114"/>
  <c r="I277" i="114" s="1"/>
  <c r="H276" i="114"/>
  <c r="G276" i="114"/>
  <c r="G277" i="114" s="1"/>
  <c r="P275" i="114"/>
  <c r="O275" i="114"/>
  <c r="N275" i="114"/>
  <c r="M275" i="114"/>
  <c r="L275" i="114"/>
  <c r="L277" i="114" s="1"/>
  <c r="K275" i="114"/>
  <c r="J275" i="114"/>
  <c r="J277" i="114" s="1"/>
  <c r="I275" i="114"/>
  <c r="G275" i="114"/>
  <c r="P274" i="114"/>
  <c r="L274" i="114"/>
  <c r="K274" i="114"/>
  <c r="J274" i="114"/>
  <c r="I274" i="114"/>
  <c r="H274" i="114"/>
  <c r="G274" i="114"/>
  <c r="O273" i="114"/>
  <c r="O258" i="114" s="1"/>
  <c r="N273" i="114"/>
  <c r="N274" i="114" s="1"/>
  <c r="M273" i="114"/>
  <c r="K273" i="114"/>
  <c r="F273" i="114"/>
  <c r="M272" i="114"/>
  <c r="F272" i="114"/>
  <c r="E272" i="114" s="1"/>
  <c r="D272" i="114" s="1"/>
  <c r="P271" i="114"/>
  <c r="O271" i="114"/>
  <c r="N271" i="114"/>
  <c r="L271" i="114"/>
  <c r="K271" i="114"/>
  <c r="J271" i="114"/>
  <c r="I271" i="114"/>
  <c r="H271" i="114"/>
  <c r="G271" i="114"/>
  <c r="M270" i="114"/>
  <c r="F270" i="114"/>
  <c r="F271" i="114" s="1"/>
  <c r="E270" i="114"/>
  <c r="E271" i="114" s="1"/>
  <c r="D270" i="114"/>
  <c r="M269" i="114"/>
  <c r="D269" i="114" s="1"/>
  <c r="F269" i="114"/>
  <c r="E269" i="114"/>
  <c r="P268" i="114"/>
  <c r="O268" i="114"/>
  <c r="N268" i="114"/>
  <c r="M268" i="114"/>
  <c r="L268" i="114"/>
  <c r="K268" i="114"/>
  <c r="J268" i="114"/>
  <c r="I268" i="114"/>
  <c r="G268" i="114"/>
  <c r="M267" i="114"/>
  <c r="F267" i="114"/>
  <c r="E267" i="114"/>
  <c r="D267" i="114" s="1"/>
  <c r="M266" i="114"/>
  <c r="H266" i="114"/>
  <c r="F266" i="114"/>
  <c r="E266" i="114"/>
  <c r="D266" i="114" s="1"/>
  <c r="D268" i="114" s="1"/>
  <c r="P265" i="114"/>
  <c r="O265" i="114"/>
  <c r="N265" i="114"/>
  <c r="L265" i="114"/>
  <c r="K265" i="114"/>
  <c r="J265" i="114"/>
  <c r="I265" i="114"/>
  <c r="H265" i="114"/>
  <c r="G265" i="114"/>
  <c r="F265" i="114"/>
  <c r="M264" i="114"/>
  <c r="M265" i="114" s="1"/>
  <c r="F264" i="114"/>
  <c r="M263" i="114"/>
  <c r="F263" i="114"/>
  <c r="E263" i="114" s="1"/>
  <c r="D263" i="114"/>
  <c r="P262" i="114"/>
  <c r="O262" i="114"/>
  <c r="N262" i="114"/>
  <c r="L262" i="114"/>
  <c r="K262" i="114"/>
  <c r="J262" i="114"/>
  <c r="I262" i="114"/>
  <c r="H262" i="114"/>
  <c r="G262" i="114"/>
  <c r="M261" i="114"/>
  <c r="F261" i="114"/>
  <c r="M260" i="114"/>
  <c r="F260" i="114"/>
  <c r="E260" i="114"/>
  <c r="D260" i="114"/>
  <c r="P259" i="114"/>
  <c r="O259" i="114"/>
  <c r="N259" i="114"/>
  <c r="L259" i="114"/>
  <c r="P258" i="114"/>
  <c r="N258" i="114"/>
  <c r="L258" i="114"/>
  <c r="K258" i="114"/>
  <c r="J258" i="114"/>
  <c r="J259" i="114" s="1"/>
  <c r="I258" i="114"/>
  <c r="H258" i="114"/>
  <c r="G258" i="114"/>
  <c r="P257" i="114"/>
  <c r="O257" i="114"/>
  <c r="N257" i="114"/>
  <c r="L257" i="114"/>
  <c r="K257" i="114"/>
  <c r="J257" i="114"/>
  <c r="I257" i="114"/>
  <c r="G257" i="114"/>
  <c r="G259" i="114" s="1"/>
  <c r="P256" i="114"/>
  <c r="O256" i="114"/>
  <c r="N256" i="114"/>
  <c r="L256" i="114"/>
  <c r="K256" i="114"/>
  <c r="J256" i="114"/>
  <c r="I256" i="114"/>
  <c r="H256" i="114"/>
  <c r="G256" i="114"/>
  <c r="F256" i="114"/>
  <c r="M255" i="114"/>
  <c r="F255" i="114"/>
  <c r="E255" i="114"/>
  <c r="D255" i="114"/>
  <c r="M254" i="114"/>
  <c r="M256" i="114" s="1"/>
  <c r="H254" i="114"/>
  <c r="F254" i="114" s="1"/>
  <c r="E254" i="114"/>
  <c r="P253" i="114"/>
  <c r="O253" i="114"/>
  <c r="N253" i="114"/>
  <c r="M253" i="114"/>
  <c r="L253" i="114"/>
  <c r="K253" i="114"/>
  <c r="J253" i="114"/>
  <c r="I253" i="114"/>
  <c r="H253" i="114"/>
  <c r="G253" i="114"/>
  <c r="F253" i="114"/>
  <c r="E253" i="114"/>
  <c r="M252" i="114"/>
  <c r="F252" i="114"/>
  <c r="E252" i="114" s="1"/>
  <c r="D252" i="114" s="1"/>
  <c r="M251" i="114"/>
  <c r="F251" i="114"/>
  <c r="E251" i="114"/>
  <c r="D251" i="114"/>
  <c r="D253" i="114" s="1"/>
  <c r="P250" i="114"/>
  <c r="O250" i="114"/>
  <c r="N250" i="114"/>
  <c r="L250" i="114"/>
  <c r="K250" i="114"/>
  <c r="J250" i="114"/>
  <c r="I250" i="114"/>
  <c r="G250" i="114"/>
  <c r="M249" i="114"/>
  <c r="D249" i="114" s="1"/>
  <c r="F249" i="114"/>
  <c r="E249" i="114"/>
  <c r="M248" i="114"/>
  <c r="H248" i="114"/>
  <c r="H250" i="114" s="1"/>
  <c r="P247" i="114"/>
  <c r="O247" i="114"/>
  <c r="N247" i="114"/>
  <c r="L247" i="114"/>
  <c r="K247" i="114"/>
  <c r="J247" i="114"/>
  <c r="I247" i="114"/>
  <c r="H247" i="114"/>
  <c r="G247" i="114"/>
  <c r="M246" i="114"/>
  <c r="F246" i="114"/>
  <c r="E246" i="114"/>
  <c r="M245" i="114"/>
  <c r="M247" i="114" s="1"/>
  <c r="H245" i="114"/>
  <c r="F245" i="114"/>
  <c r="F247" i="114" s="1"/>
  <c r="E245" i="114"/>
  <c r="D245" i="114" s="1"/>
  <c r="P244" i="114"/>
  <c r="O244" i="114"/>
  <c r="N244" i="114"/>
  <c r="L244" i="114"/>
  <c r="K244" i="114"/>
  <c r="J244" i="114"/>
  <c r="I244" i="114"/>
  <c r="H244" i="114"/>
  <c r="G244" i="114"/>
  <c r="M243" i="114"/>
  <c r="F243" i="114"/>
  <c r="E243" i="114" s="1"/>
  <c r="D243" i="114" s="1"/>
  <c r="M242" i="114"/>
  <c r="M244" i="114" s="1"/>
  <c r="F242" i="114"/>
  <c r="F244" i="114" s="1"/>
  <c r="E242" i="114"/>
  <c r="D242" i="114" s="1"/>
  <c r="D244" i="114" s="1"/>
  <c r="P241" i="114"/>
  <c r="O241" i="114"/>
  <c r="N241" i="114"/>
  <c r="L241" i="114"/>
  <c r="K241" i="114"/>
  <c r="J241" i="114"/>
  <c r="I241" i="114"/>
  <c r="H241" i="114"/>
  <c r="G241" i="114"/>
  <c r="M240" i="114"/>
  <c r="F240" i="114"/>
  <c r="F241" i="114" s="1"/>
  <c r="E240" i="114"/>
  <c r="E241" i="114" s="1"/>
  <c r="M239" i="114"/>
  <c r="F239" i="114"/>
  <c r="E239" i="114"/>
  <c r="P238" i="114"/>
  <c r="O238" i="114"/>
  <c r="N238" i="114"/>
  <c r="M238" i="114"/>
  <c r="L238" i="114"/>
  <c r="K238" i="114"/>
  <c r="J238" i="114"/>
  <c r="I238" i="114"/>
  <c r="H238" i="114"/>
  <c r="G238" i="114"/>
  <c r="F238" i="114"/>
  <c r="M237" i="114"/>
  <c r="F237" i="114"/>
  <c r="E237" i="114"/>
  <c r="D237" i="114" s="1"/>
  <c r="M236" i="114"/>
  <c r="F236" i="114"/>
  <c r="E236" i="114"/>
  <c r="E238" i="114" s="1"/>
  <c r="P235" i="114"/>
  <c r="O235" i="114"/>
  <c r="N235" i="114"/>
  <c r="L235" i="114"/>
  <c r="K235" i="114"/>
  <c r="J235" i="114"/>
  <c r="I235" i="114"/>
  <c r="H235" i="114"/>
  <c r="G235" i="114"/>
  <c r="F235" i="114"/>
  <c r="M234" i="114"/>
  <c r="M235" i="114" s="1"/>
  <c r="F234" i="114"/>
  <c r="E234" i="114"/>
  <c r="M233" i="114"/>
  <c r="F233" i="114"/>
  <c r="E233" i="114"/>
  <c r="P231" i="114"/>
  <c r="P232" i="114" s="1"/>
  <c r="O231" i="114"/>
  <c r="O232" i="114" s="1"/>
  <c r="N231" i="114"/>
  <c r="N232" i="114" s="1"/>
  <c r="M231" i="114"/>
  <c r="L231" i="114"/>
  <c r="K231" i="114"/>
  <c r="J231" i="114"/>
  <c r="I231" i="114"/>
  <c r="H231" i="114"/>
  <c r="G231" i="114"/>
  <c r="G232" i="114" s="1"/>
  <c r="F231" i="114"/>
  <c r="E231" i="114"/>
  <c r="P230" i="114"/>
  <c r="O230" i="114"/>
  <c r="N230" i="114"/>
  <c r="L230" i="114"/>
  <c r="K230" i="114"/>
  <c r="J230" i="114"/>
  <c r="J232" i="114" s="1"/>
  <c r="I230" i="114"/>
  <c r="I232" i="114" s="1"/>
  <c r="G230" i="114"/>
  <c r="P229" i="114"/>
  <c r="O229" i="114"/>
  <c r="N229" i="114"/>
  <c r="L229" i="114"/>
  <c r="J229" i="114"/>
  <c r="I229" i="114"/>
  <c r="H229" i="114"/>
  <c r="G229" i="114"/>
  <c r="F229" i="114"/>
  <c r="E229" i="114"/>
  <c r="N228" i="114"/>
  <c r="M228" i="114"/>
  <c r="M229" i="114" s="1"/>
  <c r="K228" i="114"/>
  <c r="K229" i="114" s="1"/>
  <c r="F228" i="114"/>
  <c r="E228" i="114"/>
  <c r="D228" i="114" s="1"/>
  <c r="D229" i="114" s="1"/>
  <c r="M227" i="114"/>
  <c r="F227" i="114"/>
  <c r="E227" i="114"/>
  <c r="D227" i="114"/>
  <c r="P226" i="114"/>
  <c r="O226" i="114"/>
  <c r="N226" i="114"/>
  <c r="M226" i="114"/>
  <c r="L226" i="114"/>
  <c r="K226" i="114"/>
  <c r="J226" i="114"/>
  <c r="I226" i="114"/>
  <c r="H226" i="114"/>
  <c r="G226" i="114"/>
  <c r="F226" i="114"/>
  <c r="M225" i="114"/>
  <c r="F225" i="114"/>
  <c r="E225" i="114"/>
  <c r="M224" i="114"/>
  <c r="F224" i="114"/>
  <c r="E224" i="114"/>
  <c r="D224" i="114" s="1"/>
  <c r="P223" i="114"/>
  <c r="O223" i="114"/>
  <c r="N223" i="114"/>
  <c r="L223" i="114"/>
  <c r="K223" i="114"/>
  <c r="J223" i="114"/>
  <c r="I223" i="114"/>
  <c r="G223" i="114"/>
  <c r="M222" i="114"/>
  <c r="M223" i="114" s="1"/>
  <c r="F222" i="114"/>
  <c r="E222" i="114"/>
  <c r="M221" i="114"/>
  <c r="H221" i="114"/>
  <c r="P220" i="114"/>
  <c r="O220" i="114"/>
  <c r="N220" i="114"/>
  <c r="L220" i="114"/>
  <c r="K220" i="114"/>
  <c r="J220" i="114"/>
  <c r="I220" i="114"/>
  <c r="H220" i="114"/>
  <c r="G220" i="114"/>
  <c r="M219" i="114"/>
  <c r="F219" i="114"/>
  <c r="F220" i="114" s="1"/>
  <c r="E219" i="114"/>
  <c r="M218" i="114"/>
  <c r="D218" i="114" s="1"/>
  <c r="H218" i="114"/>
  <c r="F218" i="114"/>
  <c r="E218" i="114"/>
  <c r="P217" i="114"/>
  <c r="O217" i="114"/>
  <c r="N217" i="114"/>
  <c r="M217" i="114"/>
  <c r="L217" i="114"/>
  <c r="K217" i="114"/>
  <c r="J217" i="114"/>
  <c r="I217" i="114"/>
  <c r="H217" i="114"/>
  <c r="G217" i="114"/>
  <c r="E217" i="114"/>
  <c r="M216" i="114"/>
  <c r="F216" i="114"/>
  <c r="E216" i="114"/>
  <c r="D216" i="114" s="1"/>
  <c r="D217" i="114" s="1"/>
  <c r="M215" i="114"/>
  <c r="F215" i="114"/>
  <c r="E215" i="114" s="1"/>
  <c r="D215" i="114" s="1"/>
  <c r="P214" i="114"/>
  <c r="O214" i="114"/>
  <c r="N214" i="114"/>
  <c r="L214" i="114"/>
  <c r="K214" i="114"/>
  <c r="J214" i="114"/>
  <c r="I214" i="114"/>
  <c r="H214" i="114"/>
  <c r="G214" i="114"/>
  <c r="M213" i="114"/>
  <c r="M214" i="114" s="1"/>
  <c r="F213" i="114"/>
  <c r="M212" i="114"/>
  <c r="H212" i="114"/>
  <c r="F212" i="114"/>
  <c r="E212" i="114"/>
  <c r="D212" i="114"/>
  <c r="P211" i="114"/>
  <c r="O211" i="114"/>
  <c r="N211" i="114"/>
  <c r="M211" i="114"/>
  <c r="L211" i="114"/>
  <c r="K211" i="114"/>
  <c r="J211" i="114"/>
  <c r="I211" i="114"/>
  <c r="H211" i="114"/>
  <c r="G211" i="114"/>
  <c r="M210" i="114"/>
  <c r="F210" i="114"/>
  <c r="F211" i="114" s="1"/>
  <c r="E210" i="114"/>
  <c r="E211" i="114" s="1"/>
  <c r="D210" i="114"/>
  <c r="D211" i="114" s="1"/>
  <c r="M209" i="114"/>
  <c r="H209" i="114"/>
  <c r="F209" i="114"/>
  <c r="E209" i="114" s="1"/>
  <c r="D209" i="114" s="1"/>
  <c r="P208" i="114"/>
  <c r="O208" i="114"/>
  <c r="N208" i="114"/>
  <c r="L208" i="114"/>
  <c r="K208" i="114"/>
  <c r="J208" i="114"/>
  <c r="I208" i="114"/>
  <c r="G208" i="114"/>
  <c r="M207" i="114"/>
  <c r="M208" i="114" s="1"/>
  <c r="F207" i="114"/>
  <c r="E207" i="114"/>
  <c r="M206" i="114"/>
  <c r="H206" i="114"/>
  <c r="F206" i="114" s="1"/>
  <c r="E206" i="114" s="1"/>
  <c r="D206" i="114" s="1"/>
  <c r="P205" i="114"/>
  <c r="O205" i="114"/>
  <c r="N205" i="114"/>
  <c r="L205" i="114"/>
  <c r="K205" i="114"/>
  <c r="J205" i="114"/>
  <c r="I205" i="114"/>
  <c r="H205" i="114"/>
  <c r="G205" i="114"/>
  <c r="F205" i="114"/>
  <c r="M204" i="114"/>
  <c r="F204" i="114"/>
  <c r="E204" i="114"/>
  <c r="D204" i="114" s="1"/>
  <c r="D205" i="114" s="1"/>
  <c r="M203" i="114"/>
  <c r="M205" i="114" s="1"/>
  <c r="F203" i="114"/>
  <c r="E203" i="114" s="1"/>
  <c r="D203" i="114"/>
  <c r="P202" i="114"/>
  <c r="O202" i="114"/>
  <c r="N202" i="114"/>
  <c r="L202" i="114"/>
  <c r="K202" i="114"/>
  <c r="J202" i="114"/>
  <c r="I202" i="114"/>
  <c r="G202" i="114"/>
  <c r="M201" i="114"/>
  <c r="F201" i="114"/>
  <c r="E201" i="114" s="1"/>
  <c r="D201" i="114" s="1"/>
  <c r="M200" i="114"/>
  <c r="M202" i="114" s="1"/>
  <c r="H200" i="114"/>
  <c r="H202" i="114" s="1"/>
  <c r="F200" i="114"/>
  <c r="F202" i="114" s="1"/>
  <c r="E200" i="114"/>
  <c r="P199" i="114"/>
  <c r="O199" i="114"/>
  <c r="N199" i="114"/>
  <c r="L199" i="114"/>
  <c r="K199" i="114"/>
  <c r="J199" i="114"/>
  <c r="I199" i="114"/>
  <c r="H199" i="114"/>
  <c r="G199" i="114"/>
  <c r="M198" i="114"/>
  <c r="M189" i="114" s="1"/>
  <c r="M190" i="114" s="1"/>
  <c r="F198" i="114"/>
  <c r="F199" i="114" s="1"/>
  <c r="E198" i="114"/>
  <c r="E199" i="114" s="1"/>
  <c r="D198" i="114"/>
  <c r="M197" i="114"/>
  <c r="D197" i="114" s="1"/>
  <c r="F197" i="114"/>
  <c r="E197" i="114"/>
  <c r="P196" i="114"/>
  <c r="O196" i="114"/>
  <c r="N196" i="114"/>
  <c r="M196" i="114"/>
  <c r="L196" i="114"/>
  <c r="J196" i="114"/>
  <c r="I196" i="114"/>
  <c r="H196" i="114"/>
  <c r="G196" i="114"/>
  <c r="F196" i="114"/>
  <c r="M195" i="114"/>
  <c r="F195" i="114"/>
  <c r="E195" i="114" s="1"/>
  <c r="D195" i="114" s="1"/>
  <c r="D196" i="114" s="1"/>
  <c r="M194" i="114"/>
  <c r="K194" i="114"/>
  <c r="K196" i="114" s="1"/>
  <c r="F194" i="114"/>
  <c r="E194" i="114"/>
  <c r="D194" i="114" s="1"/>
  <c r="P193" i="114"/>
  <c r="O193" i="114"/>
  <c r="N193" i="114"/>
  <c r="L193" i="114"/>
  <c r="K193" i="114"/>
  <c r="J193" i="114"/>
  <c r="I193" i="114"/>
  <c r="G193" i="114"/>
  <c r="M192" i="114"/>
  <c r="F192" i="114"/>
  <c r="M191" i="114"/>
  <c r="M188" i="114" s="1"/>
  <c r="H191" i="114"/>
  <c r="H193" i="114" s="1"/>
  <c r="L190" i="114"/>
  <c r="J190" i="114"/>
  <c r="P189" i="114"/>
  <c r="O189" i="114"/>
  <c r="O190" i="114" s="1"/>
  <c r="N189" i="114"/>
  <c r="L189" i="114"/>
  <c r="K189" i="114"/>
  <c r="J189" i="114"/>
  <c r="I189" i="114"/>
  <c r="I190" i="114" s="1"/>
  <c r="H189" i="114"/>
  <c r="G189" i="114"/>
  <c r="G190" i="114" s="1"/>
  <c r="P188" i="114"/>
  <c r="P190" i="114" s="1"/>
  <c r="O188" i="114"/>
  <c r="N188" i="114"/>
  <c r="N190" i="114" s="1"/>
  <c r="L188" i="114"/>
  <c r="K188" i="114"/>
  <c r="J188" i="114"/>
  <c r="I188" i="114"/>
  <c r="G188" i="114"/>
  <c r="P187" i="114"/>
  <c r="O187" i="114"/>
  <c r="N187" i="114"/>
  <c r="L187" i="114"/>
  <c r="K187" i="114"/>
  <c r="J187" i="114"/>
  <c r="I187" i="114"/>
  <c r="H187" i="114"/>
  <c r="G187" i="114"/>
  <c r="M186" i="114"/>
  <c r="F186" i="114"/>
  <c r="E186" i="114"/>
  <c r="D186" i="114" s="1"/>
  <c r="M185" i="114"/>
  <c r="M187" i="114" s="1"/>
  <c r="F185" i="114"/>
  <c r="F187" i="114" s="1"/>
  <c r="E185" i="114"/>
  <c r="D185" i="114" s="1"/>
  <c r="D182" i="114" s="1"/>
  <c r="L184" i="114"/>
  <c r="P183" i="114"/>
  <c r="P184" i="114" s="1"/>
  <c r="O183" i="114"/>
  <c r="O184" i="114" s="1"/>
  <c r="N183" i="114"/>
  <c r="M183" i="114"/>
  <c r="L183" i="114"/>
  <c r="K183" i="114"/>
  <c r="J183" i="114"/>
  <c r="J184" i="114" s="1"/>
  <c r="I183" i="114"/>
  <c r="I184" i="114" s="1"/>
  <c r="H183" i="114"/>
  <c r="H184" i="114" s="1"/>
  <c r="G183" i="114"/>
  <c r="G184" i="114" s="1"/>
  <c r="F183" i="114"/>
  <c r="F184" i="114" s="1"/>
  <c r="P182" i="114"/>
  <c r="O182" i="114"/>
  <c r="N182" i="114"/>
  <c r="N184" i="114" s="1"/>
  <c r="L182" i="114"/>
  <c r="K182" i="114"/>
  <c r="K184" i="114" s="1"/>
  <c r="J182" i="114"/>
  <c r="I182" i="114"/>
  <c r="H182" i="114"/>
  <c r="G182" i="114"/>
  <c r="F182" i="114"/>
  <c r="E182" i="114"/>
  <c r="P181" i="114"/>
  <c r="O181" i="114"/>
  <c r="N181" i="114"/>
  <c r="L181" i="114"/>
  <c r="K181" i="114"/>
  <c r="J181" i="114"/>
  <c r="I181" i="114"/>
  <c r="H181" i="114"/>
  <c r="G181" i="114"/>
  <c r="M180" i="114"/>
  <c r="M174" i="114" s="1"/>
  <c r="F180" i="114"/>
  <c r="F181" i="114" s="1"/>
  <c r="E180" i="114"/>
  <c r="E181" i="114" s="1"/>
  <c r="D180" i="114"/>
  <c r="M179" i="114"/>
  <c r="F179" i="114"/>
  <c r="E179" i="114"/>
  <c r="P178" i="114"/>
  <c r="O178" i="114"/>
  <c r="N178" i="114"/>
  <c r="M178" i="114"/>
  <c r="L178" i="114"/>
  <c r="K178" i="114"/>
  <c r="J178" i="114"/>
  <c r="I178" i="114"/>
  <c r="H178" i="114"/>
  <c r="G178" i="114"/>
  <c r="F178" i="114"/>
  <c r="E178" i="114"/>
  <c r="M177" i="114"/>
  <c r="F177" i="114"/>
  <c r="E177" i="114" s="1"/>
  <c r="M176" i="114"/>
  <c r="F176" i="114"/>
  <c r="F173" i="114" s="1"/>
  <c r="E176" i="114"/>
  <c r="E173" i="114" s="1"/>
  <c r="D176" i="114"/>
  <c r="J175" i="114"/>
  <c r="I175" i="114"/>
  <c r="G175" i="114"/>
  <c r="P174" i="114"/>
  <c r="O174" i="114"/>
  <c r="N174" i="114"/>
  <c r="N175" i="114" s="1"/>
  <c r="L174" i="114"/>
  <c r="L175" i="114" s="1"/>
  <c r="K174" i="114"/>
  <c r="K175" i="114" s="1"/>
  <c r="J174" i="114"/>
  <c r="I174" i="114"/>
  <c r="H174" i="114"/>
  <c r="G174" i="114"/>
  <c r="F174" i="114"/>
  <c r="F175" i="114" s="1"/>
  <c r="P173" i="114"/>
  <c r="O173" i="114"/>
  <c r="N173" i="114"/>
  <c r="L173" i="114"/>
  <c r="K173" i="114"/>
  <c r="J173" i="114"/>
  <c r="I173" i="114"/>
  <c r="H173" i="114"/>
  <c r="G173" i="114"/>
  <c r="P172" i="114"/>
  <c r="O172" i="114"/>
  <c r="N172" i="114"/>
  <c r="M172" i="114"/>
  <c r="L172" i="114"/>
  <c r="K172" i="114"/>
  <c r="J172" i="114"/>
  <c r="I172" i="114"/>
  <c r="H172" i="114"/>
  <c r="G172" i="114"/>
  <c r="F172" i="114"/>
  <c r="E172" i="114"/>
  <c r="M171" i="114"/>
  <c r="F171" i="114"/>
  <c r="E171" i="114" s="1"/>
  <c r="D171" i="114" s="1"/>
  <c r="D172" i="114" s="1"/>
  <c r="M170" i="114"/>
  <c r="F170" i="114"/>
  <c r="F167" i="114" s="1"/>
  <c r="E170" i="114"/>
  <c r="E167" i="114" s="1"/>
  <c r="D170" i="114"/>
  <c r="D167" i="114" s="1"/>
  <c r="J169" i="114"/>
  <c r="H169" i="114"/>
  <c r="P168" i="114"/>
  <c r="O168" i="114"/>
  <c r="O169" i="114" s="1"/>
  <c r="N168" i="114"/>
  <c r="N169" i="114" s="1"/>
  <c r="M168" i="114"/>
  <c r="M169" i="114" s="1"/>
  <c r="L168" i="114"/>
  <c r="L169" i="114" s="1"/>
  <c r="K168" i="114"/>
  <c r="J168" i="114"/>
  <c r="I168" i="114"/>
  <c r="H168" i="114"/>
  <c r="G168" i="114"/>
  <c r="G169" i="114" s="1"/>
  <c r="F168" i="114"/>
  <c r="F169" i="114" s="1"/>
  <c r="E168" i="114"/>
  <c r="E169" i="114" s="1"/>
  <c r="D168" i="114"/>
  <c r="D169" i="114" s="1"/>
  <c r="P167" i="114"/>
  <c r="P169" i="114" s="1"/>
  <c r="O167" i="114"/>
  <c r="N167" i="114"/>
  <c r="M167" i="114"/>
  <c r="L167" i="114"/>
  <c r="K167" i="114"/>
  <c r="K169" i="114" s="1"/>
  <c r="J167" i="114"/>
  <c r="I167" i="114"/>
  <c r="I169" i="114" s="1"/>
  <c r="H167" i="114"/>
  <c r="G167" i="114"/>
  <c r="P166" i="114"/>
  <c r="O166" i="114"/>
  <c r="N166" i="114"/>
  <c r="M166" i="114"/>
  <c r="L166" i="114"/>
  <c r="K166" i="114"/>
  <c r="J166" i="114"/>
  <c r="I166" i="114"/>
  <c r="H166" i="114"/>
  <c r="G166" i="114"/>
  <c r="F166" i="114"/>
  <c r="E166" i="114"/>
  <c r="M165" i="114"/>
  <c r="F165" i="114"/>
  <c r="E165" i="114"/>
  <c r="E162" i="114" s="1"/>
  <c r="D165" i="114"/>
  <c r="M164" i="114"/>
  <c r="M161" i="114" s="1"/>
  <c r="M163" i="114" s="1"/>
  <c r="F164" i="114"/>
  <c r="F161" i="114" s="1"/>
  <c r="E164" i="114"/>
  <c r="J163" i="114"/>
  <c r="I163" i="114"/>
  <c r="P162" i="114"/>
  <c r="P163" i="114" s="1"/>
  <c r="O162" i="114"/>
  <c r="O163" i="114" s="1"/>
  <c r="N162" i="114"/>
  <c r="N163" i="114" s="1"/>
  <c r="M162" i="114"/>
  <c r="L162" i="114"/>
  <c r="K162" i="114"/>
  <c r="J162" i="114"/>
  <c r="I162" i="114"/>
  <c r="H162" i="114"/>
  <c r="H163" i="114" s="1"/>
  <c r="G162" i="114"/>
  <c r="G163" i="114" s="1"/>
  <c r="F162" i="114"/>
  <c r="F163" i="114" s="1"/>
  <c r="D162" i="114"/>
  <c r="P161" i="114"/>
  <c r="O161" i="114"/>
  <c r="N161" i="114"/>
  <c r="L161" i="114"/>
  <c r="L163" i="114" s="1"/>
  <c r="K161" i="114"/>
  <c r="K163" i="114" s="1"/>
  <c r="J161" i="114"/>
  <c r="I161" i="114"/>
  <c r="H161" i="114"/>
  <c r="G161" i="114"/>
  <c r="P160" i="114"/>
  <c r="O160" i="114"/>
  <c r="N160" i="114"/>
  <c r="L160" i="114"/>
  <c r="J160" i="114"/>
  <c r="I160" i="114"/>
  <c r="H160" i="114"/>
  <c r="G160" i="114"/>
  <c r="F160" i="114"/>
  <c r="M159" i="114"/>
  <c r="K159" i="114"/>
  <c r="K160" i="114" s="1"/>
  <c r="F159" i="114"/>
  <c r="E159" i="114"/>
  <c r="M158" i="114"/>
  <c r="M160" i="114" s="1"/>
  <c r="K158" i="114"/>
  <c r="E158" i="114" s="1"/>
  <c r="F158" i="114"/>
  <c r="P157" i="114"/>
  <c r="O157" i="114"/>
  <c r="N157" i="114"/>
  <c r="M157" i="114"/>
  <c r="L157" i="114"/>
  <c r="K157" i="114"/>
  <c r="J157" i="114"/>
  <c r="I157" i="114"/>
  <c r="H157" i="114"/>
  <c r="G157" i="114"/>
  <c r="M156" i="114"/>
  <c r="F156" i="114"/>
  <c r="E156" i="114"/>
  <c r="D156" i="114" s="1"/>
  <c r="M155" i="114"/>
  <c r="H155" i="114"/>
  <c r="F155" i="114"/>
  <c r="E155" i="114"/>
  <c r="E157" i="114" s="1"/>
  <c r="D155" i="114"/>
  <c r="D157" i="114" s="1"/>
  <c r="P154" i="114"/>
  <c r="O154" i="114"/>
  <c r="N154" i="114"/>
  <c r="L154" i="114"/>
  <c r="K154" i="114"/>
  <c r="J154" i="114"/>
  <c r="I154" i="114"/>
  <c r="H154" i="114"/>
  <c r="G154" i="114"/>
  <c r="M153" i="114"/>
  <c r="M154" i="114" s="1"/>
  <c r="F153" i="114"/>
  <c r="F154" i="114" s="1"/>
  <c r="M152" i="114"/>
  <c r="K152" i="114"/>
  <c r="F152" i="114"/>
  <c r="P151" i="114"/>
  <c r="O151" i="114"/>
  <c r="N151" i="114"/>
  <c r="L151" i="114"/>
  <c r="K151" i="114"/>
  <c r="J151" i="114"/>
  <c r="I151" i="114"/>
  <c r="G151" i="114"/>
  <c r="M150" i="114"/>
  <c r="F150" i="114"/>
  <c r="E150" i="114"/>
  <c r="D150" i="114"/>
  <c r="M149" i="114"/>
  <c r="M151" i="114" s="1"/>
  <c r="H149" i="114"/>
  <c r="H151" i="114" s="1"/>
  <c r="F149" i="114"/>
  <c r="E149" i="114" s="1"/>
  <c r="E151" i="114" s="1"/>
  <c r="P148" i="114"/>
  <c r="N148" i="114"/>
  <c r="M148" i="114"/>
  <c r="L148" i="114"/>
  <c r="K148" i="114"/>
  <c r="J148" i="114"/>
  <c r="I148" i="114"/>
  <c r="G148" i="114"/>
  <c r="M147" i="114"/>
  <c r="K147" i="114"/>
  <c r="H147" i="114"/>
  <c r="O146" i="114"/>
  <c r="O148" i="114" s="1"/>
  <c r="M146" i="114"/>
  <c r="M140" i="114" s="1"/>
  <c r="K146" i="114"/>
  <c r="H146" i="114"/>
  <c r="F146" i="114" s="1"/>
  <c r="P145" i="114"/>
  <c r="O145" i="114"/>
  <c r="N145" i="114"/>
  <c r="L145" i="114"/>
  <c r="K145" i="114"/>
  <c r="J145" i="114"/>
  <c r="I145" i="114"/>
  <c r="G145" i="114"/>
  <c r="M144" i="114"/>
  <c r="F144" i="114"/>
  <c r="E144" i="114"/>
  <c r="D144" i="114" s="1"/>
  <c r="M143" i="114"/>
  <c r="H143" i="114"/>
  <c r="H145" i="114" s="1"/>
  <c r="F143" i="114"/>
  <c r="F145" i="114" s="1"/>
  <c r="E143" i="114"/>
  <c r="D143" i="114" s="1"/>
  <c r="O142" i="114"/>
  <c r="I142" i="114"/>
  <c r="G142" i="114"/>
  <c r="P141" i="114"/>
  <c r="O141" i="114"/>
  <c r="N141" i="114"/>
  <c r="N142" i="114" s="1"/>
  <c r="L141" i="114"/>
  <c r="L142" i="114" s="1"/>
  <c r="K141" i="114"/>
  <c r="J141" i="114"/>
  <c r="J142" i="114" s="1"/>
  <c r="I141" i="114"/>
  <c r="H141" i="114"/>
  <c r="G141" i="114"/>
  <c r="P140" i="114"/>
  <c r="O140" i="114"/>
  <c r="N140" i="114"/>
  <c r="L140" i="114"/>
  <c r="J140" i="114"/>
  <c r="I140" i="114"/>
  <c r="H140" i="114"/>
  <c r="G140" i="114"/>
  <c r="P139" i="114"/>
  <c r="O139" i="114"/>
  <c r="N139" i="114"/>
  <c r="L139" i="114"/>
  <c r="K139" i="114"/>
  <c r="J139" i="114"/>
  <c r="I139" i="114"/>
  <c r="H139" i="114"/>
  <c r="G139" i="114"/>
  <c r="M138" i="114"/>
  <c r="M132" i="114" s="1"/>
  <c r="F138" i="114"/>
  <c r="E138" i="114" s="1"/>
  <c r="D138" i="114" s="1"/>
  <c r="D139" i="114" s="1"/>
  <c r="M137" i="114"/>
  <c r="F137" i="114"/>
  <c r="F139" i="114" s="1"/>
  <c r="E137" i="114"/>
  <c r="D137" i="114" s="1"/>
  <c r="P136" i="114"/>
  <c r="O136" i="114"/>
  <c r="N136" i="114"/>
  <c r="L136" i="114"/>
  <c r="K136" i="114"/>
  <c r="J136" i="114"/>
  <c r="I136" i="114"/>
  <c r="H136" i="114"/>
  <c r="G136" i="114"/>
  <c r="M135" i="114"/>
  <c r="F135" i="114"/>
  <c r="F132" i="114" s="1"/>
  <c r="F133" i="114" s="1"/>
  <c r="E135" i="114"/>
  <c r="M134" i="114"/>
  <c r="M136" i="114" s="1"/>
  <c r="F134" i="114"/>
  <c r="E134" i="114" s="1"/>
  <c r="E131" i="114" s="1"/>
  <c r="K133" i="114"/>
  <c r="P132" i="114"/>
  <c r="P133" i="114" s="1"/>
  <c r="O132" i="114"/>
  <c r="O133" i="114" s="1"/>
  <c r="N132" i="114"/>
  <c r="L132" i="114"/>
  <c r="K132" i="114"/>
  <c r="J132" i="114"/>
  <c r="J133" i="114" s="1"/>
  <c r="I132" i="114"/>
  <c r="I133" i="114" s="1"/>
  <c r="H132" i="114"/>
  <c r="H133" i="114" s="1"/>
  <c r="G132" i="114"/>
  <c r="G133" i="114" s="1"/>
  <c r="P131" i="114"/>
  <c r="O131" i="114"/>
  <c r="N131" i="114"/>
  <c r="N133" i="114" s="1"/>
  <c r="L131" i="114"/>
  <c r="L133" i="114" s="1"/>
  <c r="K131" i="114"/>
  <c r="J131" i="114"/>
  <c r="I131" i="114"/>
  <c r="H131" i="114"/>
  <c r="G131" i="114"/>
  <c r="F131" i="114"/>
  <c r="P130" i="114"/>
  <c r="N130" i="114"/>
  <c r="L130" i="114"/>
  <c r="K130" i="114"/>
  <c r="J130" i="114"/>
  <c r="I130" i="114"/>
  <c r="G130" i="114"/>
  <c r="M129" i="114"/>
  <c r="M130" i="114" s="1"/>
  <c r="F129" i="114"/>
  <c r="F130" i="114" s="1"/>
  <c r="E129" i="114"/>
  <c r="O128" i="114"/>
  <c r="M128" i="114"/>
  <c r="M125" i="114" s="1"/>
  <c r="K128" i="114"/>
  <c r="H128" i="114"/>
  <c r="H130" i="114" s="1"/>
  <c r="F128" i="114"/>
  <c r="E128" i="114" s="1"/>
  <c r="N127" i="114"/>
  <c r="H127" i="114"/>
  <c r="G127" i="114"/>
  <c r="F127" i="114"/>
  <c r="P126" i="114"/>
  <c r="O126" i="114"/>
  <c r="N126" i="114"/>
  <c r="M126" i="114"/>
  <c r="M127" i="114" s="1"/>
  <c r="L126" i="114"/>
  <c r="L127" i="114" s="1"/>
  <c r="K126" i="114"/>
  <c r="K127" i="114" s="1"/>
  <c r="J126" i="114"/>
  <c r="I126" i="114"/>
  <c r="H126" i="114"/>
  <c r="G126" i="114"/>
  <c r="F126" i="114"/>
  <c r="P125" i="114"/>
  <c r="P127" i="114" s="1"/>
  <c r="N125" i="114"/>
  <c r="L125" i="114"/>
  <c r="K125" i="114"/>
  <c r="J125" i="114"/>
  <c r="I125" i="114"/>
  <c r="I127" i="114" s="1"/>
  <c r="H125" i="114"/>
  <c r="G125" i="114"/>
  <c r="F125" i="114"/>
  <c r="P124" i="114"/>
  <c r="O124" i="114"/>
  <c r="N124" i="114"/>
  <c r="L124" i="114"/>
  <c r="K124" i="114"/>
  <c r="J124" i="114"/>
  <c r="I124" i="114"/>
  <c r="H124" i="114"/>
  <c r="G124" i="114"/>
  <c r="M123" i="114"/>
  <c r="F123" i="114"/>
  <c r="E123" i="114" s="1"/>
  <c r="D123" i="114" s="1"/>
  <c r="M122" i="114"/>
  <c r="M113" i="114" s="1"/>
  <c r="F122" i="114"/>
  <c r="E122" i="114" s="1"/>
  <c r="D122" i="114" s="1"/>
  <c r="P121" i="114"/>
  <c r="O121" i="114"/>
  <c r="N121" i="114"/>
  <c r="L121" i="114"/>
  <c r="K121" i="114"/>
  <c r="J121" i="114"/>
  <c r="I121" i="114"/>
  <c r="G121" i="114"/>
  <c r="M120" i="114"/>
  <c r="M121" i="114" s="1"/>
  <c r="F120" i="114"/>
  <c r="M119" i="114"/>
  <c r="H119" i="114"/>
  <c r="H121" i="114" s="1"/>
  <c r="F119" i="114"/>
  <c r="E119" i="114"/>
  <c r="D119" i="114" s="1"/>
  <c r="P118" i="114"/>
  <c r="O118" i="114"/>
  <c r="N118" i="114"/>
  <c r="L118" i="114"/>
  <c r="K118" i="114"/>
  <c r="J118" i="114"/>
  <c r="I118" i="114"/>
  <c r="H118" i="114"/>
  <c r="G118" i="114"/>
  <c r="M117" i="114"/>
  <c r="M118" i="114" s="1"/>
  <c r="F117" i="114"/>
  <c r="E117" i="114"/>
  <c r="D117" i="114"/>
  <c r="M116" i="114"/>
  <c r="H116" i="114"/>
  <c r="F116" i="114" s="1"/>
  <c r="O115" i="114"/>
  <c r="N115" i="114"/>
  <c r="G115" i="114"/>
  <c r="P114" i="114"/>
  <c r="O114" i="114"/>
  <c r="N114" i="114"/>
  <c r="M114" i="114"/>
  <c r="L114" i="114"/>
  <c r="L115" i="114" s="1"/>
  <c r="K114" i="114"/>
  <c r="K115" i="114" s="1"/>
  <c r="J114" i="114"/>
  <c r="I114" i="114"/>
  <c r="H114" i="114"/>
  <c r="G114" i="114"/>
  <c r="P113" i="114"/>
  <c r="P115" i="114" s="1"/>
  <c r="O113" i="114"/>
  <c r="N113" i="114"/>
  <c r="L113" i="114"/>
  <c r="K113" i="114"/>
  <c r="J113" i="114"/>
  <c r="I113" i="114"/>
  <c r="I115" i="114" s="1"/>
  <c r="H113" i="114"/>
  <c r="H115" i="114" s="1"/>
  <c r="G113" i="114"/>
  <c r="P112" i="114"/>
  <c r="O112" i="114"/>
  <c r="N112" i="114"/>
  <c r="M112" i="114"/>
  <c r="L112" i="114"/>
  <c r="K112" i="114"/>
  <c r="J112" i="114"/>
  <c r="I112" i="114"/>
  <c r="G112" i="114"/>
  <c r="F112" i="114"/>
  <c r="E112" i="114"/>
  <c r="M111" i="114"/>
  <c r="F111" i="114"/>
  <c r="E111" i="114"/>
  <c r="D111" i="114"/>
  <c r="M110" i="114"/>
  <c r="H110" i="114"/>
  <c r="F110" i="114"/>
  <c r="E110" i="114" s="1"/>
  <c r="D110" i="114" s="1"/>
  <c r="D107" i="114" s="1"/>
  <c r="M109" i="114"/>
  <c r="L109" i="114"/>
  <c r="K109" i="114"/>
  <c r="P108" i="114"/>
  <c r="P109" i="114" s="1"/>
  <c r="O108" i="114"/>
  <c r="N108" i="114"/>
  <c r="M108" i="114"/>
  <c r="L108" i="114"/>
  <c r="K108" i="114"/>
  <c r="J108" i="114"/>
  <c r="J109" i="114" s="1"/>
  <c r="I108" i="114"/>
  <c r="I109" i="114" s="1"/>
  <c r="H108" i="114"/>
  <c r="G108" i="114"/>
  <c r="F108" i="114"/>
  <c r="E108" i="114"/>
  <c r="P107" i="114"/>
  <c r="O107" i="114"/>
  <c r="N107" i="114"/>
  <c r="N109" i="114" s="1"/>
  <c r="M107" i="114"/>
  <c r="L107" i="114"/>
  <c r="K107" i="114"/>
  <c r="J107" i="114"/>
  <c r="I107" i="114"/>
  <c r="G107" i="114"/>
  <c r="F107" i="114"/>
  <c r="F109" i="114" s="1"/>
  <c r="P106" i="114"/>
  <c r="O106" i="114"/>
  <c r="N106" i="114"/>
  <c r="L106" i="114"/>
  <c r="K106" i="114"/>
  <c r="J106" i="114"/>
  <c r="I106" i="114"/>
  <c r="G106" i="114"/>
  <c r="M105" i="114"/>
  <c r="F105" i="114"/>
  <c r="M104" i="114"/>
  <c r="K104" i="114"/>
  <c r="H104" i="114"/>
  <c r="H106" i="114" s="1"/>
  <c r="F104" i="114"/>
  <c r="F101" i="114" s="1"/>
  <c r="J103" i="114"/>
  <c r="I103" i="114"/>
  <c r="P102" i="114"/>
  <c r="P103" i="114" s="1"/>
  <c r="O102" i="114"/>
  <c r="O103" i="114" s="1"/>
  <c r="N102" i="114"/>
  <c r="N103" i="114" s="1"/>
  <c r="L102" i="114"/>
  <c r="K102" i="114"/>
  <c r="J102" i="114"/>
  <c r="I102" i="114"/>
  <c r="H102" i="114"/>
  <c r="G102" i="114"/>
  <c r="G103" i="114" s="1"/>
  <c r="F102" i="114"/>
  <c r="P101" i="114"/>
  <c r="O101" i="114"/>
  <c r="N101" i="114"/>
  <c r="M101" i="114"/>
  <c r="L101" i="114"/>
  <c r="L103" i="114" s="1"/>
  <c r="K101" i="114"/>
  <c r="K103" i="114" s="1"/>
  <c r="J101" i="114"/>
  <c r="I101" i="114"/>
  <c r="G101" i="114"/>
  <c r="P100" i="114"/>
  <c r="O100" i="114"/>
  <c r="N100" i="114"/>
  <c r="L100" i="114"/>
  <c r="K100" i="114"/>
  <c r="J100" i="114"/>
  <c r="I100" i="114"/>
  <c r="H100" i="114"/>
  <c r="G100" i="114"/>
  <c r="M99" i="114"/>
  <c r="M100" i="114" s="1"/>
  <c r="F99" i="114"/>
  <c r="F100" i="114" s="1"/>
  <c r="E99" i="114"/>
  <c r="E100" i="114" s="1"/>
  <c r="D99" i="114"/>
  <c r="D100" i="114" s="1"/>
  <c r="M98" i="114"/>
  <c r="H98" i="114"/>
  <c r="F98" i="114"/>
  <c r="E98" i="114" s="1"/>
  <c r="D98" i="114" s="1"/>
  <c r="P97" i="114"/>
  <c r="O97" i="114"/>
  <c r="N97" i="114"/>
  <c r="L97" i="114"/>
  <c r="K97" i="114"/>
  <c r="J97" i="114"/>
  <c r="I97" i="114"/>
  <c r="H97" i="114"/>
  <c r="G97" i="114"/>
  <c r="M96" i="114"/>
  <c r="M97" i="114" s="1"/>
  <c r="F96" i="114"/>
  <c r="E96" i="114"/>
  <c r="E97" i="114" s="1"/>
  <c r="D96" i="114"/>
  <c r="D97" i="114" s="1"/>
  <c r="M95" i="114"/>
  <c r="F95" i="114"/>
  <c r="E95" i="114" s="1"/>
  <c r="D95" i="114" s="1"/>
  <c r="P94" i="114"/>
  <c r="O94" i="114"/>
  <c r="N94" i="114"/>
  <c r="L94" i="114"/>
  <c r="K94" i="114"/>
  <c r="J94" i="114"/>
  <c r="I94" i="114"/>
  <c r="H94" i="114"/>
  <c r="G94" i="114"/>
  <c r="M93" i="114"/>
  <c r="M94" i="114" s="1"/>
  <c r="F93" i="114"/>
  <c r="E93" i="114" s="1"/>
  <c r="D93" i="114" s="1"/>
  <c r="M92" i="114"/>
  <c r="F92" i="114"/>
  <c r="F94" i="114" s="1"/>
  <c r="E92" i="114"/>
  <c r="D92" i="114" s="1"/>
  <c r="P91" i="114"/>
  <c r="O91" i="114"/>
  <c r="N91" i="114"/>
  <c r="L91" i="114"/>
  <c r="K91" i="114"/>
  <c r="J91" i="114"/>
  <c r="I91" i="114"/>
  <c r="H91" i="114"/>
  <c r="G91" i="114"/>
  <c r="M90" i="114"/>
  <c r="M91" i="114" s="1"/>
  <c r="F90" i="114"/>
  <c r="F91" i="114" s="1"/>
  <c r="E90" i="114"/>
  <c r="E91" i="114" s="1"/>
  <c r="M89" i="114"/>
  <c r="F89" i="114"/>
  <c r="E89" i="114" s="1"/>
  <c r="D89" i="114" s="1"/>
  <c r="P88" i="114"/>
  <c r="O88" i="114"/>
  <c r="N88" i="114"/>
  <c r="M88" i="114"/>
  <c r="L88" i="114"/>
  <c r="K88" i="114"/>
  <c r="J88" i="114"/>
  <c r="I88" i="114"/>
  <c r="H88" i="114"/>
  <c r="G88" i="114"/>
  <c r="F88" i="114"/>
  <c r="M87" i="114"/>
  <c r="F87" i="114"/>
  <c r="E87" i="114" s="1"/>
  <c r="D87" i="114" s="1"/>
  <c r="M86" i="114"/>
  <c r="F86" i="114"/>
  <c r="E86" i="114" s="1"/>
  <c r="P85" i="114"/>
  <c r="N85" i="114"/>
  <c r="L85" i="114"/>
  <c r="K85" i="114"/>
  <c r="J85" i="114"/>
  <c r="I85" i="114"/>
  <c r="G85" i="114"/>
  <c r="M84" i="114"/>
  <c r="M85" i="114" s="1"/>
  <c r="F84" i="114"/>
  <c r="O83" i="114"/>
  <c r="O85" i="114" s="1"/>
  <c r="M83" i="114"/>
  <c r="K83" i="114"/>
  <c r="H83" i="114"/>
  <c r="F83" i="114" s="1"/>
  <c r="E83" i="114" s="1"/>
  <c r="D83" i="114" s="1"/>
  <c r="P82" i="114"/>
  <c r="O82" i="114"/>
  <c r="N82" i="114"/>
  <c r="L82" i="114"/>
  <c r="K82" i="114"/>
  <c r="J82" i="114"/>
  <c r="I82" i="114"/>
  <c r="H82" i="114"/>
  <c r="G82" i="114"/>
  <c r="M81" i="114"/>
  <c r="M82" i="114" s="1"/>
  <c r="F81" i="114"/>
  <c r="M80" i="114"/>
  <c r="F80" i="114"/>
  <c r="E80" i="114"/>
  <c r="D80" i="114"/>
  <c r="P79" i="114"/>
  <c r="O79" i="114"/>
  <c r="N79" i="114"/>
  <c r="L79" i="114"/>
  <c r="K79" i="114"/>
  <c r="J79" i="114"/>
  <c r="I79" i="114"/>
  <c r="H79" i="114"/>
  <c r="G79" i="114"/>
  <c r="M78" i="114"/>
  <c r="M79" i="114" s="1"/>
  <c r="F78" i="114"/>
  <c r="F79" i="114" s="1"/>
  <c r="E78" i="114"/>
  <c r="E79" i="114" s="1"/>
  <c r="M77" i="114"/>
  <c r="M68" i="114" s="1"/>
  <c r="I77" i="114"/>
  <c r="H77" i="114"/>
  <c r="F77" i="114"/>
  <c r="E77" i="114" s="1"/>
  <c r="D77" i="114" s="1"/>
  <c r="P76" i="114"/>
  <c r="O76" i="114"/>
  <c r="N76" i="114"/>
  <c r="L76" i="114"/>
  <c r="K76" i="114"/>
  <c r="J76" i="114"/>
  <c r="I76" i="114"/>
  <c r="H76" i="114"/>
  <c r="G76" i="114"/>
  <c r="F76" i="114"/>
  <c r="M75" i="114"/>
  <c r="M76" i="114" s="1"/>
  <c r="F75" i="114"/>
  <c r="E75" i="114"/>
  <c r="D75" i="114"/>
  <c r="M74" i="114"/>
  <c r="F74" i="114"/>
  <c r="E74" i="114" s="1"/>
  <c r="D74" i="114" s="1"/>
  <c r="P73" i="114"/>
  <c r="O73" i="114"/>
  <c r="N73" i="114"/>
  <c r="L73" i="114"/>
  <c r="K73" i="114"/>
  <c r="J73" i="114"/>
  <c r="I73" i="114"/>
  <c r="H73" i="114"/>
  <c r="G73" i="114"/>
  <c r="E73" i="114"/>
  <c r="M72" i="114"/>
  <c r="M73" i="114" s="1"/>
  <c r="F72" i="114"/>
  <c r="E72" i="114" s="1"/>
  <c r="M71" i="114"/>
  <c r="F71" i="114"/>
  <c r="E71" i="114"/>
  <c r="D71" i="114"/>
  <c r="P70" i="114"/>
  <c r="I70" i="114"/>
  <c r="P69" i="114"/>
  <c r="O69" i="114"/>
  <c r="O70" i="114" s="1"/>
  <c r="N69" i="114"/>
  <c r="N70" i="114" s="1"/>
  <c r="M69" i="114"/>
  <c r="M70" i="114" s="1"/>
  <c r="L69" i="114"/>
  <c r="L70" i="114" s="1"/>
  <c r="K69" i="114"/>
  <c r="J69" i="114"/>
  <c r="I69" i="114"/>
  <c r="H69" i="114"/>
  <c r="G69" i="114"/>
  <c r="G70" i="114" s="1"/>
  <c r="P68" i="114"/>
  <c r="O68" i="114"/>
  <c r="N68" i="114"/>
  <c r="L68" i="114"/>
  <c r="K68" i="114"/>
  <c r="K70" i="114" s="1"/>
  <c r="J68" i="114"/>
  <c r="J70" i="114" s="1"/>
  <c r="I68" i="114"/>
  <c r="G68" i="114"/>
  <c r="P67" i="114"/>
  <c r="O67" i="114"/>
  <c r="N67" i="114"/>
  <c r="L67" i="114"/>
  <c r="K67" i="114"/>
  <c r="J67" i="114"/>
  <c r="I67" i="114"/>
  <c r="H67" i="114"/>
  <c r="G67" i="114"/>
  <c r="M66" i="114"/>
  <c r="F66" i="114"/>
  <c r="F67" i="114" s="1"/>
  <c r="E66" i="114"/>
  <c r="D66" i="114"/>
  <c r="M65" i="114"/>
  <c r="M62" i="114" s="1"/>
  <c r="M64" i="114" s="1"/>
  <c r="F65" i="114"/>
  <c r="E65" i="114" s="1"/>
  <c r="N64" i="114"/>
  <c r="L64" i="114"/>
  <c r="P63" i="114"/>
  <c r="O63" i="114"/>
  <c r="N63" i="114"/>
  <c r="M63" i="114"/>
  <c r="L63" i="114"/>
  <c r="K63" i="114"/>
  <c r="K64" i="114" s="1"/>
  <c r="J63" i="114"/>
  <c r="J64" i="114" s="1"/>
  <c r="I63" i="114"/>
  <c r="I64" i="114" s="1"/>
  <c r="H63" i="114"/>
  <c r="G63" i="114"/>
  <c r="P62" i="114"/>
  <c r="O62" i="114"/>
  <c r="O64" i="114" s="1"/>
  <c r="N62" i="114"/>
  <c r="L62" i="114"/>
  <c r="K62" i="114"/>
  <c r="J62" i="114"/>
  <c r="I62" i="114"/>
  <c r="H62" i="114"/>
  <c r="G62" i="114"/>
  <c r="G64" i="114" s="1"/>
  <c r="F62" i="114"/>
  <c r="P61" i="114"/>
  <c r="O61" i="114"/>
  <c r="N61" i="114"/>
  <c r="L61" i="114"/>
  <c r="K61" i="114"/>
  <c r="J61" i="114"/>
  <c r="I61" i="114"/>
  <c r="H61" i="114"/>
  <c r="G61" i="114"/>
  <c r="M60" i="114"/>
  <c r="M61" i="114" s="1"/>
  <c r="F60" i="114"/>
  <c r="E60" i="114" s="1"/>
  <c r="D60" i="114" s="1"/>
  <c r="M59" i="114"/>
  <c r="K59" i="114"/>
  <c r="F59" i="114"/>
  <c r="F61" i="114" s="1"/>
  <c r="P58" i="114"/>
  <c r="O58" i="114"/>
  <c r="N58" i="114"/>
  <c r="L58" i="114"/>
  <c r="K58" i="114"/>
  <c r="J58" i="114"/>
  <c r="I58" i="114"/>
  <c r="H58" i="114"/>
  <c r="G58" i="114"/>
  <c r="M57" i="114"/>
  <c r="F57" i="114"/>
  <c r="E57" i="114"/>
  <c r="M56" i="114"/>
  <c r="F56" i="114"/>
  <c r="E56" i="114" s="1"/>
  <c r="P55" i="114"/>
  <c r="O55" i="114"/>
  <c r="N55" i="114"/>
  <c r="L55" i="114"/>
  <c r="J55" i="114"/>
  <c r="I55" i="114"/>
  <c r="H55" i="114"/>
  <c r="G55" i="114"/>
  <c r="F55" i="114"/>
  <c r="M54" i="114"/>
  <c r="F54" i="114"/>
  <c r="E54" i="114"/>
  <c r="D54" i="114"/>
  <c r="M53" i="114"/>
  <c r="M50" i="114" s="1"/>
  <c r="K53" i="114"/>
  <c r="F53" i="114"/>
  <c r="L52" i="114"/>
  <c r="P51" i="114"/>
  <c r="O51" i="114"/>
  <c r="N51" i="114"/>
  <c r="L51" i="114"/>
  <c r="K51" i="114"/>
  <c r="J51" i="114"/>
  <c r="J52" i="114" s="1"/>
  <c r="I51" i="114"/>
  <c r="I52" i="114" s="1"/>
  <c r="H51" i="114"/>
  <c r="G51" i="114"/>
  <c r="P50" i="114"/>
  <c r="O50" i="114"/>
  <c r="O52" i="114" s="1"/>
  <c r="N50" i="114"/>
  <c r="N52" i="114" s="1"/>
  <c r="L50" i="114"/>
  <c r="J50" i="114"/>
  <c r="I50" i="114"/>
  <c r="H50" i="114"/>
  <c r="G50" i="114"/>
  <c r="G52" i="114" s="1"/>
  <c r="F50" i="114"/>
  <c r="P49" i="114"/>
  <c r="O49" i="114"/>
  <c r="N49" i="114"/>
  <c r="L49" i="114"/>
  <c r="K49" i="114"/>
  <c r="J49" i="114"/>
  <c r="I49" i="114"/>
  <c r="G49" i="114"/>
  <c r="M48" i="114"/>
  <c r="M45" i="114" s="1"/>
  <c r="M46" i="114" s="1"/>
  <c r="F48" i="114"/>
  <c r="E48" i="114" s="1"/>
  <c r="M47" i="114"/>
  <c r="H47" i="114"/>
  <c r="H49" i="114" s="1"/>
  <c r="F47" i="114"/>
  <c r="E47" i="114" s="1"/>
  <c r="J46" i="114"/>
  <c r="I46" i="114"/>
  <c r="P45" i="114"/>
  <c r="P46" i="114" s="1"/>
  <c r="O45" i="114"/>
  <c r="O46" i="114" s="1"/>
  <c r="N45" i="114"/>
  <c r="N46" i="114" s="1"/>
  <c r="L45" i="114"/>
  <c r="K45" i="114"/>
  <c r="J45" i="114"/>
  <c r="I45" i="114"/>
  <c r="H45" i="114"/>
  <c r="G45" i="114"/>
  <c r="G46" i="114" s="1"/>
  <c r="F45" i="114"/>
  <c r="P44" i="114"/>
  <c r="O44" i="114"/>
  <c r="N44" i="114"/>
  <c r="M44" i="114"/>
  <c r="L44" i="114"/>
  <c r="L46" i="114" s="1"/>
  <c r="K44" i="114"/>
  <c r="K46" i="114" s="1"/>
  <c r="J44" i="114"/>
  <c r="I44" i="114"/>
  <c r="G44" i="114"/>
  <c r="P43" i="114"/>
  <c r="O43" i="114"/>
  <c r="N43" i="114"/>
  <c r="L43" i="114"/>
  <c r="K43" i="114"/>
  <c r="J43" i="114"/>
  <c r="I43" i="114"/>
  <c r="H43" i="114"/>
  <c r="G43" i="114"/>
  <c r="M42" i="114"/>
  <c r="M43" i="114" s="1"/>
  <c r="F42" i="114"/>
  <c r="E42" i="114"/>
  <c r="E43" i="114" s="1"/>
  <c r="M41" i="114"/>
  <c r="F41" i="114"/>
  <c r="E41" i="114"/>
  <c r="D41" i="114" s="1"/>
  <c r="P40" i="114"/>
  <c r="O40" i="114"/>
  <c r="N40" i="114"/>
  <c r="M40" i="114"/>
  <c r="L40" i="114"/>
  <c r="J40" i="114"/>
  <c r="I40" i="114"/>
  <c r="H40" i="114"/>
  <c r="G40" i="114"/>
  <c r="F40" i="114"/>
  <c r="E40" i="114"/>
  <c r="M39" i="114"/>
  <c r="F39" i="114"/>
  <c r="E39" i="114" s="1"/>
  <c r="M38" i="114"/>
  <c r="K38" i="114"/>
  <c r="F38" i="114"/>
  <c r="E38" i="114" s="1"/>
  <c r="L37" i="114"/>
  <c r="P36" i="114"/>
  <c r="O36" i="114"/>
  <c r="N36" i="114"/>
  <c r="L36" i="114"/>
  <c r="K36" i="114"/>
  <c r="J36" i="114"/>
  <c r="I36" i="114"/>
  <c r="H36" i="114"/>
  <c r="H37" i="114" s="1"/>
  <c r="G36" i="114"/>
  <c r="G37" i="114" s="1"/>
  <c r="P35" i="114"/>
  <c r="O35" i="114"/>
  <c r="N35" i="114"/>
  <c r="M35" i="114"/>
  <c r="L35" i="114"/>
  <c r="J35" i="114"/>
  <c r="I35" i="114"/>
  <c r="H35" i="114"/>
  <c r="G35" i="114"/>
  <c r="F35" i="114"/>
  <c r="E35" i="114"/>
  <c r="P34" i="114"/>
  <c r="O34" i="114"/>
  <c r="N34" i="114"/>
  <c r="L34" i="114"/>
  <c r="K34" i="114"/>
  <c r="J34" i="114"/>
  <c r="I34" i="114"/>
  <c r="G34" i="114"/>
  <c r="M33" i="114"/>
  <c r="M34" i="114" s="1"/>
  <c r="H33" i="114"/>
  <c r="M32" i="114"/>
  <c r="F32" i="114"/>
  <c r="E32" i="114"/>
  <c r="D32" i="114"/>
  <c r="P31" i="114"/>
  <c r="O31" i="114"/>
  <c r="N31" i="114"/>
  <c r="L31" i="114"/>
  <c r="K31" i="114"/>
  <c r="J31" i="114"/>
  <c r="I31" i="114"/>
  <c r="H31" i="114"/>
  <c r="G31" i="114"/>
  <c r="M30" i="114"/>
  <c r="M31" i="114" s="1"/>
  <c r="F30" i="114"/>
  <c r="F31" i="114" s="1"/>
  <c r="E30" i="114"/>
  <c r="E31" i="114" s="1"/>
  <c r="M29" i="114"/>
  <c r="K29" i="114"/>
  <c r="F29" i="114"/>
  <c r="E29" i="114" s="1"/>
  <c r="D29" i="114" s="1"/>
  <c r="P28" i="114"/>
  <c r="O28" i="114"/>
  <c r="N28" i="114"/>
  <c r="L28" i="114"/>
  <c r="K28" i="114"/>
  <c r="J28" i="114"/>
  <c r="I28" i="114"/>
  <c r="G28" i="114"/>
  <c r="M27" i="114"/>
  <c r="M28" i="114" s="1"/>
  <c r="F27" i="114"/>
  <c r="E27" i="114"/>
  <c r="D27" i="114"/>
  <c r="M26" i="114"/>
  <c r="H26" i="114"/>
  <c r="P25" i="114"/>
  <c r="O25" i="114"/>
  <c r="N25" i="114"/>
  <c r="M25" i="114"/>
  <c r="L25" i="114"/>
  <c r="J25" i="114"/>
  <c r="I25" i="114"/>
  <c r="H25" i="114"/>
  <c r="G25" i="114"/>
  <c r="D25" i="114"/>
  <c r="M24" i="114"/>
  <c r="F24" i="114"/>
  <c r="E24" i="114"/>
  <c r="D24" i="114" s="1"/>
  <c r="M23" i="114"/>
  <c r="M17" i="114" s="1"/>
  <c r="K23" i="114"/>
  <c r="K25" i="114" s="1"/>
  <c r="F23" i="114"/>
  <c r="E23" i="114"/>
  <c r="D23" i="114" s="1"/>
  <c r="P22" i="114"/>
  <c r="O22" i="114"/>
  <c r="N22" i="114"/>
  <c r="L22" i="114"/>
  <c r="K22" i="114"/>
  <c r="J22" i="114"/>
  <c r="I22" i="114"/>
  <c r="H22" i="114"/>
  <c r="G22" i="114"/>
  <c r="M21" i="114"/>
  <c r="M22" i="114" s="1"/>
  <c r="F21" i="114"/>
  <c r="M20" i="114"/>
  <c r="F20" i="114"/>
  <c r="E20" i="114"/>
  <c r="D20" i="114"/>
  <c r="P19" i="114"/>
  <c r="I19" i="114"/>
  <c r="P18" i="114"/>
  <c r="O18" i="114"/>
  <c r="O14" i="114" s="1"/>
  <c r="O403" i="114" s="1"/>
  <c r="N18" i="114"/>
  <c r="L18" i="114"/>
  <c r="K18" i="114"/>
  <c r="J18" i="114"/>
  <c r="I18" i="114"/>
  <c r="G18" i="114"/>
  <c r="P17" i="114"/>
  <c r="O17" i="114"/>
  <c r="N17" i="114"/>
  <c r="N19" i="114" s="1"/>
  <c r="L17" i="114"/>
  <c r="K17" i="114"/>
  <c r="K19" i="114" s="1"/>
  <c r="J17" i="114"/>
  <c r="J19" i="114" s="1"/>
  <c r="I17" i="114"/>
  <c r="G17" i="114"/>
  <c r="S134" i="122" l="1"/>
  <c r="R129" i="122"/>
  <c r="S135" i="122"/>
  <c r="R130" i="122"/>
  <c r="Q127" i="122"/>
  <c r="R132" i="122"/>
  <c r="S130" i="122"/>
  <c r="J20" i="121"/>
  <c r="J177" i="121"/>
  <c r="N180" i="121"/>
  <c r="N278" i="121"/>
  <c r="N281" i="121" s="1"/>
  <c r="J246" i="121"/>
  <c r="J273" i="121"/>
  <c r="J276" i="121" s="1"/>
  <c r="J203" i="121"/>
  <c r="J220" i="121"/>
  <c r="J223" i="121" s="1"/>
  <c r="L585" i="118"/>
  <c r="H11" i="118"/>
  <c r="H585" i="118" s="1"/>
  <c r="I587" i="118"/>
  <c r="H13" i="118"/>
  <c r="H587" i="118" s="1"/>
  <c r="I586" i="118"/>
  <c r="H12" i="118"/>
  <c r="H586" i="118" s="1"/>
  <c r="G28" i="115"/>
  <c r="G17" i="115"/>
  <c r="G211" i="115"/>
  <c r="F28" i="115"/>
  <c r="G102" i="115"/>
  <c r="G179" i="115"/>
  <c r="G210" i="115"/>
  <c r="G161" i="115"/>
  <c r="G256" i="115"/>
  <c r="G140" i="115"/>
  <c r="G29" i="115"/>
  <c r="G100" i="115"/>
  <c r="G245" i="115"/>
  <c r="E44" i="114"/>
  <c r="D47" i="114"/>
  <c r="D44" i="114" s="1"/>
  <c r="D145" i="114"/>
  <c r="D183" i="114"/>
  <c r="D184" i="114" s="1"/>
  <c r="D187" i="114"/>
  <c r="D86" i="114"/>
  <c r="D68" i="114" s="1"/>
  <c r="E88" i="114"/>
  <c r="D94" i="114"/>
  <c r="E146" i="114"/>
  <c r="D146" i="114" s="1"/>
  <c r="F140" i="114"/>
  <c r="D140" i="114"/>
  <c r="F33" i="114"/>
  <c r="H34" i="114"/>
  <c r="H18" i="114"/>
  <c r="H14" i="114" s="1"/>
  <c r="H52" i="114"/>
  <c r="E25" i="114"/>
  <c r="E45" i="114"/>
  <c r="E46" i="114" s="1"/>
  <c r="D48" i="114"/>
  <c r="E62" i="114"/>
  <c r="D65" i="114"/>
  <c r="D62" i="114" s="1"/>
  <c r="F103" i="114"/>
  <c r="E139" i="114"/>
  <c r="J13" i="114"/>
  <c r="J402" i="114" s="1"/>
  <c r="E21" i="114"/>
  <c r="F22" i="114"/>
  <c r="F26" i="114"/>
  <c r="H17" i="114"/>
  <c r="H28" i="114"/>
  <c r="O13" i="114"/>
  <c r="O402" i="114" s="1"/>
  <c r="O404" i="114" s="1"/>
  <c r="D38" i="114"/>
  <c r="D35" i="114" s="1"/>
  <c r="E49" i="114"/>
  <c r="M55" i="114"/>
  <c r="E67" i="114"/>
  <c r="E63" i="114"/>
  <c r="E64" i="114" s="1"/>
  <c r="F97" i="114"/>
  <c r="E105" i="114"/>
  <c r="F106" i="114"/>
  <c r="G109" i="114"/>
  <c r="O109" i="114"/>
  <c r="H112" i="114"/>
  <c r="H107" i="114"/>
  <c r="F118" i="114"/>
  <c r="F114" i="114"/>
  <c r="E120" i="114"/>
  <c r="E114" i="114" s="1"/>
  <c r="F121" i="114"/>
  <c r="E124" i="114"/>
  <c r="M124" i="114"/>
  <c r="E125" i="114"/>
  <c r="D128" i="114"/>
  <c r="D125" i="114" s="1"/>
  <c r="M131" i="114"/>
  <c r="M133" i="114" s="1"/>
  <c r="E153" i="114"/>
  <c r="D164" i="114"/>
  <c r="D161" i="114" s="1"/>
  <c r="D163" i="114" s="1"/>
  <c r="E161" i="114"/>
  <c r="E163" i="114" s="1"/>
  <c r="M193" i="114"/>
  <c r="D240" i="114"/>
  <c r="M262" i="114"/>
  <c r="M258" i="114"/>
  <c r="D369" i="114"/>
  <c r="D370" i="114" s="1"/>
  <c r="E370" i="114"/>
  <c r="G26" i="116"/>
  <c r="G39" i="116"/>
  <c r="I37" i="114"/>
  <c r="I14" i="114"/>
  <c r="D57" i="114"/>
  <c r="E58" i="114"/>
  <c r="E51" i="114"/>
  <c r="G14" i="114"/>
  <c r="F58" i="114"/>
  <c r="F51" i="114"/>
  <c r="F52" i="114" s="1"/>
  <c r="D151" i="114"/>
  <c r="F17" i="114"/>
  <c r="L14" i="114"/>
  <c r="F68" i="114"/>
  <c r="N14" i="114"/>
  <c r="G13" i="114"/>
  <c r="G402" i="114" s="1"/>
  <c r="O37" i="114"/>
  <c r="K40" i="114"/>
  <c r="K35" i="114"/>
  <c r="K37" i="114" s="1"/>
  <c r="E59" i="114"/>
  <c r="D59" i="114" s="1"/>
  <c r="D61" i="114" s="1"/>
  <c r="D72" i="114"/>
  <c r="D76" i="114"/>
  <c r="M102" i="114"/>
  <c r="M103" i="114" s="1"/>
  <c r="M106" i="114"/>
  <c r="H109" i="114"/>
  <c r="F124" i="114"/>
  <c r="D134" i="114"/>
  <c r="D131" i="114" s="1"/>
  <c r="E140" i="114"/>
  <c r="E145" i="114"/>
  <c r="D158" i="114"/>
  <c r="E196" i="114"/>
  <c r="D233" i="114"/>
  <c r="D236" i="114"/>
  <c r="D238" i="114" s="1"/>
  <c r="E268" i="114"/>
  <c r="E276" i="114"/>
  <c r="M334" i="114"/>
  <c r="M326" i="114"/>
  <c r="M350" i="114"/>
  <c r="M352" i="114" s="1"/>
  <c r="D367" i="114"/>
  <c r="I13" i="114"/>
  <c r="I402" i="114" s="1"/>
  <c r="P13" i="114"/>
  <c r="P402" i="114" s="1"/>
  <c r="M18" i="114"/>
  <c r="O19" i="114"/>
  <c r="P37" i="114"/>
  <c r="P14" i="114"/>
  <c r="F49" i="114"/>
  <c r="F44" i="114"/>
  <c r="D56" i="114"/>
  <c r="M67" i="114"/>
  <c r="E76" i="114"/>
  <c r="H85" i="114"/>
  <c r="H68" i="114"/>
  <c r="H70" i="114" s="1"/>
  <c r="D112" i="114"/>
  <c r="M115" i="114"/>
  <c r="D149" i="114"/>
  <c r="F151" i="114"/>
  <c r="O175" i="114"/>
  <c r="M173" i="114"/>
  <c r="M175" i="114" s="1"/>
  <c r="D179" i="114"/>
  <c r="D181" i="114" s="1"/>
  <c r="E187" i="114"/>
  <c r="E183" i="114"/>
  <c r="E184" i="114" s="1"/>
  <c r="K232" i="114"/>
  <c r="F257" i="114"/>
  <c r="D297" i="114"/>
  <c r="E343" i="114"/>
  <c r="D341" i="114"/>
  <c r="D343" i="114" s="1"/>
  <c r="D363" i="114"/>
  <c r="D364" i="114" s="1"/>
  <c r="E364" i="114"/>
  <c r="E81" i="114"/>
  <c r="F82" i="114"/>
  <c r="F113" i="114"/>
  <c r="E116" i="114"/>
  <c r="E118" i="114" s="1"/>
  <c r="O130" i="114"/>
  <c r="O125" i="114"/>
  <c r="O127" i="114" s="1"/>
  <c r="E132" i="114"/>
  <c r="E133" i="114" s="1"/>
  <c r="E136" i="114"/>
  <c r="F191" i="114"/>
  <c r="H188" i="114"/>
  <c r="H190" i="114" s="1"/>
  <c r="E202" i="114"/>
  <c r="D200" i="114"/>
  <c r="D202" i="114" s="1"/>
  <c r="F248" i="114"/>
  <c r="H230" i="114"/>
  <c r="H232" i="114" s="1"/>
  <c r="J37" i="114"/>
  <c r="J14" i="114"/>
  <c r="F43" i="114"/>
  <c r="F36" i="114"/>
  <c r="F37" i="114" s="1"/>
  <c r="D55" i="114"/>
  <c r="D129" i="114"/>
  <c r="E130" i="114"/>
  <c r="D222" i="114"/>
  <c r="F232" i="114"/>
  <c r="M289" i="114"/>
  <c r="M276" i="114"/>
  <c r="M277" i="114" s="1"/>
  <c r="L19" i="114"/>
  <c r="L13" i="114"/>
  <c r="L402" i="114" s="1"/>
  <c r="G19" i="114"/>
  <c r="F25" i="114"/>
  <c r="M49" i="114"/>
  <c r="E55" i="114"/>
  <c r="M58" i="114"/>
  <c r="M51" i="114"/>
  <c r="M52" i="114" s="1"/>
  <c r="H64" i="114"/>
  <c r="P64" i="114"/>
  <c r="F69" i="114"/>
  <c r="E68" i="114"/>
  <c r="E84" i="114"/>
  <c r="E69" i="114" s="1"/>
  <c r="E70" i="114" s="1"/>
  <c r="F85" i="114"/>
  <c r="D124" i="114"/>
  <c r="E126" i="114"/>
  <c r="E127" i="114" s="1"/>
  <c r="M139" i="114"/>
  <c r="E208" i="114"/>
  <c r="D207" i="114"/>
  <c r="D208" i="114" s="1"/>
  <c r="D271" i="114"/>
  <c r="G429" i="116"/>
  <c r="N13" i="114"/>
  <c r="N402" i="114" s="1"/>
  <c r="N37" i="114"/>
  <c r="D67" i="114"/>
  <c r="D63" i="114"/>
  <c r="D64" i="114" s="1"/>
  <c r="E94" i="114"/>
  <c r="J115" i="114"/>
  <c r="M141" i="114"/>
  <c r="M142" i="114" s="1"/>
  <c r="M145" i="114"/>
  <c r="D173" i="114"/>
  <c r="D199" i="114"/>
  <c r="E220" i="114"/>
  <c r="D219" i="114"/>
  <c r="D220" i="114" s="1"/>
  <c r="D239" i="114"/>
  <c r="M230" i="114"/>
  <c r="M232" i="114" s="1"/>
  <c r="I259" i="114"/>
  <c r="F262" i="114"/>
  <c r="E261" i="114"/>
  <c r="D303" i="114"/>
  <c r="D304" i="114" s="1"/>
  <c r="E398" i="114"/>
  <c r="F400" i="114"/>
  <c r="D30" i="114"/>
  <c r="D31" i="114" s="1"/>
  <c r="E36" i="114"/>
  <c r="E37" i="114" s="1"/>
  <c r="D39" i="114"/>
  <c r="D42" i="114"/>
  <c r="D43" i="114" s="1"/>
  <c r="F46" i="114"/>
  <c r="P52" i="114"/>
  <c r="E53" i="114"/>
  <c r="D53" i="114" s="1"/>
  <c r="K55" i="114"/>
  <c r="K50" i="114"/>
  <c r="K52" i="114" s="1"/>
  <c r="D78" i="114"/>
  <c r="D79" i="114" s="1"/>
  <c r="D88" i="114"/>
  <c r="D90" i="114"/>
  <c r="D91" i="114" s="1"/>
  <c r="E104" i="114"/>
  <c r="E107" i="114"/>
  <c r="E109" i="114" s="1"/>
  <c r="J127" i="114"/>
  <c r="D135" i="114"/>
  <c r="K140" i="114"/>
  <c r="K142" i="114" s="1"/>
  <c r="D159" i="114"/>
  <c r="D160" i="114" s="1"/>
  <c r="E160" i="114"/>
  <c r="E174" i="114"/>
  <c r="E175" i="114" s="1"/>
  <c r="D177" i="114"/>
  <c r="M182" i="114"/>
  <c r="M184" i="114" s="1"/>
  <c r="D225" i="114"/>
  <c r="D226" i="114" s="1"/>
  <c r="E226" i="114"/>
  <c r="D288" i="114"/>
  <c r="D289" i="114" s="1"/>
  <c r="E329" i="114"/>
  <c r="G138" i="115"/>
  <c r="F134" i="115"/>
  <c r="F73" i="114"/>
  <c r="E192" i="114"/>
  <c r="F193" i="114"/>
  <c r="M199" i="114"/>
  <c r="M220" i="114"/>
  <c r="D257" i="114"/>
  <c r="F268" i="114"/>
  <c r="E286" i="114"/>
  <c r="D285" i="114"/>
  <c r="D286" i="114" s="1"/>
  <c r="F313" i="114"/>
  <c r="E312" i="114"/>
  <c r="E315" i="114"/>
  <c r="F316" i="114"/>
  <c r="P319" i="114"/>
  <c r="E206" i="115"/>
  <c r="G206" i="115" s="1"/>
  <c r="G207" i="115"/>
  <c r="G21" i="116"/>
  <c r="G258" i="116"/>
  <c r="D108" i="114"/>
  <c r="D109" i="114" s="1"/>
  <c r="P175" i="114"/>
  <c r="K190" i="114"/>
  <c r="F208" i="114"/>
  <c r="D234" i="114"/>
  <c r="E235" i="114"/>
  <c r="D246" i="114"/>
  <c r="D247" i="114" s="1"/>
  <c r="E247" i="114"/>
  <c r="E256" i="114"/>
  <c r="D254" i="114"/>
  <c r="D256" i="114" s="1"/>
  <c r="E257" i="114"/>
  <c r="H268" i="114"/>
  <c r="H257" i="114"/>
  <c r="H259" i="114" s="1"/>
  <c r="E325" i="114"/>
  <c r="D324" i="114"/>
  <c r="D325" i="114" s="1"/>
  <c r="D348" i="114"/>
  <c r="D349" i="114" s="1"/>
  <c r="E349" i="114"/>
  <c r="M391" i="114"/>
  <c r="M36" i="114"/>
  <c r="M37" i="114" s="1"/>
  <c r="H44" i="114"/>
  <c r="H46" i="114" s="1"/>
  <c r="F63" i="114"/>
  <c r="F64" i="114" s="1"/>
  <c r="H101" i="114"/>
  <c r="H103" i="114" s="1"/>
  <c r="P142" i="114"/>
  <c r="E152" i="114"/>
  <c r="D152" i="114" s="1"/>
  <c r="H175" i="114"/>
  <c r="M181" i="114"/>
  <c r="E213" i="114"/>
  <c r="F214" i="114"/>
  <c r="M257" i="114"/>
  <c r="M274" i="114"/>
  <c r="F298" i="114"/>
  <c r="E296" i="114"/>
  <c r="F293" i="114"/>
  <c r="F325" i="114"/>
  <c r="F318" i="114"/>
  <c r="F319" i="114" s="1"/>
  <c r="D345" i="114"/>
  <c r="M394" i="114"/>
  <c r="E397" i="114"/>
  <c r="E390" i="114"/>
  <c r="F136" i="114"/>
  <c r="H142" i="114"/>
  <c r="E205" i="114"/>
  <c r="H208" i="114"/>
  <c r="E264" i="114"/>
  <c r="F258" i="114"/>
  <c r="F259" i="114" s="1"/>
  <c r="E289" i="114"/>
  <c r="F304" i="114"/>
  <c r="F294" i="114"/>
  <c r="F295" i="114" s="1"/>
  <c r="E310" i="114"/>
  <c r="M328" i="114"/>
  <c r="H148" i="114"/>
  <c r="F147" i="114"/>
  <c r="F157" i="114"/>
  <c r="F189" i="114"/>
  <c r="F217" i="114"/>
  <c r="H223" i="114"/>
  <c r="F221" i="114"/>
  <c r="E221" i="114" s="1"/>
  <c r="D221" i="114" s="1"/>
  <c r="M250" i="114"/>
  <c r="O274" i="114"/>
  <c r="H275" i="114"/>
  <c r="H277" i="114" s="1"/>
  <c r="H283" i="114"/>
  <c r="F281" i="114"/>
  <c r="F289" i="114"/>
  <c r="F276" i="114"/>
  <c r="F334" i="114"/>
  <c r="E332" i="114"/>
  <c r="D332" i="114" s="1"/>
  <c r="D365" i="114"/>
  <c r="D372" i="114"/>
  <c r="D373" i="114" s="1"/>
  <c r="E373" i="114"/>
  <c r="E272" i="115"/>
  <c r="G272" i="115" s="1"/>
  <c r="G273" i="115"/>
  <c r="F282" i="115"/>
  <c r="G282" i="115" s="1"/>
  <c r="G285" i="115"/>
  <c r="K259" i="114"/>
  <c r="F274" i="114"/>
  <c r="E273" i="114"/>
  <c r="M304" i="114"/>
  <c r="M294" i="114"/>
  <c r="M295" i="114" s="1"/>
  <c r="F364" i="114"/>
  <c r="F351" i="114"/>
  <c r="H13" i="116"/>
  <c r="M241" i="114"/>
  <c r="M271" i="114"/>
  <c r="E305" i="114"/>
  <c r="D305" i="114" s="1"/>
  <c r="F307" i="114"/>
  <c r="E320" i="114"/>
  <c r="F317" i="114"/>
  <c r="E374" i="114"/>
  <c r="F376" i="114"/>
  <c r="I481" i="116"/>
  <c r="I14" i="116" s="1"/>
  <c r="I503" i="116" s="1"/>
  <c r="G279" i="116"/>
  <c r="G481" i="116" s="1"/>
  <c r="L232" i="114"/>
  <c r="F230" i="114"/>
  <c r="E244" i="114"/>
  <c r="N277" i="114"/>
  <c r="M292" i="114"/>
  <c r="D306" i="114"/>
  <c r="E307" i="114"/>
  <c r="G319" i="114"/>
  <c r="I13" i="116"/>
  <c r="F280" i="116"/>
  <c r="F480" i="116"/>
  <c r="E330" i="114"/>
  <c r="F331" i="114"/>
  <c r="D334" i="114"/>
  <c r="D379" i="114"/>
  <c r="E388" i="114"/>
  <c r="D387" i="114"/>
  <c r="F390" i="114"/>
  <c r="F391" i="114" s="1"/>
  <c r="F397" i="114"/>
  <c r="E134" i="115"/>
  <c r="G135" i="115"/>
  <c r="G195" i="116"/>
  <c r="G178" i="116"/>
  <c r="G180" i="116" s="1"/>
  <c r="H480" i="116"/>
  <c r="H482" i="116" s="1"/>
  <c r="E480" i="116"/>
  <c r="E385" i="116"/>
  <c r="D318" i="114"/>
  <c r="L328" i="114"/>
  <c r="M331" i="114"/>
  <c r="D337" i="114"/>
  <c r="K327" i="114"/>
  <c r="K328" i="114" s="1"/>
  <c r="K349" i="114"/>
  <c r="F384" i="114"/>
  <c r="F385" i="114" s="1"/>
  <c r="F388" i="114"/>
  <c r="F176" i="115"/>
  <c r="I21" i="116"/>
  <c r="E147" i="116"/>
  <c r="I280" i="116"/>
  <c r="G310" i="116"/>
  <c r="F391" i="116"/>
  <c r="G405" i="116"/>
  <c r="G415" i="116"/>
  <c r="E322" i="114"/>
  <c r="E318" i="114"/>
  <c r="E337" i="114"/>
  <c r="D339" i="114"/>
  <c r="F344" i="114"/>
  <c r="H326" i="114"/>
  <c r="H328" i="114" s="1"/>
  <c r="H346" i="114"/>
  <c r="F367" i="114"/>
  <c r="F237" i="115"/>
  <c r="E273" i="116"/>
  <c r="E274" i="116" s="1"/>
  <c r="G145" i="116"/>
  <c r="G147" i="116" s="1"/>
  <c r="G163" i="116"/>
  <c r="G164" i="116"/>
  <c r="G385" i="116"/>
  <c r="G389" i="116"/>
  <c r="G391" i="116" s="1"/>
  <c r="G397" i="116"/>
  <c r="O295" i="114"/>
  <c r="D299" i="114"/>
  <c r="D301" i="114" s="1"/>
  <c r="K310" i="114"/>
  <c r="F337" i="114"/>
  <c r="F340" i="114"/>
  <c r="E356" i="114"/>
  <c r="F350" i="114"/>
  <c r="E379" i="114"/>
  <c r="E384" i="114"/>
  <c r="E385" i="114" s="1"/>
  <c r="D395" i="114"/>
  <c r="D397" i="114" s="1"/>
  <c r="E99" i="115"/>
  <c r="G99" i="115" s="1"/>
  <c r="G198" i="115"/>
  <c r="F194" i="115"/>
  <c r="G25" i="116"/>
  <c r="G27" i="116" s="1"/>
  <c r="G70" i="116"/>
  <c r="G72" i="116" s="1"/>
  <c r="I165" i="116"/>
  <c r="G373" i="116"/>
  <c r="G368" i="116"/>
  <c r="G370" i="116" s="1"/>
  <c r="G457" i="116"/>
  <c r="M322" i="114"/>
  <c r="F327" i="114"/>
  <c r="M337" i="114"/>
  <c r="D354" i="114"/>
  <c r="D355" i="114" s="1"/>
  <c r="G11" i="115"/>
  <c r="G52" i="115"/>
  <c r="E237" i="115"/>
  <c r="G240" i="115"/>
  <c r="H273" i="116"/>
  <c r="H14" i="116" s="1"/>
  <c r="H503" i="116" s="1"/>
  <c r="G60" i="116"/>
  <c r="G98" i="116"/>
  <c r="G99" i="116" s="1"/>
  <c r="G111" i="116"/>
  <c r="G162" i="116"/>
  <c r="G261" i="116"/>
  <c r="G270" i="116"/>
  <c r="G289" i="116"/>
  <c r="G361" i="116"/>
  <c r="G403" i="116"/>
  <c r="G398" i="116"/>
  <c r="G400" i="116" s="1"/>
  <c r="H406" i="116"/>
  <c r="G419" i="116"/>
  <c r="G421" i="116" s="1"/>
  <c r="G428" i="116"/>
  <c r="G430" i="116" s="1"/>
  <c r="F302" i="114"/>
  <c r="E302" i="114" s="1"/>
  <c r="D302" i="114" s="1"/>
  <c r="F338" i="114"/>
  <c r="E338" i="114" s="1"/>
  <c r="D338" i="114" s="1"/>
  <c r="D399" i="114"/>
  <c r="E400" i="114"/>
  <c r="G12" i="115"/>
  <c r="H132" i="116"/>
  <c r="H385" i="116"/>
  <c r="G404" i="116"/>
  <c r="E367" i="114"/>
  <c r="E381" i="114"/>
  <c r="M397" i="114"/>
  <c r="E58" i="115"/>
  <c r="G58" i="115" s="1"/>
  <c r="G59" i="115"/>
  <c r="E27" i="116"/>
  <c r="E81" i="116"/>
  <c r="G85" i="116"/>
  <c r="G87" i="116" s="1"/>
  <c r="I132" i="116"/>
  <c r="H180" i="116"/>
  <c r="E246" i="116"/>
  <c r="E481" i="116"/>
  <c r="G283" i="116"/>
  <c r="G278" i="116"/>
  <c r="G334" i="116"/>
  <c r="G379" i="116"/>
  <c r="G374" i="116"/>
  <c r="G376" i="116" s="1"/>
  <c r="I385" i="116"/>
  <c r="G388" i="116"/>
  <c r="D360" i="114"/>
  <c r="D361" i="114" s="1"/>
  <c r="E361" i="114"/>
  <c r="N391" i="114"/>
  <c r="M400" i="114"/>
  <c r="E194" i="115"/>
  <c r="G195" i="115"/>
  <c r="H21" i="116"/>
  <c r="G150" i="116"/>
  <c r="I180" i="116"/>
  <c r="G246" i="116"/>
  <c r="F481" i="116"/>
  <c r="M367" i="114"/>
  <c r="M382" i="114"/>
  <c r="N385" i="114"/>
  <c r="G31" i="115"/>
  <c r="G238" i="115"/>
  <c r="H81" i="116"/>
  <c r="E99" i="116"/>
  <c r="G141" i="116"/>
  <c r="G201" i="116"/>
  <c r="G364" i="116"/>
  <c r="E400" i="116"/>
  <c r="E421" i="116"/>
  <c r="G433" i="116"/>
  <c r="G460" i="116"/>
  <c r="G478" i="116"/>
  <c r="G500" i="116"/>
  <c r="F110" i="111"/>
  <c r="F113" i="111"/>
  <c r="G113" i="111"/>
  <c r="H113" i="111"/>
  <c r="I113" i="111"/>
  <c r="J113" i="111"/>
  <c r="K113" i="111"/>
  <c r="L113" i="111"/>
  <c r="M113" i="111"/>
  <c r="N113" i="111"/>
  <c r="O113" i="111"/>
  <c r="P113" i="111"/>
  <c r="Q113" i="111"/>
  <c r="F114" i="111"/>
  <c r="H114" i="111"/>
  <c r="J114" i="111"/>
  <c r="K114" i="111"/>
  <c r="L114" i="111"/>
  <c r="M114" i="111"/>
  <c r="N114" i="111"/>
  <c r="O114" i="111"/>
  <c r="P114" i="111"/>
  <c r="Q114" i="111"/>
  <c r="E114" i="111"/>
  <c r="E113" i="111"/>
  <c r="Q147" i="111"/>
  <c r="P147" i="111"/>
  <c r="O147" i="111"/>
  <c r="N147" i="111"/>
  <c r="M147" i="111"/>
  <c r="L147" i="111"/>
  <c r="K147" i="111"/>
  <c r="J147" i="111"/>
  <c r="I147" i="111"/>
  <c r="H147" i="111"/>
  <c r="G147" i="111"/>
  <c r="F147" i="111"/>
  <c r="E147" i="111"/>
  <c r="D146" i="111"/>
  <c r="D145" i="111"/>
  <c r="G138" i="111"/>
  <c r="G114" i="111" s="1"/>
  <c r="I138" i="111"/>
  <c r="I114" i="111" s="1"/>
  <c r="I74" i="111"/>
  <c r="H74" i="111"/>
  <c r="G74" i="111"/>
  <c r="E49" i="113"/>
  <c r="E48" i="113" s="1"/>
  <c r="E46" i="113"/>
  <c r="E45" i="113"/>
  <c r="E43" i="113"/>
  <c r="E42" i="113" s="1"/>
  <c r="E40" i="113"/>
  <c r="E39" i="113" s="1"/>
  <c r="F30" i="113"/>
  <c r="E30" i="113"/>
  <c r="F24" i="113"/>
  <c r="E24" i="113"/>
  <c r="E21" i="113"/>
  <c r="E19" i="113"/>
  <c r="E15" i="113"/>
  <c r="E14" i="113" s="1"/>
  <c r="E11" i="113"/>
  <c r="E10" i="113" s="1"/>
  <c r="Q132" i="122" l="1"/>
  <c r="P127" i="122"/>
  <c r="Q129" i="122"/>
  <c r="R134" i="122"/>
  <c r="R135" i="122" s="1"/>
  <c r="J278" i="121"/>
  <c r="J281" i="121" s="1"/>
  <c r="J180" i="121"/>
  <c r="F10" i="115"/>
  <c r="G10" i="115" s="1"/>
  <c r="E10" i="115"/>
  <c r="G134" i="115"/>
  <c r="G480" i="116"/>
  <c r="G482" i="116" s="1"/>
  <c r="G280" i="116"/>
  <c r="E313" i="114"/>
  <c r="D312" i="114"/>
  <c r="D313" i="114" s="1"/>
  <c r="E262" i="114"/>
  <c r="D261" i="114"/>
  <c r="D262" i="114" s="1"/>
  <c r="F223" i="114"/>
  <c r="D307" i="114"/>
  <c r="E189" i="114"/>
  <c r="D192" i="114"/>
  <c r="I403" i="114"/>
  <c r="I404" i="114" s="1"/>
  <c r="I15" i="114"/>
  <c r="F115" i="114"/>
  <c r="D400" i="114"/>
  <c r="E382" i="114"/>
  <c r="D381" i="114"/>
  <c r="D382" i="114" s="1"/>
  <c r="G165" i="116"/>
  <c r="E340" i="114"/>
  <c r="D384" i="114"/>
  <c r="D385" i="114" s="1"/>
  <c r="D388" i="114"/>
  <c r="I502" i="116"/>
  <c r="I504" i="116" s="1"/>
  <c r="I15" i="116"/>
  <c r="D374" i="114"/>
  <c r="D376" i="114" s="1"/>
  <c r="E376" i="114"/>
  <c r="H274" i="116"/>
  <c r="E391" i="114"/>
  <c r="D296" i="114"/>
  <c r="D293" i="114" s="1"/>
  <c r="E293" i="114"/>
  <c r="E298" i="114"/>
  <c r="D390" i="114"/>
  <c r="D178" i="114"/>
  <c r="D174" i="114"/>
  <c r="D175" i="114" s="1"/>
  <c r="N404" i="114"/>
  <c r="D130" i="114"/>
  <c r="D126" i="114"/>
  <c r="D127" i="114" s="1"/>
  <c r="E248" i="114"/>
  <c r="F250" i="114"/>
  <c r="D50" i="114"/>
  <c r="M14" i="114"/>
  <c r="E26" i="114"/>
  <c r="F28" i="114"/>
  <c r="P403" i="114"/>
  <c r="P404" i="114" s="1"/>
  <c r="P15" i="114"/>
  <c r="D21" i="114"/>
  <c r="E22" i="114"/>
  <c r="E18" i="114"/>
  <c r="D330" i="114"/>
  <c r="E331" i="114"/>
  <c r="E327" i="114"/>
  <c r="D223" i="114"/>
  <c r="F482" i="116"/>
  <c r="E191" i="114"/>
  <c r="F188" i="114"/>
  <c r="F190" i="114" s="1"/>
  <c r="M259" i="114"/>
  <c r="F328" i="114"/>
  <c r="E482" i="116"/>
  <c r="D276" i="114"/>
  <c r="E281" i="114"/>
  <c r="F283" i="114"/>
  <c r="E294" i="114"/>
  <c r="E295" i="114" s="1"/>
  <c r="I482" i="116"/>
  <c r="G237" i="115"/>
  <c r="D340" i="114"/>
  <c r="F352" i="114"/>
  <c r="E147" i="114"/>
  <c r="F148" i="114"/>
  <c r="F141" i="114"/>
  <c r="F142" i="114" s="1"/>
  <c r="E334" i="114"/>
  <c r="D398" i="114"/>
  <c r="D389" i="114" s="1"/>
  <c r="E389" i="114"/>
  <c r="O15" i="114"/>
  <c r="E50" i="114"/>
  <c r="E52" i="114" s="1"/>
  <c r="N403" i="114"/>
  <c r="N15" i="114"/>
  <c r="D241" i="114"/>
  <c r="E61" i="114"/>
  <c r="M13" i="114"/>
  <c r="M402" i="114" s="1"/>
  <c r="H403" i="114"/>
  <c r="H15" i="114"/>
  <c r="E223" i="114"/>
  <c r="J403" i="114"/>
  <c r="J15" i="114"/>
  <c r="J404" i="114"/>
  <c r="D356" i="114"/>
  <c r="E350" i="114"/>
  <c r="D136" i="114"/>
  <c r="D132" i="114"/>
  <c r="D133" i="114" s="1"/>
  <c r="E154" i="114"/>
  <c r="D153" i="114"/>
  <c r="D154" i="114" s="1"/>
  <c r="H502" i="116"/>
  <c r="H504" i="116" s="1"/>
  <c r="H15" i="116"/>
  <c r="G176" i="115"/>
  <c r="D231" i="114"/>
  <c r="D235" i="114"/>
  <c r="D81" i="114"/>
  <c r="D82" i="114" s="1"/>
  <c r="E82" i="114"/>
  <c r="H19" i="114"/>
  <c r="H13" i="114"/>
  <c r="H402" i="114" s="1"/>
  <c r="G194" i="115"/>
  <c r="G406" i="116"/>
  <c r="E351" i="114"/>
  <c r="D320" i="114"/>
  <c r="E317" i="114"/>
  <c r="F275" i="114"/>
  <c r="F277" i="114" s="1"/>
  <c r="D329" i="114"/>
  <c r="E326" i="114"/>
  <c r="D166" i="114"/>
  <c r="E101" i="114"/>
  <c r="D104" i="114"/>
  <c r="D101" i="114" s="1"/>
  <c r="E304" i="114"/>
  <c r="K13" i="114"/>
  <c r="K402" i="114" s="1"/>
  <c r="G403" i="114"/>
  <c r="G404" i="114" s="1"/>
  <c r="G15" i="114"/>
  <c r="G273" i="116"/>
  <c r="G14" i="116" s="1"/>
  <c r="G503" i="116" s="1"/>
  <c r="M19" i="114"/>
  <c r="D40" i="114"/>
  <c r="D36" i="114"/>
  <c r="D37" i="114" s="1"/>
  <c r="D84" i="114"/>
  <c r="D85" i="114" s="1"/>
  <c r="E85" i="114"/>
  <c r="E113" i="114"/>
  <c r="E115" i="114" s="1"/>
  <c r="D116" i="114"/>
  <c r="G272" i="116"/>
  <c r="L403" i="114"/>
  <c r="L404" i="114" s="1"/>
  <c r="L15" i="114"/>
  <c r="D58" i="114"/>
  <c r="D51" i="114"/>
  <c r="D52" i="114" s="1"/>
  <c r="D120" i="114"/>
  <c r="E121" i="114"/>
  <c r="E102" i="114"/>
  <c r="E103" i="114" s="1"/>
  <c r="D105" i="114"/>
  <c r="E106" i="114"/>
  <c r="E274" i="114"/>
  <c r="D273" i="114"/>
  <c r="D274" i="114" s="1"/>
  <c r="D213" i="114"/>
  <c r="D214" i="114" s="1"/>
  <c r="E214" i="114"/>
  <c r="F70" i="114"/>
  <c r="E344" i="114"/>
  <c r="F346" i="114"/>
  <c r="E319" i="114"/>
  <c r="E358" i="114"/>
  <c r="D264" i="114"/>
  <c r="E265" i="114"/>
  <c r="E258" i="114"/>
  <c r="E259" i="114" s="1"/>
  <c r="D315" i="114"/>
  <c r="D316" i="114" s="1"/>
  <c r="E316" i="114"/>
  <c r="F326" i="114"/>
  <c r="D351" i="114"/>
  <c r="K14" i="114"/>
  <c r="D69" i="114"/>
  <c r="D70" i="114" s="1"/>
  <c r="D73" i="114"/>
  <c r="D45" i="114"/>
  <c r="D46" i="114" s="1"/>
  <c r="D49" i="114"/>
  <c r="E33" i="114"/>
  <c r="F34" i="114"/>
  <c r="F18" i="114"/>
  <c r="F14" i="114" s="1"/>
  <c r="D147" i="111"/>
  <c r="F18" i="113"/>
  <c r="F9" i="113" s="1"/>
  <c r="E18" i="113"/>
  <c r="E9" i="113" s="1"/>
  <c r="G11" i="113"/>
  <c r="G12" i="113"/>
  <c r="G13" i="113"/>
  <c r="G14" i="113"/>
  <c r="G15" i="113"/>
  <c r="G16" i="113"/>
  <c r="G17" i="113"/>
  <c r="G19" i="113"/>
  <c r="G20" i="113"/>
  <c r="G21" i="113"/>
  <c r="G22" i="113"/>
  <c r="G23" i="113"/>
  <c r="G24" i="113"/>
  <c r="G25" i="113"/>
  <c r="G26" i="113"/>
  <c r="G27" i="113"/>
  <c r="G28" i="113"/>
  <c r="G29" i="113"/>
  <c r="G30" i="113"/>
  <c r="G31" i="113"/>
  <c r="G32" i="113"/>
  <c r="G33" i="113"/>
  <c r="G34" i="113"/>
  <c r="G35" i="113"/>
  <c r="G36" i="113"/>
  <c r="G37" i="113"/>
  <c r="G38" i="113"/>
  <c r="G39" i="113"/>
  <c r="G40" i="113"/>
  <c r="G41" i="113"/>
  <c r="G42" i="113"/>
  <c r="G43" i="113"/>
  <c r="G44" i="113"/>
  <c r="G45" i="113"/>
  <c r="G46" i="113"/>
  <c r="G47" i="113"/>
  <c r="G48" i="113"/>
  <c r="G49" i="113"/>
  <c r="G50" i="113"/>
  <c r="G51" i="113"/>
  <c r="G52" i="113"/>
  <c r="G10" i="113"/>
  <c r="Q134" i="122" l="1"/>
  <c r="Q135" i="122" s="1"/>
  <c r="P129" i="122"/>
  <c r="P132" i="122"/>
  <c r="P130" i="122"/>
  <c r="O127" i="122"/>
  <c r="Q130" i="122"/>
  <c r="F403" i="114"/>
  <c r="H404" i="114"/>
  <c r="D350" i="114"/>
  <c r="D358" i="114"/>
  <c r="D294" i="114"/>
  <c r="D295" i="114" s="1"/>
  <c r="D193" i="114"/>
  <c r="D189" i="114"/>
  <c r="D190" i="114" s="1"/>
  <c r="D102" i="114"/>
  <c r="D103" i="114" s="1"/>
  <c r="D106" i="114"/>
  <c r="D317" i="114"/>
  <c r="D319" i="114" s="1"/>
  <c r="D322" i="114"/>
  <c r="E190" i="114"/>
  <c r="D26" i="114"/>
  <c r="E28" i="114"/>
  <c r="E17" i="114"/>
  <c r="K403" i="114"/>
  <c r="K15" i="114"/>
  <c r="D258" i="114"/>
  <c r="D259" i="114" s="1"/>
  <c r="D265" i="114"/>
  <c r="M404" i="114"/>
  <c r="D352" i="114"/>
  <c r="D33" i="114"/>
  <c r="D34" i="114" s="1"/>
  <c r="E34" i="114"/>
  <c r="E188" i="114"/>
  <c r="D191" i="114"/>
  <c r="D188" i="114" s="1"/>
  <c r="F13" i="114"/>
  <c r="F402" i="114" s="1"/>
  <c r="F404" i="114" s="1"/>
  <c r="D298" i="114"/>
  <c r="D344" i="114"/>
  <c r="D346" i="114" s="1"/>
  <c r="E346" i="114"/>
  <c r="E352" i="114"/>
  <c r="F19" i="114"/>
  <c r="D281" i="114"/>
  <c r="E275" i="114"/>
  <c r="E277" i="114" s="1"/>
  <c r="E283" i="114"/>
  <c r="E193" i="114"/>
  <c r="D121" i="114"/>
  <c r="D114" i="114"/>
  <c r="D115" i="114" s="1"/>
  <c r="D327" i="114"/>
  <c r="D331" i="114"/>
  <c r="K404" i="114"/>
  <c r="M15" i="114"/>
  <c r="M403" i="114"/>
  <c r="D22" i="114"/>
  <c r="D18" i="114"/>
  <c r="G274" i="116"/>
  <c r="G13" i="116"/>
  <c r="D391" i="114"/>
  <c r="D113" i="114"/>
  <c r="D118" i="114"/>
  <c r="D147" i="114"/>
  <c r="E148" i="114"/>
  <c r="E141" i="114"/>
  <c r="E142" i="114" s="1"/>
  <c r="E328" i="114"/>
  <c r="D248" i="114"/>
  <c r="E230" i="114"/>
  <c r="E232" i="114" s="1"/>
  <c r="E250" i="114"/>
  <c r="G18" i="113"/>
  <c r="N127" i="122" l="1"/>
  <c r="K127" i="122"/>
  <c r="O132" i="122"/>
  <c r="P134" i="122"/>
  <c r="P135" i="122" s="1"/>
  <c r="O129" i="122"/>
  <c r="E19" i="114"/>
  <c r="E13" i="114"/>
  <c r="E402" i="114" s="1"/>
  <c r="E14" i="114"/>
  <c r="D148" i="114"/>
  <c r="D141" i="114"/>
  <c r="D142" i="114" s="1"/>
  <c r="D28" i="114"/>
  <c r="D17" i="114"/>
  <c r="F15" i="114"/>
  <c r="D326" i="114"/>
  <c r="D328" i="114" s="1"/>
  <c r="D250" i="114"/>
  <c r="D230" i="114"/>
  <c r="D232" i="114" s="1"/>
  <c r="D275" i="114"/>
  <c r="D277" i="114" s="1"/>
  <c r="D283" i="114"/>
  <c r="G502" i="116"/>
  <c r="G504" i="116" s="1"/>
  <c r="G15" i="116"/>
  <c r="G9" i="113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E14" i="111"/>
  <c r="E13" i="111"/>
  <c r="Q67" i="111"/>
  <c r="P67" i="111"/>
  <c r="O67" i="111"/>
  <c r="N67" i="111"/>
  <c r="M67" i="111"/>
  <c r="L67" i="111"/>
  <c r="K67" i="111"/>
  <c r="J67" i="111"/>
  <c r="I67" i="111"/>
  <c r="H67" i="111"/>
  <c r="G67" i="111"/>
  <c r="F67" i="111"/>
  <c r="E67" i="111"/>
  <c r="D66" i="111"/>
  <c r="D65" i="111"/>
  <c r="N129" i="122" l="1"/>
  <c r="K129" i="122"/>
  <c r="O134" i="122"/>
  <c r="O135" i="122"/>
  <c r="O130" i="122"/>
  <c r="K130" i="122"/>
  <c r="J127" i="122"/>
  <c r="K132" i="122"/>
  <c r="M127" i="122"/>
  <c r="N130" i="122"/>
  <c r="N132" i="122"/>
  <c r="D19" i="114"/>
  <c r="D13" i="114"/>
  <c r="D402" i="114" s="1"/>
  <c r="D14" i="114"/>
  <c r="E403" i="114"/>
  <c r="E404" i="114" s="1"/>
  <c r="E15" i="114"/>
  <c r="D67" i="111"/>
  <c r="J132" i="122" l="1"/>
  <c r="N135" i="122"/>
  <c r="J129" i="122"/>
  <c r="J134" i="122" s="1"/>
  <c r="K134" i="122"/>
  <c r="K135" i="122" s="1"/>
  <c r="M132" i="122"/>
  <c r="M135" i="122" s="1"/>
  <c r="M130" i="122"/>
  <c r="M129" i="122"/>
  <c r="M134" i="122" s="1"/>
  <c r="N134" i="122"/>
  <c r="D403" i="114"/>
  <c r="D404" i="114" s="1"/>
  <c r="D15" i="114"/>
  <c r="Q27" i="111"/>
  <c r="P27" i="111"/>
  <c r="O27" i="111"/>
  <c r="N27" i="111"/>
  <c r="M27" i="111"/>
  <c r="L27" i="111"/>
  <c r="K27" i="111"/>
  <c r="J27" i="111"/>
  <c r="I27" i="111"/>
  <c r="H27" i="111"/>
  <c r="G27" i="111"/>
  <c r="F27" i="111"/>
  <c r="E27" i="111"/>
  <c r="D26" i="111"/>
  <c r="D25" i="111"/>
  <c r="J135" i="122" l="1"/>
  <c r="J130" i="122"/>
  <c r="D27" i="111"/>
  <c r="Q143" i="111"/>
  <c r="P143" i="111"/>
  <c r="O143" i="111"/>
  <c r="N143" i="111"/>
  <c r="M143" i="111"/>
  <c r="L143" i="111"/>
  <c r="K143" i="111"/>
  <c r="J143" i="111"/>
  <c r="I143" i="111"/>
  <c r="H143" i="111"/>
  <c r="G143" i="111"/>
  <c r="F143" i="111"/>
  <c r="E143" i="111"/>
  <c r="D142" i="111"/>
  <c r="D141" i="111"/>
  <c r="O159" i="111"/>
  <c r="D114" i="111" l="1"/>
  <c r="D143" i="111"/>
  <c r="D113" i="111"/>
  <c r="F123" i="111" l="1"/>
  <c r="M123" i="111"/>
  <c r="M127" i="111"/>
  <c r="M131" i="111"/>
  <c r="M135" i="111"/>
  <c r="M139" i="111"/>
  <c r="M151" i="111"/>
  <c r="M155" i="111"/>
  <c r="M159" i="111"/>
  <c r="M163" i="111"/>
  <c r="M119" i="111"/>
  <c r="M43" i="111"/>
  <c r="M47" i="111"/>
  <c r="M51" i="111"/>
  <c r="M55" i="111"/>
  <c r="M59" i="111"/>
  <c r="M63" i="111"/>
  <c r="M71" i="111"/>
  <c r="M75" i="111"/>
  <c r="M79" i="111"/>
  <c r="M83" i="111"/>
  <c r="M87" i="111"/>
  <c r="M91" i="111"/>
  <c r="M95" i="111"/>
  <c r="M99" i="111"/>
  <c r="M103" i="111"/>
  <c r="M107" i="111"/>
  <c r="M111" i="111"/>
  <c r="M39" i="111"/>
  <c r="M35" i="111"/>
  <c r="M31" i="111"/>
  <c r="M23" i="111"/>
  <c r="M19" i="111"/>
  <c r="D121" i="111"/>
  <c r="D122" i="111"/>
  <c r="D125" i="111"/>
  <c r="D126" i="111"/>
  <c r="D129" i="111"/>
  <c r="D130" i="111"/>
  <c r="D133" i="111"/>
  <c r="D134" i="111"/>
  <c r="D137" i="111"/>
  <c r="D138" i="111"/>
  <c r="D149" i="111"/>
  <c r="D150" i="111"/>
  <c r="D153" i="111"/>
  <c r="D154" i="111"/>
  <c r="D157" i="111"/>
  <c r="D158" i="111"/>
  <c r="D161" i="111"/>
  <c r="D162" i="111"/>
  <c r="D118" i="111"/>
  <c r="D117" i="111"/>
  <c r="D57" i="111"/>
  <c r="D58" i="111"/>
  <c r="D61" i="111"/>
  <c r="D62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109" i="111"/>
  <c r="D110" i="111"/>
  <c r="D41" i="111"/>
  <c r="D42" i="111"/>
  <c r="D45" i="111"/>
  <c r="D46" i="111"/>
  <c r="D49" i="111"/>
  <c r="D50" i="111"/>
  <c r="D53" i="111"/>
  <c r="D54" i="111"/>
  <c r="D38" i="111"/>
  <c r="D37" i="111"/>
  <c r="D34" i="111"/>
  <c r="D33" i="111"/>
  <c r="D30" i="111"/>
  <c r="D29" i="111"/>
  <c r="D22" i="111"/>
  <c r="D21" i="111"/>
  <c r="D18" i="111"/>
  <c r="D17" i="111"/>
  <c r="Q163" i="111"/>
  <c r="Q159" i="111"/>
  <c r="Q155" i="111"/>
  <c r="Q151" i="111"/>
  <c r="Q139" i="111"/>
  <c r="Q135" i="111"/>
  <c r="Q131" i="111"/>
  <c r="Q127" i="111"/>
  <c r="Q123" i="111"/>
  <c r="Q119" i="111"/>
  <c r="Q111" i="111"/>
  <c r="Q107" i="111"/>
  <c r="Q103" i="111"/>
  <c r="Q99" i="111"/>
  <c r="Q95" i="111"/>
  <c r="Q91" i="111"/>
  <c r="Q87" i="111"/>
  <c r="Q83" i="111"/>
  <c r="Q79" i="111"/>
  <c r="Q75" i="111"/>
  <c r="Q71" i="111"/>
  <c r="Q63" i="111"/>
  <c r="Q59" i="111"/>
  <c r="Q55" i="111"/>
  <c r="Q51" i="111"/>
  <c r="Q47" i="111"/>
  <c r="Q43" i="111"/>
  <c r="Q39" i="111"/>
  <c r="Q35" i="111"/>
  <c r="Q31" i="111"/>
  <c r="Q23" i="111"/>
  <c r="Q19" i="111"/>
  <c r="Q165" i="111"/>
  <c r="P165" i="111"/>
  <c r="I166" i="111"/>
  <c r="P159" i="111"/>
  <c r="N159" i="111"/>
  <c r="L159" i="111"/>
  <c r="K159" i="111"/>
  <c r="J159" i="111"/>
  <c r="I159" i="111"/>
  <c r="H159" i="111"/>
  <c r="G159" i="111"/>
  <c r="F159" i="111"/>
  <c r="E159" i="111"/>
  <c r="P43" i="111"/>
  <c r="O43" i="111"/>
  <c r="N43" i="111"/>
  <c r="L43" i="111"/>
  <c r="K43" i="111"/>
  <c r="J43" i="111"/>
  <c r="I43" i="111"/>
  <c r="H43" i="111"/>
  <c r="G43" i="111"/>
  <c r="F43" i="111"/>
  <c r="E43" i="111"/>
  <c r="P99" i="111"/>
  <c r="O99" i="111"/>
  <c r="N99" i="111"/>
  <c r="L99" i="111"/>
  <c r="K99" i="111"/>
  <c r="J99" i="111"/>
  <c r="I99" i="111"/>
  <c r="H99" i="111"/>
  <c r="G99" i="111"/>
  <c r="F99" i="111"/>
  <c r="E99" i="111"/>
  <c r="P31" i="111"/>
  <c r="O31" i="111"/>
  <c r="N31" i="111"/>
  <c r="L31" i="111"/>
  <c r="K31" i="111"/>
  <c r="J31" i="111"/>
  <c r="I31" i="111"/>
  <c r="H31" i="111"/>
  <c r="G31" i="111"/>
  <c r="F31" i="111"/>
  <c r="E31" i="111"/>
  <c r="P163" i="111"/>
  <c r="O163" i="111"/>
  <c r="N163" i="111"/>
  <c r="L163" i="111"/>
  <c r="K163" i="111"/>
  <c r="J163" i="111"/>
  <c r="I163" i="111"/>
  <c r="H163" i="111"/>
  <c r="G163" i="111"/>
  <c r="F163" i="111"/>
  <c r="E163" i="111"/>
  <c r="P155" i="111"/>
  <c r="O155" i="111"/>
  <c r="N155" i="111"/>
  <c r="L155" i="111"/>
  <c r="K155" i="111"/>
  <c r="J155" i="111"/>
  <c r="I155" i="111"/>
  <c r="H155" i="111"/>
  <c r="G155" i="111"/>
  <c r="F155" i="111"/>
  <c r="E155" i="111"/>
  <c r="P151" i="111"/>
  <c r="O151" i="111"/>
  <c r="N151" i="111"/>
  <c r="L151" i="111"/>
  <c r="K151" i="111"/>
  <c r="J151" i="111"/>
  <c r="I151" i="111"/>
  <c r="H151" i="111"/>
  <c r="G151" i="111"/>
  <c r="F151" i="111"/>
  <c r="E151" i="111"/>
  <c r="P139" i="111"/>
  <c r="O139" i="111"/>
  <c r="N139" i="111"/>
  <c r="L139" i="111"/>
  <c r="K139" i="111"/>
  <c r="J139" i="111"/>
  <c r="G139" i="111"/>
  <c r="F139" i="111"/>
  <c r="E139" i="111"/>
  <c r="P135" i="111"/>
  <c r="O135" i="111"/>
  <c r="N135" i="111"/>
  <c r="L135" i="111"/>
  <c r="K135" i="111"/>
  <c r="J135" i="111"/>
  <c r="I135" i="111"/>
  <c r="G135" i="111"/>
  <c r="F135" i="111"/>
  <c r="E135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E123" i="111"/>
  <c r="P119" i="111"/>
  <c r="O119" i="111"/>
  <c r="N119" i="111"/>
  <c r="L119" i="111"/>
  <c r="K119" i="111"/>
  <c r="J119" i="111"/>
  <c r="H119" i="111"/>
  <c r="G119" i="111"/>
  <c r="F119" i="111"/>
  <c r="E119" i="111"/>
  <c r="P111" i="111"/>
  <c r="O111" i="111"/>
  <c r="N111" i="111"/>
  <c r="K111" i="111"/>
  <c r="J111" i="111"/>
  <c r="I111" i="111"/>
  <c r="H111" i="111"/>
  <c r="G111" i="111"/>
  <c r="F111" i="111"/>
  <c r="E111" i="111"/>
  <c r="P107" i="111"/>
  <c r="O107" i="111"/>
  <c r="N107" i="111"/>
  <c r="L107" i="111"/>
  <c r="K107" i="111"/>
  <c r="J107" i="111"/>
  <c r="I107" i="111"/>
  <c r="H107" i="111"/>
  <c r="G107" i="111"/>
  <c r="F107" i="111"/>
  <c r="E107" i="111"/>
  <c r="P103" i="111"/>
  <c r="O103" i="111"/>
  <c r="K103" i="111"/>
  <c r="J103" i="111"/>
  <c r="I103" i="111"/>
  <c r="H103" i="111"/>
  <c r="E103" i="111"/>
  <c r="P95" i="111"/>
  <c r="O95" i="111"/>
  <c r="N95" i="111"/>
  <c r="L95" i="111"/>
  <c r="K95" i="111"/>
  <c r="J95" i="111"/>
  <c r="I95" i="111"/>
  <c r="H95" i="111"/>
  <c r="G95" i="111"/>
  <c r="F95" i="111"/>
  <c r="E95" i="111"/>
  <c r="P91" i="111"/>
  <c r="O91" i="111"/>
  <c r="N91" i="111"/>
  <c r="L91" i="111"/>
  <c r="K91" i="111"/>
  <c r="J91" i="111"/>
  <c r="I91" i="111"/>
  <c r="G91" i="111"/>
  <c r="E91" i="111"/>
  <c r="P87" i="111"/>
  <c r="O87" i="111"/>
  <c r="L87" i="111"/>
  <c r="K87" i="111"/>
  <c r="J87" i="111"/>
  <c r="I87" i="111"/>
  <c r="H87" i="111"/>
  <c r="G87" i="111"/>
  <c r="E87" i="111"/>
  <c r="P83" i="111"/>
  <c r="O83" i="111"/>
  <c r="L83" i="111"/>
  <c r="K83" i="111"/>
  <c r="J83" i="111"/>
  <c r="I83" i="111"/>
  <c r="H83" i="111"/>
  <c r="G83" i="111"/>
  <c r="F83" i="111"/>
  <c r="E83" i="111"/>
  <c r="P79" i="111"/>
  <c r="O79" i="111"/>
  <c r="N79" i="111"/>
  <c r="L79" i="111"/>
  <c r="K79" i="111"/>
  <c r="J79" i="111"/>
  <c r="I79" i="111"/>
  <c r="H79" i="111"/>
  <c r="G79" i="111"/>
  <c r="E79" i="111"/>
  <c r="P75" i="111"/>
  <c r="O75" i="111"/>
  <c r="N75" i="111"/>
  <c r="L75" i="111"/>
  <c r="K75" i="111"/>
  <c r="J75" i="111"/>
  <c r="P71" i="111"/>
  <c r="O71" i="111"/>
  <c r="N71" i="111"/>
  <c r="L71" i="111"/>
  <c r="K71" i="111"/>
  <c r="J71" i="111"/>
  <c r="I71" i="111"/>
  <c r="H71" i="111"/>
  <c r="G71" i="111"/>
  <c r="E71" i="111"/>
  <c r="P63" i="111"/>
  <c r="O63" i="111"/>
  <c r="N63" i="111"/>
  <c r="L63" i="111"/>
  <c r="K63" i="111"/>
  <c r="J63" i="111"/>
  <c r="I63" i="111"/>
  <c r="H63" i="111"/>
  <c r="G63" i="111"/>
  <c r="F63" i="111"/>
  <c r="E63" i="111"/>
  <c r="P59" i="111"/>
  <c r="O59" i="111"/>
  <c r="L59" i="111"/>
  <c r="K59" i="111"/>
  <c r="J59" i="111"/>
  <c r="E59" i="111"/>
  <c r="P55" i="111"/>
  <c r="O55" i="111"/>
  <c r="N55" i="111"/>
  <c r="L55" i="111"/>
  <c r="K55" i="111"/>
  <c r="J55" i="111"/>
  <c r="H55" i="111"/>
  <c r="F55" i="111"/>
  <c r="E55" i="111"/>
  <c r="P51" i="111"/>
  <c r="O51" i="111"/>
  <c r="L51" i="111"/>
  <c r="K51" i="111"/>
  <c r="J51" i="111"/>
  <c r="I51" i="111"/>
  <c r="H51" i="111"/>
  <c r="G51" i="111"/>
  <c r="E51" i="111"/>
  <c r="P47" i="111"/>
  <c r="O47" i="111"/>
  <c r="N47" i="111"/>
  <c r="L47" i="111"/>
  <c r="K47" i="111"/>
  <c r="J47" i="111"/>
  <c r="I47" i="111"/>
  <c r="H47" i="111"/>
  <c r="G47" i="111"/>
  <c r="E47" i="111"/>
  <c r="P39" i="111"/>
  <c r="O39" i="111"/>
  <c r="L39" i="111"/>
  <c r="K39" i="111"/>
  <c r="J39" i="111"/>
  <c r="I39" i="111"/>
  <c r="H39" i="111"/>
  <c r="G39" i="111"/>
  <c r="E39" i="111"/>
  <c r="P35" i="111"/>
  <c r="O35" i="111"/>
  <c r="N35" i="111"/>
  <c r="L35" i="111"/>
  <c r="K35" i="111"/>
  <c r="J35" i="111"/>
  <c r="I35" i="111"/>
  <c r="H35" i="111"/>
  <c r="G35" i="111"/>
  <c r="F35" i="111"/>
  <c r="E35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9" i="111"/>
  <c r="N39" i="111"/>
  <c r="F51" i="111"/>
  <c r="N51" i="111"/>
  <c r="G55" i="111"/>
  <c r="I55" i="111"/>
  <c r="F59" i="111"/>
  <c r="G59" i="111"/>
  <c r="I59" i="111"/>
  <c r="N59" i="111"/>
  <c r="F75" i="111"/>
  <c r="G75" i="111"/>
  <c r="H75" i="111"/>
  <c r="I75" i="111"/>
  <c r="F87" i="111"/>
  <c r="N87" i="111"/>
  <c r="F91" i="111"/>
  <c r="H91" i="111"/>
  <c r="F103" i="111"/>
  <c r="G103" i="111"/>
  <c r="L103" i="111"/>
  <c r="N103" i="111"/>
  <c r="L111" i="111"/>
  <c r="H139" i="111"/>
  <c r="I139" i="111"/>
  <c r="F71" i="111"/>
  <c r="E75" i="111"/>
  <c r="F79" i="111"/>
  <c r="N83" i="111"/>
  <c r="H135" i="111"/>
  <c r="I119" i="111"/>
  <c r="H59" i="111"/>
  <c r="F47" i="111"/>
  <c r="P19" i="111"/>
  <c r="N19" i="111"/>
  <c r="F19" i="111"/>
  <c r="Q115" i="111" l="1"/>
  <c r="M115" i="111"/>
  <c r="G115" i="111"/>
  <c r="K115" i="111"/>
  <c r="H115" i="111"/>
  <c r="L115" i="111"/>
  <c r="E115" i="111"/>
  <c r="I115" i="111"/>
  <c r="N115" i="111"/>
  <c r="F115" i="111"/>
  <c r="J115" i="111"/>
  <c r="O115" i="111"/>
  <c r="P115" i="111"/>
  <c r="D51" i="111"/>
  <c r="J15" i="111"/>
  <c r="M15" i="111"/>
  <c r="F15" i="111"/>
  <c r="O15" i="111"/>
  <c r="G15" i="111"/>
  <c r="K15" i="111"/>
  <c r="P15" i="111"/>
  <c r="Q15" i="111"/>
  <c r="H15" i="111"/>
  <c r="L15" i="111"/>
  <c r="E15" i="111"/>
  <c r="I15" i="111"/>
  <c r="N15" i="111"/>
  <c r="D95" i="111"/>
  <c r="I165" i="111"/>
  <c r="D75" i="111"/>
  <c r="D47" i="111"/>
  <c r="D79" i="111"/>
  <c r="D63" i="111"/>
  <c r="D31" i="111"/>
  <c r="K166" i="111"/>
  <c r="D139" i="111"/>
  <c r="D131" i="111"/>
  <c r="D163" i="111"/>
  <c r="J166" i="111"/>
  <c r="L165" i="111"/>
  <c r="D107" i="111"/>
  <c r="J165" i="111"/>
  <c r="H165" i="111"/>
  <c r="D83" i="111"/>
  <c r="F166" i="111"/>
  <c r="N165" i="111"/>
  <c r="D119" i="111"/>
  <c r="D123" i="111"/>
  <c r="E166" i="111"/>
  <c r="L166" i="111"/>
  <c r="H166" i="111"/>
  <c r="O165" i="111"/>
  <c r="K165" i="111"/>
  <c r="Q166" i="111"/>
  <c r="Q167" i="111" s="1"/>
  <c r="M166" i="111"/>
  <c r="D127" i="111"/>
  <c r="D155" i="111"/>
  <c r="D111" i="111"/>
  <c r="D135" i="111"/>
  <c r="D151" i="111"/>
  <c r="D159" i="111"/>
  <c r="O166" i="111"/>
  <c r="D91" i="111"/>
  <c r="N166" i="111"/>
  <c r="D103" i="111"/>
  <c r="D87" i="111"/>
  <c r="D99" i="111"/>
  <c r="F165" i="111"/>
  <c r="D14" i="111"/>
  <c r="D43" i="111"/>
  <c r="D59" i="111"/>
  <c r="D19" i="111"/>
  <c r="D35" i="111"/>
  <c r="M165" i="111"/>
  <c r="D39" i="111"/>
  <c r="D55" i="111"/>
  <c r="D71" i="111"/>
  <c r="G166" i="111"/>
  <c r="P166" i="111"/>
  <c r="P167" i="111" s="1"/>
  <c r="D13" i="111"/>
  <c r="G165" i="111"/>
  <c r="E165" i="111"/>
  <c r="D23" i="111"/>
  <c r="E167" i="111" l="1"/>
  <c r="D115" i="111"/>
  <c r="K167" i="111"/>
  <c r="H167" i="111"/>
  <c r="M167" i="111"/>
  <c r="I167" i="111"/>
  <c r="J167" i="111"/>
  <c r="L167" i="111"/>
  <c r="O167" i="111"/>
  <c r="D166" i="111"/>
  <c r="N167" i="111"/>
  <c r="D15" i="111"/>
  <c r="F167" i="111"/>
  <c r="D165" i="111"/>
  <c r="G167" i="111"/>
  <c r="D167" i="111" l="1"/>
</calcChain>
</file>

<file path=xl/sharedStrings.xml><?xml version="1.0" encoding="utf-8"?>
<sst xmlns="http://schemas.openxmlformats.org/spreadsheetml/2006/main" count="4991" uniqueCount="1183">
  <si>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</si>
  <si>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</si>
  <si>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</si>
  <si>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</si>
  <si>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</si>
  <si>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</si>
  <si>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</si>
  <si>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</si>
  <si>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</si>
  <si>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</si>
  <si>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</si>
  <si>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</si>
  <si>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</si>
  <si>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</si>
  <si>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</si>
  <si>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</si>
  <si>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</si>
  <si>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</si>
  <si>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</si>
  <si>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</si>
  <si>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</si>
  <si>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</si>
  <si>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</si>
  <si>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</si>
  <si>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</si>
  <si>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</si>
  <si>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</si>
  <si>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</si>
  <si>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</si>
  <si>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</si>
  <si>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</si>
  <si>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</si>
  <si>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</si>
  <si>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</si>
  <si>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</si>
  <si>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</si>
  <si>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</si>
  <si>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</si>
  <si>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</si>
  <si>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</si>
  <si>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</si>
  <si>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</si>
  <si>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</si>
  <si>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</si>
  <si>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</si>
  <si>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</si>
  <si>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</si>
  <si>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</si>
  <si>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</si>
  <si>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</si>
  <si>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</si>
  <si>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</si>
  <si>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</si>
  <si>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</si>
  <si>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</si>
  <si>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</si>
  <si>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</si>
  <si>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</si>
  <si>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</si>
  <si>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</si>
  <si>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</si>
  <si>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</si>
  <si>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</si>
  <si>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</si>
  <si>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</si>
  <si>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</si>
  <si>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</si>
  <si>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</si>
  <si>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</si>
  <si>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</si>
  <si>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</si>
  <si>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</si>
  <si>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 xml:space="preserve">Dział Rozdział </t>
  </si>
  <si>
    <t>§</t>
  </si>
  <si>
    <t>Treść</t>
  </si>
  <si>
    <t xml:space="preserve">Zwiększenie </t>
  </si>
  <si>
    <t>Zmniejszenie</t>
  </si>
  <si>
    <t>Plan po zmianach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</si>
  <si>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</si>
  <si>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</si>
  <si>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</si>
  <si>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</si>
  <si>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</si>
  <si>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</si>
  <si>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</si>
  <si>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</si>
  <si>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</si>
  <si>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</si>
  <si>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</si>
  <si>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</si>
  <si>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</si>
  <si>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</si>
  <si>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</t>
  </si>
  <si>
    <t>z pozostałych źródeł</t>
  </si>
  <si>
    <t>*</t>
  </si>
  <si>
    <t>100</t>
  </si>
  <si>
    <t>GÓRNICTWO I KOPALNICTWO</t>
  </si>
  <si>
    <t>754</t>
  </si>
  <si>
    <t>ROLNICTWO I ŁOWIECTWO</t>
  </si>
  <si>
    <t>BEZPIECZEŃSTWO PUBLICZNE I OCHRONA PRZECIWPOŻAROWA</t>
  </si>
  <si>
    <t xml:space="preserve"> - plan przed zmianą</t>
  </si>
  <si>
    <t>Plan przed zmianą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</si>
  <si>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 </t>
    </r>
  </si>
  <si>
    <t>Pozostała działalność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</si>
  <si>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2025 rok"</t>
    </r>
    <r>
      <rPr>
        <sz val="10"/>
        <color indexed="8"/>
        <rFont val="Calibri"/>
        <family val="2"/>
        <charset val="238"/>
        <scheme val="minor"/>
      </rPr>
      <t xml:space="preserve"> do uchwały                         Nr VIII/152/24 Sejmiku Województwa Kujawsko-Pomorskiego z dnia 16 grudnia 2024 r. w sprawie budżetu województwa na rok 2025 (z późn. zm.), wprowadza się następujące zmiany:</t>
    </r>
  </si>
  <si>
    <t>Drogi publiczne wojewódzkie</t>
  </si>
  <si>
    <t>Dotacja celowa otrzymana z tytułu pomocy finansowej udzielanej między jednostkami samorządu terytorialnego na dofinansowanie własnych zadań inwestycyjnych i zakupów inwestycyjnych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</si>
  <si>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</si>
  <si>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Rezerwa na uzupełnienie dochodów jednostek samorządu terytorialnego</t>
  </si>
  <si>
    <t>Środki na uzupełnienie dochodów województw</t>
  </si>
  <si>
    <t>Regionalne Programy Operacyjne 2014-2020 finansowane z udziałem środków Europejskiego Funduszu Społecznego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</si>
  <si>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</si>
  <si>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Programy regionalne 2021-2027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</si>
  <si>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</si>
  <si>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2057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</si>
  <si>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</si>
  <si>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Programy regionalne 2021-2027 finansowane z udziałem Europejskiego Funduszu Społecznego Plus</t>
  </si>
  <si>
    <t>Szpitale ogólne</t>
  </si>
  <si>
    <t>Środki otrzymane z Rządowego Funduszu Polski Ład: Program Inwestycji Strategicznych na realizację zadań inwestycyjnych</t>
  </si>
  <si>
    <t>Fundusz Gwarantowanych Świadczeń Pracowniczych</t>
  </si>
  <si>
    <t>0970</t>
  </si>
  <si>
    <t>Wpływy z różnych dochodów</t>
  </si>
  <si>
    <t>Pozostałe zadania w zakresie kultury</t>
  </si>
  <si>
    <t>Dotacja celowa otrzymana z tytułu pomocy finansowej udzielanej między jednostkami samorządu terytorialnego na dofinansowanie własnych zadań bieżących</t>
  </si>
  <si>
    <t>Parki krajobrazowe</t>
  </si>
  <si>
    <t>0950</t>
  </si>
  <si>
    <t>Wpływy z tytułu kar i odszkodowań wynikających z umów</t>
  </si>
  <si>
    <t>Środki otrzymane od pozostałych jednostek zaliczanych do sektora finansów publicznych na realizacje zadań bieżących jednostek zaliczanych do sektora finansów publicznych</t>
  </si>
  <si>
    <t>Środki na dofinansowanie własnych inwestycji gmin, powiatów (związków gmin, związków powiatowo-gminnych, związków powiatów), samorządów województw, pozyskane z innych źródeł</t>
  </si>
  <si>
    <t xml:space="preserve">Nr       /      /25  Sejmiku Województwa </t>
  </si>
  <si>
    <t xml:space="preserve">z dnia       .04.2025 r. </t>
  </si>
  <si>
    <t>z dnia    .04.2025 r.</t>
  </si>
  <si>
    <t>Nr    /    /25 Sejmiku Województwa</t>
  </si>
  <si>
    <t>Załącznik nr 1 do uchwały</t>
  </si>
  <si>
    <t>Załącznik nr 2 do uchwały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</si>
  <si>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</si>
  <si>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</si>
  <si>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</si>
  <si>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</si>
  <si>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</si>
  <si>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</si>
  <si>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</si>
  <si>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</si>
  <si>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</si>
  <si>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</si>
  <si>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</si>
  <si>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</si>
  <si>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</si>
  <si>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</si>
  <si>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i składki od nich naliczane</t>
  </si>
  <si>
    <t>Zadania statutowe</t>
  </si>
  <si>
    <t>OGÓŁEM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</si>
  <si>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</si>
  <si>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</si>
  <si>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</si>
  <si>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</si>
  <si>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</si>
  <si>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</si>
  <si>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01045</t>
  </si>
  <si>
    <t>Europejski Fundusz Rolny na rzecz Rozwoju Obszarów Wiejskich</t>
  </si>
  <si>
    <t>01095</t>
  </si>
  <si>
    <t>05011</t>
  </si>
  <si>
    <t>Program Operacyjny Zrównoważony rozwój sektora rybołówstwa i nadbrzeżnych obszarów rybackich 2007-2013, Program Operacyjny Rybactwo i Morze 2014-2020 oraz Program Fundusze Europejskie dla Rybactwa</t>
  </si>
  <si>
    <t>05095</t>
  </si>
  <si>
    <t>10095</t>
  </si>
  <si>
    <t>15011</t>
  </si>
  <si>
    <t>Rozwój przedsiębiorczości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</si>
  <si>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</si>
  <si>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</si>
  <si>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</si>
  <si>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</si>
  <si>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</si>
  <si>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</si>
  <si>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Krajowe pasażerskie przewozy kolejowe</t>
  </si>
  <si>
    <t>Infrastruktura kolejowa</t>
  </si>
  <si>
    <t>60003</t>
  </si>
  <si>
    <t>Krajowe pasażerskie przewozy autobusowe</t>
  </si>
  <si>
    <t>Lokalny transport zbiorowy</t>
  </si>
  <si>
    <t>60013</t>
  </si>
  <si>
    <t>60014</t>
  </si>
  <si>
    <t>Drogi publiczne powiatowe</t>
  </si>
  <si>
    <t>60016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</si>
  <si>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</si>
  <si>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</si>
  <si>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</si>
  <si>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</si>
  <si>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</si>
  <si>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</si>
  <si>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</si>
  <si>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Gospodarka gruntami i nieruchomościami</t>
  </si>
  <si>
    <t>71003</t>
  </si>
  <si>
    <t>Biura planowania przestrzennego</t>
  </si>
  <si>
    <t>71004</t>
  </si>
  <si>
    <t>Plany zagospodarowania przestrzennego</t>
  </si>
  <si>
    <t>71012</t>
  </si>
  <si>
    <t>Zadania z zakresu geodezji i kartografii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</si>
  <si>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</si>
  <si>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</si>
  <si>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</si>
  <si>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</si>
  <si>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</si>
  <si>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</si>
  <si>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</si>
  <si>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</si>
  <si>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</si>
  <si>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</si>
  <si>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</si>
  <si>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</si>
  <si>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</si>
  <si>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</si>
  <si>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</si>
  <si>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</si>
  <si>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</si>
  <si>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75212</t>
  </si>
  <si>
    <t>Pozostałe wydatki obronne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</si>
  <si>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</si>
  <si>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</si>
  <si>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</si>
  <si>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</si>
  <si>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</si>
  <si>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</si>
  <si>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</si>
  <si>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</si>
  <si>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</si>
  <si>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</si>
  <si>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</si>
  <si>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</si>
  <si>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</si>
  <si>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</si>
  <si>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</si>
  <si>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</si>
  <si>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</si>
  <si>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</si>
  <si>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</si>
  <si>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</si>
  <si>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</si>
  <si>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</si>
  <si>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</si>
  <si>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</si>
  <si>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</si>
  <si>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</si>
  <si>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</si>
  <si>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</si>
  <si>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</si>
  <si>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</si>
  <si>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80151</t>
  </si>
  <si>
    <t>Kwalifikacyjne kursy zawodowe</t>
  </si>
  <si>
    <t>80195</t>
  </si>
  <si>
    <t>85120</t>
  </si>
  <si>
    <t>Lecznictwo psychiatryczne</t>
  </si>
  <si>
    <t>Medycyna pracy</t>
  </si>
  <si>
    <t>Programy polityki zdrowotnej</t>
  </si>
  <si>
    <t>Zwalczanie narkomanii</t>
  </si>
  <si>
    <t>Przeciwdziałanie alkoholizmowi</t>
  </si>
  <si>
    <t>Staże i specjalizacje medyczne</t>
  </si>
  <si>
    <t>85203</t>
  </si>
  <si>
    <t>Ośrodki wsparcia</t>
  </si>
  <si>
    <t>Zadania w zakresie przeciwdziałania przemocy domowej</t>
  </si>
  <si>
    <t>Regionalne ośrodki polityki społecznej</t>
  </si>
  <si>
    <t>Pomoc dla cudzoziemców</t>
  </si>
  <si>
    <t>POZOSTAŁE ZADANIA W ZAKRESIE POLITYKI SPOŁECZNEJ</t>
  </si>
  <si>
    <t>Rehabilitacja zawodowa i społeczna osób niepełnosprawnych</t>
  </si>
  <si>
    <t>Państwowy Fundusz Rehabilitacji Osób Niepełnosprawnych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</si>
  <si>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</si>
  <si>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</si>
  <si>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</si>
  <si>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</si>
  <si>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</si>
  <si>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</si>
  <si>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</si>
  <si>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</si>
  <si>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Ochrona powietrza atmosferycznego i klimatu</t>
  </si>
  <si>
    <t>Zmniejszenie hałasu i wibracji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</si>
  <si>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</si>
  <si>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</si>
  <si>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</si>
  <si>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</si>
  <si>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92105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</si>
  <si>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</si>
  <si>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</si>
  <si>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</si>
  <si>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</si>
  <si>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</si>
  <si>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</si>
  <si>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</si>
  <si>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</si>
  <si>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 xml:space="preserve">KULTURA FIZYCZNA </t>
  </si>
  <si>
    <t>92601</t>
  </si>
  <si>
    <t>Obiekty sportowe</t>
  </si>
  <si>
    <t>Zadania w zakresie kultury fizycznej</t>
  </si>
  <si>
    <t>92695</t>
  </si>
  <si>
    <t>Pozostała działaność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</si>
  <si>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</si>
  <si>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</si>
  <si>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</si>
  <si>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</si>
  <si>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2025 rok" </t>
    </r>
    <r>
      <rPr>
        <sz val="10"/>
        <rFont val="Calibri"/>
        <family val="2"/>
        <charset val="238"/>
      </rPr>
      <t>do uchwały Nr VIII/152/24 Sejmiku Województwa Kujawsko-Pomorskiego z dnia 16 grudnia 2024 r. w sprawie budżetu województwa na rok 2025 (z późn. zm.), wprowadza się następujące zmiany:</t>
    </r>
  </si>
  <si>
    <t xml:space="preserve">Plan </t>
  </si>
  <si>
    <t>Zwiększenie</t>
  </si>
  <si>
    <t>Plan po</t>
  </si>
  <si>
    <t>Rozdział</t>
  </si>
  <si>
    <t>przed zmianą</t>
  </si>
  <si>
    <t>zmianach</t>
  </si>
  <si>
    <t>WYDATKI OGÓŁEM</t>
  </si>
  <si>
    <t>Wynagrodzenia bezosobowe</t>
  </si>
  <si>
    <t>Zakup materiałów i wyposażenia</t>
  </si>
  <si>
    <t>Zakup środków żywności</t>
  </si>
  <si>
    <t>Zakup usług pozostałych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</si>
  <si>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</si>
  <si>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 xml:space="preserve">Różne wydatki na rzecz osób fizycznych </t>
  </si>
  <si>
    <t>Podróże służbowe krajowe</t>
  </si>
  <si>
    <t>Podróże służbowe zagraniczne</t>
  </si>
  <si>
    <t>Wydatki inwestycyjne jednostek budżetowych</t>
  </si>
  <si>
    <t>Wynagrodzenia osobowe pracowników</t>
  </si>
  <si>
    <t>Składki na ubezpieczenia społeczne</t>
  </si>
  <si>
    <t>Składki na Fundusz Pracy oraz Fundusz Solidarnościowy</t>
  </si>
  <si>
    <t>Zakup usług obejmujących tłumaczenia</t>
  </si>
  <si>
    <t>Różne opłaty i składki</t>
  </si>
  <si>
    <t>Wpłaty na PPK finansowane przez podmiot zatrudniający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</si>
  <si>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</si>
  <si>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Koszty postępowania sądowego i prokuratorskiego</t>
  </si>
  <si>
    <t>Wydatki na zakupy inwestycyjne jednostek budżetowych</t>
  </si>
  <si>
    <t>Wydatki osobowe niezaliczone do wynagrodzeń</t>
  </si>
  <si>
    <t>Opłaty z tytułu zakupu usług telekomunikacyjnych</t>
  </si>
  <si>
    <t>Wynagrodzenia osobowe nauczycieli</t>
  </si>
  <si>
    <t xml:space="preserve">Przedszkola </t>
  </si>
  <si>
    <t>Zakup środków dydaktycznych i książek</t>
  </si>
  <si>
    <t>Zakup usług remontowo-konserwatorskich dotyczących obiektów zabytkowych będących w użytkowaniu jednostek budżetowych</t>
  </si>
  <si>
    <t xml:space="preserve">Szkolenia pracowników niebędących członkami korpusu służby cywilnej 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</si>
  <si>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</si>
  <si>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na finansowanie lub dofinansowanie kosztów realizacji inwestycji i zakupów inwestycyjnych innych jednostek sektora finansów publicznych</t>
  </si>
  <si>
    <t>Dotacja na zadania inwestycyjne realizowane ze środków otrzymanych z Rządowego Funduszu Polski Ład: Program Inwestycji Strategicznych przez jednostki z sektora finansów publicznych</t>
  </si>
  <si>
    <t>Wydatki na zakup i objęcie akcji i udziałów</t>
  </si>
  <si>
    <t>Zakup usług remontowych</t>
  </si>
  <si>
    <t>Stypendia dla uczniów</t>
  </si>
  <si>
    <t>Dotacja celowa z budżetu na finansowanie lub dofinansowanie zadań zleconych do realizacji stowarzyszeniom</t>
  </si>
  <si>
    <t>Dotacja celowa z budżetu dla pozostałych jednostek zaliczanych do sektora finansów publicznych</t>
  </si>
  <si>
    <t xml:space="preserve">Teatry </t>
  </si>
  <si>
    <t>Dotacja podmiotowa z budżetu dla samorządowej instytucji kultury</t>
  </si>
  <si>
    <t>926</t>
  </si>
  <si>
    <t>KULTURA FIZYCZNA</t>
  </si>
  <si>
    <t>Dotacja celowa na pomoc finansową udzielaną między jednostkami samorządu terytorialnego na dofinansowanie własnych zadań inwestycyjnych i zakupów inwestycyjnych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</si>
  <si>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</si>
  <si>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
Rozdział</t>
  </si>
  <si>
    <t>Nazwa zadania inwestycyjnego</t>
  </si>
  <si>
    <t>Okres realizacji</t>
  </si>
  <si>
    <t>Ogólny koszt zadania</t>
  </si>
  <si>
    <t>Przewidywane nakłady poniesione do końca 2024 r.</t>
  </si>
  <si>
    <t>Planowane wydatki</t>
  </si>
  <si>
    <t>Jednostka organizacyjna realizująca zadanie lub koordynująca wykonanie zadania</t>
  </si>
  <si>
    <t>na rok budżetowy 2025</t>
  </si>
  <si>
    <t>z tego źródła finansowania:</t>
  </si>
  <si>
    <t>środki własne Województwa</t>
  </si>
  <si>
    <t>dotacje/środki</t>
  </si>
  <si>
    <t>6a</t>
  </si>
  <si>
    <t>6b</t>
  </si>
  <si>
    <t>x</t>
  </si>
  <si>
    <t>I. 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</si>
  <si>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</si>
  <si>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</si>
  <si>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Dostawa i montaż wraz z certyfikacją wielosystemowych radiotelefonów pociągowych GSM-R</t>
  </si>
  <si>
    <t>Zakupy inwestycyjne</t>
  </si>
  <si>
    <t>Zarząd Dróg Wojewódzkich w Bydgoszczy</t>
  </si>
  <si>
    <t>Budowa i zakup obiektów na potrzeby ZDW w Bydgoszczy</t>
  </si>
  <si>
    <t>Modernizacja dróg</t>
  </si>
  <si>
    <t>Wykup gruntu</t>
  </si>
  <si>
    <t>Drogowa Inicjatywa Samorządowa</t>
  </si>
  <si>
    <t>Modernizacja dróg kluczowych Regionalnego planu transportowego województwa kujawsko-pomorskiego na lata 2021-2027</t>
  </si>
  <si>
    <t>Roboty dodatkowe i uzupełniające związane z realizacją inwestycji drogowych w ramach Funduszy Europejskich dla Kujaw i Pomorza</t>
  </si>
  <si>
    <t>Rozbudowa drogi wojewódzkiej nr 244 polegająca na wykonaniu ścieżki rowerowej i chodników na odcinku Aleksandrowo-Strzelce Górne</t>
  </si>
  <si>
    <t>Rozbudowa drogi wojewódzkiej Nr 255 Pakość-Strzelno od km 2+220 do km 21+910, odc. Rzadkwin-Bławaty od km 18+910 do km 21+910, dł. 3,000 km</t>
  </si>
  <si>
    <t>Budowa ekranów akustycznych dla zadania: Rozbudowa drogi wojewódzkiej nr 240 Chojnice-Świecie od km 23+190 do km 36+817 i od km 62+877 do km 65+718</t>
  </si>
  <si>
    <t>Roboty dodatkowe i uzupełniające związane z realizacją inwestycji drogowych w ramach grupy I RPO - rozliczenie koncowe</t>
  </si>
  <si>
    <t>zmiana nazwy
z: Poprawa stanu technicznego ulicy Słuchajskiej w Golubiu-Dobrzyniu od skrzyżowania z drogą powiatową nr 2111C do skrzyżowania z drogą wojewódzką nr 269 - wsparcie finansowe
na: Poprawa stanu technicznego ulicy Słuchajskiej w Golubiu-Dobrzyniu od skrzyżowania z drogą powiatową nr 2111C do skrzyżowania z drogą wojewódzką nr 569 - wsparcie finansowe</t>
  </si>
  <si>
    <t>Budowa zjazdu z ul. Dworcowej do budynku Młyna Kultury w Toruniu</t>
  </si>
  <si>
    <t>Nabycie nieruchomości położonej w miejscowości Piwnice</t>
  </si>
  <si>
    <t>Dopłata z tytułu przejęcia nieruchomości położonej przy ul. Rajskiej w Bydgoszczy</t>
  </si>
  <si>
    <t>Przygotowanie dokumentacji dla projektu "Utworzenie Kujawsko-Pomorskiego Centrum Naukowo Technologicznego im. J. Czochralskiego - utworzenie infrastruktury badawczej"</t>
  </si>
  <si>
    <t>Wydatki inwestycyjne</t>
  </si>
  <si>
    <t>Kujawsko-Pomorskie Centrum Edukacji Nauczycieli w Bydgoszczy</t>
  </si>
  <si>
    <t>Instalacja klimatyzatorów</t>
  </si>
  <si>
    <t>Montaż latarni przed budynkiem</t>
  </si>
  <si>
    <t>Modernizacja instalacji oświetleniowej</t>
  </si>
  <si>
    <t>Kujawsko-Pomorskie Centrum Edukacji Nauczycieli w Toruniu</t>
  </si>
  <si>
    <t>Kujawsko-Pomorskie Centrum Edukacji Nauczycieli we Włocławku</t>
  </si>
  <si>
    <t>Biblioteka Pedagogiczna w Toruniu</t>
  </si>
  <si>
    <t>Montaż szlabanu</t>
  </si>
  <si>
    <t>Pedagogiczna Biblioteka Wojewódzka w Bydgoszczy</t>
  </si>
  <si>
    <t>Pedagogiczna Biblioteka Wojewódzka w Bydgoszczy - dokumentacja techniczna</t>
  </si>
  <si>
    <t>85111</t>
  </si>
  <si>
    <t>Utworzenie Pracowni Endoskopowej Wojewódzkiego Szpitala Zespolonego im. L. Rydygiera w Toruniu</t>
  </si>
  <si>
    <t>Wojewódzki Szpital Zespolony im. L. Rydygiera w Toruniu</t>
  </si>
  <si>
    <t>Budowa instalacji fotowoltaicznej na dachach obiektów Centrum Onkologii w Bydgoszczy</t>
  </si>
  <si>
    <t>Centrum Onkologii im. prof. Franciszka Łukaszczyka w Bydgoszczy</t>
  </si>
  <si>
    <t>Podniesienie jakości usług zdrowotnych oraz zwiększenie dostępu do usług medycznych w WSS we Włocławku - dostosowanie pomieszczeń dla nowego angiografu</t>
  </si>
  <si>
    <t>Wojewódzki Szpital Specjalistyczny im. błogosławionego księdza Jerzego Popiełuszki we Włocławku</t>
  </si>
  <si>
    <t>85154</t>
  </si>
  <si>
    <t>Podniesienie funkcjonalności WOTUiW w Toruniu</t>
  </si>
  <si>
    <t>Wojewódzki Ośrodek Terapii Uzależnień i Współuzależnienia w Toruniu</t>
  </si>
  <si>
    <t>85217</t>
  </si>
  <si>
    <t>Regionalny Ośrodek Polityki Społecznej w Toruniu</t>
  </si>
  <si>
    <t>85332</t>
  </si>
  <si>
    <t>Wykonanie klimatyzacji</t>
  </si>
  <si>
    <t>Wojewódzki Urząd Pracy w Toruniu</t>
  </si>
  <si>
    <t>Zakup sprzętu i oprogramowania informatycznego</t>
  </si>
  <si>
    <t>85403</t>
  </si>
  <si>
    <t>Kujawsko-Pomorski Specjalny Ośrodek Szkolno-Wychowawczy nr 1 dla Dzieci i Młodzieży Słabo Widzącej i Niewidomej im. Louisa Braille'a w Bydgoszczy - Modernizacja boiska</t>
  </si>
  <si>
    <t xml:space="preserve">Kujawsko-Pomorski Specjalny Ośrodek Szkolno-Wychowawczy nr 1 dla Dzieci i Młodzieży Słabo Widzącej i Niewidomej im. Louisa Braille'a w Bydgoszczy - Wymiana dźwigu osobowego </t>
  </si>
  <si>
    <t>Kujawsko-Pomorski Specjalny Ośrodek Szkolno-Wychowawczy nr 2 dla Dzieci i Młodzieży Słabo Słyszącej i Niesłyszącej im. gen. Stanisława Maczka w Bydgoszczy - Budowa wielofunkcyjnego boiska sportowego</t>
  </si>
  <si>
    <t>Kujawsko-Pomorski Specjalny Ośrodek Szkolno-Wychowawczy nr 2 dla Dzieci i Młodzieży Słabo Słyszącej i Niesłyszącej im. gen. Stanisława Maczka w Bydgoszczy - Budowa wind transportowych</t>
  </si>
  <si>
    <t>92106</t>
  </si>
  <si>
    <t>Modernizacja systemu wentylacji w Operze Nova w Bydgoszczy - III etap</t>
  </si>
  <si>
    <t>Opera Nova w Bydgoszczy</t>
  </si>
  <si>
    <t>Modernizacja systemu nagłośnieniowego Sceny Foyer II piętra w budynku głównym Teatru im. W. Horzycy w Toruniu</t>
  </si>
  <si>
    <t>Teatr im. W. Horzycy w Toruniu</t>
  </si>
  <si>
    <t>Dostosowanie zabytkowego budynku Teatru im. Wilama Horzycy do wymagań ochrony przeciwpożarowej</t>
  </si>
  <si>
    <t>Wymiana parkietu w budynku Pałacu Dąmbskich</t>
  </si>
  <si>
    <t>Kujawsko-Pomorski Teatr Muzyczny w Toruniu</t>
  </si>
  <si>
    <t>92109</t>
  </si>
  <si>
    <t>Zakup i montaż platformy pionowej dla osób niepełnosprawnych przy Ośrodku Chopinowskim w Szafarni</t>
  </si>
  <si>
    <t>Ośrodek Chopinowski w Szafarni</t>
  </si>
  <si>
    <t>Kujawsko-Pomorskie Centrum Edukacji i Innowacji w Toruniu</t>
  </si>
  <si>
    <t>Opracowanie dokumentacji dla projektu inwestycyjnego "Energia Inowrocławia"</t>
  </si>
  <si>
    <t>Opracowanie dokumentacji dla projektu inwestycyjnego "Forteczny Park Kulturowy"</t>
  </si>
  <si>
    <t>Opracowanie dokumentacji dla projektu inwestycyjnego "Energia Włocławka"</t>
  </si>
  <si>
    <t>92110</t>
  </si>
  <si>
    <t>Galeria i Ośrodek Plastycznej Twórczości Dziecka w Toruniu</t>
  </si>
  <si>
    <t>Zakup nowego systemu oświetlenia i klimatyzacji do siedziby Galerii przy Rynku Nowomiejskim 17 w Toruniu</t>
  </si>
  <si>
    <t>92116</t>
  </si>
  <si>
    <t>Wojewódzka Biblioteka Publiczna-Książnica Kopernikańska w Toruniu</t>
  </si>
  <si>
    <t>Prace konserwatorskie budynku Ośrodka Czytelnictwa Chorych i Niepełnosprawnych przy ul. Szczytnej w Toruniu związane z odwodnieniem budynku</t>
  </si>
  <si>
    <t>Wojewódzka Biblioteka Publiczna - Książnica Kopernikańska w Toruniu</t>
  </si>
  <si>
    <t>Przygotowanie dokumentacji budowlanej i konserwatorskiej odwodnienia budynku Ośrodka Czytelnictwa Chorych i Niepełnosprawnych przy ul. Szczytnej w Toruniu</t>
  </si>
  <si>
    <t>Zakup wyposażenia dla filii Wojewódzkiej Biblioteki Publicznej - Książnicy Kopernikańskiej w Toruniu</t>
  </si>
  <si>
    <t>Zakup sprzętu komputerowego i oprogramowania</t>
  </si>
  <si>
    <t>Wojewódzka i Miejska Biblioteka Publiczna w Bydgoszczy</t>
  </si>
  <si>
    <t>92118</t>
  </si>
  <si>
    <t>Modernizacja systemu włamania i napadu</t>
  </si>
  <si>
    <t>Muzeum Archeologiczne w Biskupinie</t>
  </si>
  <si>
    <t>Wymiana pieca c.o. w Zagrodzie Garncarza na terenie Kujawsko-Dobrzyńskiego Parku Etnograficznego w Kłóbce</t>
  </si>
  <si>
    <t>Muzeum Ziemi Kujawskiej i Dobrzyńskiej we Włocławku</t>
  </si>
  <si>
    <t>Rozbudowa Olenderskiego Parku Etnograficznego w Wielkiej Nieszawce - I etap</t>
  </si>
  <si>
    <t>Muzeum Etnograficzne w Toruniu</t>
  </si>
  <si>
    <t>92195</t>
  </si>
  <si>
    <t>Nowoczesna strefa kultury - biblioteka na osiedlu Szwederowo (Program BBO)</t>
  </si>
  <si>
    <t>Zadania w zakresie kultury - wkłady własne</t>
  </si>
  <si>
    <t>92502</t>
  </si>
  <si>
    <t>Zakup samochodu</t>
  </si>
  <si>
    <t>Krajeński Park Krajobrazowy</t>
  </si>
  <si>
    <t>Przygotowanie dokumentacji na potrzeby realizacji projektów w ramach FEdKP 2021-2027</t>
  </si>
  <si>
    <t>Wdecki Park Krajobrazowy</t>
  </si>
  <si>
    <t>Zakup kosiarki samojezdnej</t>
  </si>
  <si>
    <t>Nadgoplański Park Tysiąclecia</t>
  </si>
  <si>
    <t>Program Rozwoju Bazy Sportowej Województwa Kujawsko-Pomorskiego</t>
  </si>
  <si>
    <t>Przygotowanie infrastruktury sportowej na Halowe mistrzostwa świata w lekkoatletyce Kujawy Pomorze 2026 - wsparcie finansowe</t>
  </si>
  <si>
    <t>92605</t>
  </si>
  <si>
    <t>Mała architektura i budowa infrastruktury sportowej przy obiektach edukacyjnych - wsparcie finansowe</t>
  </si>
  <si>
    <t>Budowa hali lekkoatletycznej i strzelectwa sportowego na terenie Kompleksu Sportowego Zawisza w Bydgoszczy - pomoc finansowa</t>
  </si>
  <si>
    <t>RAZEM</t>
  </si>
  <si>
    <t>II. Inwestycje wieloletnie</t>
  </si>
  <si>
    <t>Zakup nowego niskoemisyjnego taboru autobusowego (hybrydy HEV/MHEV) do obsługi połączeń w Województwie Kujawsko-Pomorskim</t>
  </si>
  <si>
    <t>2024-2026</t>
  </si>
  <si>
    <t>Zakup nowego zeroemisyjnego taboru autobusowego elektrycznego do obsługi połączeń na terenie Województwa Kujawsko-Pomorskiego</t>
  </si>
  <si>
    <t>Przygotowanie i realizacja zadań w ramach Rządowego Funduszu Rozwoju Dróg</t>
  </si>
  <si>
    <t>2020-2028</t>
  </si>
  <si>
    <t xml:space="preserve">Zarząd Dróg Wojewódzkich w Bydgoszczy </t>
  </si>
  <si>
    <t>Przebudowa wraz z rozbudową drogi wojewódzkiej Nr 563 Rypin-Żuromin-Mława od km 2+475 do km 16+656. Etap I - Przebudowa drogi wojewódzkiej Nr 563 na odcinku Rypin-Stępowo od km 2+475 do km 10+100</t>
  </si>
  <si>
    <t>2022-2026</t>
  </si>
  <si>
    <t>Przebudowa wraz z rozbudową drogi wojewódzkiej Nr 563 Rypin-Żuromin-Mława od km 2+475 do km 16+656. Etap II - Przebudowa drogi wojewódzkiej Nr 563 na odcinku Stępowo - granica województwa od km 10+100 do km 16+656</t>
  </si>
  <si>
    <t>2023-2025</t>
  </si>
  <si>
    <t>Poprawa warunków obsługi i rozwoju terenu Brzeskiej Strefy Gospodarczej poprzez modernizację drogi wojewódzkiej nr 268</t>
  </si>
  <si>
    <t>2023-2026</t>
  </si>
  <si>
    <t>Rozbudowa drogi wojewódzkiej Nr 244 Kamieniec-Strzelce Dolne, m. Żołędowo, ul. Jastrzębia od km 30+068 do km 33+342, dł. 3,274 km</t>
  </si>
  <si>
    <t>2021-2026</t>
  </si>
  <si>
    <t>Poprawa bezpieczeństwa na przejściach dla pieszych na drogach wojewódzkich oraz w obrębie zatok i peronów przystankowych</t>
  </si>
  <si>
    <t>Przebudowa obiektów mostowych w ciągach dróg wojewódzkich</t>
  </si>
  <si>
    <t>Modernizacja dróg wojewódzkich w zakresie wyeliminowania miejsc niebezpiecznych</t>
  </si>
  <si>
    <t>2022-2029</t>
  </si>
  <si>
    <t>Prace projektowe związane z Nową Perspektywą Finansową 2021-2027</t>
  </si>
  <si>
    <t>Plan rozwoju sieci drogowej - dokumentacje</t>
  </si>
  <si>
    <t>2022-2028</t>
  </si>
  <si>
    <t>Budowa obwodnicy miasta Rypina, w tym opracowanie Studium Techniczno-Ekonomiczno-Środowiskowego wraz z uzyskaniem decyzji o środowiskowych uwarunkowaniach zgody na realizację przedsięwzięcia</t>
  </si>
  <si>
    <t>2021-2028</t>
  </si>
  <si>
    <t xml:space="preserve">Budowa obwodnicy Więcborka wraz z opracowaniem Studium Techniczno-Ekonomiczno-Środowiskowego </t>
  </si>
  <si>
    <t>2019-2027</t>
  </si>
  <si>
    <t>Budowa obwodnicy miejscowości Trląg wraz z dokumentacją projektową</t>
  </si>
  <si>
    <t>2022-2027</t>
  </si>
  <si>
    <t>Budowa obwodnicy Tucholi</t>
  </si>
  <si>
    <t>Budowa obwodnicy miasta Brodnicy</t>
  </si>
  <si>
    <t>Budowa obwodnicy miejscowości Lisewo</t>
  </si>
  <si>
    <t>Budowa obwodnicy miasta Sępólno Krajeńskie</t>
  </si>
  <si>
    <t>Budowa obwodnicy miasta Chełmży</t>
  </si>
  <si>
    <t>Budowa obwodnicy miasta Radzyń Chełmiński</t>
  </si>
  <si>
    <t>Budowa obwodnicy miejscowości Łysomice</t>
  </si>
  <si>
    <t>Budowa obwodnicy miasta Golubia-Dobrzynia, w tym opracowanie Studium Techniczno-Ekonomiczno-Środowiskowego wraz z dokumentacją projektową</t>
  </si>
  <si>
    <t>Rozbudowa drogi wojewódzkiej Nr 551 Strzyżawa-Dąbrowa Chełmińska-Unisław-Wybcz-Chełmża-Wąbrzeźno, odc. Strzyżawa-Ostromecko od km 0+005 do km 1+935 oraz od km 2+675 do km 3+960, dł. 3,215 km</t>
  </si>
  <si>
    <t>2025-2026</t>
  </si>
  <si>
    <t>Dostosowanie przeprawy promowej w Solcu Kujawskim i Czarnowie do stanów wody rzeki Wisły</t>
  </si>
  <si>
    <t>2024-2025</t>
  </si>
  <si>
    <t>Opracowanie dokumentacji projektowej dla rozbudowy drogi wojewódzkiej Br 244 Kamieniec-Strzelce Dolne, m. Żołędowo, ul. Jastrzębia od km 30+068 do km 33+342, dł. 3,274 km</t>
  </si>
  <si>
    <t>2018-2025</t>
  </si>
  <si>
    <t>zmiana nazwy 
z: Przebudowa dróg powiatowych w powiecie chełmińskim o długości 11,664 km - wsparcie finansowe
na: Przebudowa dróg powiatowych w powiecie chełmińskim o długości 15,634 km - wsparcie finansowe</t>
  </si>
  <si>
    <t>Przebudowa dróg powiatowych w powiecie wąbrzeskim o długości 23,000 km - wsparcie finansowe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</si>
  <si>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</si>
  <si>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2021-2025</t>
  </si>
  <si>
    <t xml:space="preserve"> TURYSTYKA</t>
  </si>
  <si>
    <t>Utworzenie narzędzia do badań ruchu turystycznego województwa kujawsko-pomorskiego</t>
  </si>
  <si>
    <t>2025-2028</t>
  </si>
  <si>
    <t>Modernizacja nieruchomości w Toruniu przy ul. Św. Jakuba 3-5, Wola Zamkowa 8-10, 10A i 12A (rozliczenie z użytkownikiem)</t>
  </si>
  <si>
    <t>2016-2039</t>
  </si>
  <si>
    <t>Modernizacja nieruchomości w Toruniu przy ul. Wola Zamkowa 12 (rozliczenie z użytkownikiem)</t>
  </si>
  <si>
    <t>2024-2039</t>
  </si>
  <si>
    <t>Kultura w zasięgu 3.0 - wkład własny wojewódzkich jednostek organizacyjnych</t>
  </si>
  <si>
    <t>2023-2027</t>
  </si>
  <si>
    <t>Wymiana pionów grzewczych w budynku Urzędu Marszałkowskiego w Toruniu przy ul. Targowej 13-15</t>
  </si>
  <si>
    <t>Modernizacja i rozbudowa budynku Urzędu Marszałkowskiego</t>
  </si>
  <si>
    <t>2009-2028</t>
  </si>
  <si>
    <t>KPCEN we Włocławku - Rozbudowa budynku</t>
  </si>
  <si>
    <t>Rozbudowa Wojewódzkiego Szpitala Specjalistycznego im. błogosławionego księdza Jerzego Popiełuszki we Włocławku</t>
  </si>
  <si>
    <t>2025-2027</t>
  </si>
  <si>
    <t>Wojewódzki Szpital Specjalistyczny we Włocławku</t>
  </si>
  <si>
    <t>Rozbudowa Wojewódzkiego Szpitala dla Nerwowo i Psychicznie Chorych w Świeciu o nową siedzibę Centrum Zdrowia Psychicznego - dofinansowanie wkładu własnego Szpitala</t>
  </si>
  <si>
    <t>Wojewódzki Szpital Zdrowia Psychicznego im. dr. Józefa Bednarza w Świeciu</t>
  </si>
  <si>
    <t>Rozbudowa WOTUiW w Toruniu - dokumentacja techniczna OOC</t>
  </si>
  <si>
    <t>Dokumentacja techniczna OKTU - rozbudowa WOTUiW w Toruniu</t>
  </si>
  <si>
    <t>Modernizacja warsztatów kształcenia zawodowego w KPSOSW im. J. Korczaka w Toruniu</t>
  </si>
  <si>
    <t>85410</t>
  </si>
  <si>
    <t>Rozbudowa i modernizacja internatu K-PCKZ w Bydgoszczy - opracowanie dokumentacji</t>
  </si>
  <si>
    <t>Rozbudowa Opery Nova w Bydgoszczy o IV krąg</t>
  </si>
  <si>
    <t>Rozszerzenie funkcjonalności teatralno-koncertowej poprzez rozbudowę i doposażenie dawnego budynku kinoteatru Grunwald</t>
  </si>
  <si>
    <t>2020-2026</t>
  </si>
  <si>
    <t>92108</t>
  </si>
  <si>
    <t>Rozbudowa Filharmonii Pomorskiej w Bydgoszczy</t>
  </si>
  <si>
    <t>2023-2028</t>
  </si>
  <si>
    <t>Filharmonia Pomorska im. J. Paderewskiego w Bydgoszczy</t>
  </si>
  <si>
    <t>Rozbudowa Filharmonii Pomorskiej w Bydgoszczy - nadzór inwestycyjny</t>
  </si>
  <si>
    <t>Adaptacja pomieszczeń piwnicznych w budynku Kujawsko-Pomorskiego Centrum Kultury w Bydgoszczy</t>
  </si>
  <si>
    <t>Kujawsko-Pomorskie Centrum Kultury w Bydgoszczy</t>
  </si>
  <si>
    <t>Uporządkowanie gospodarki wodno-ściekowej i energetycznej w zespole pałacowo-parkowym w Lubostroniu</t>
  </si>
  <si>
    <t>Pałac Lubostroń w Lubostroniu</t>
  </si>
  <si>
    <t>Modernizacja dachu oraz kopuły Pałacu w Lubostroniu</t>
  </si>
  <si>
    <t>Młyn Energii - dostosowanie obiektu Młyna Górnego w Grudziądzu do funkcji kulturalno-edukacyjnych</t>
  </si>
  <si>
    <t>Budowa jachtu morskiego dla Kujaw i Pomorza</t>
  </si>
  <si>
    <t>Opracowanie koncepcji i programu prac konserwatorskich dla Zespołu Pałacowo-Parkowego w Wieńcu</t>
  </si>
  <si>
    <t>"Muzeum Ziemiaństwa im. Rodziny Sczanieckich" w Nawrze</t>
  </si>
  <si>
    <t>2024-2027</t>
  </si>
  <si>
    <t>Kujawsko-Pomorskie Centrum Dziedzictwa w Toruniu</t>
  </si>
  <si>
    <t>Rozbudowa i dostosowanie budynku Wojewódzkiej Biblioteki Publicznej-Książnicy Kopernikańskiej w Toruniu do nowych funkcji użytkowych</t>
  </si>
  <si>
    <t>2022-2025</t>
  </si>
  <si>
    <t>"Droga do Nowoczesności" - modernizacja i rewitalizacja zabytków oraz wdrożenie nowej oferty kulturalnej Wojewódzkiej i Miejskiej Biblioteki Publicznej w Bydgoszczy</t>
  </si>
  <si>
    <t>Rozbudowa Muzeum Archeologicznego w Biskupinie - I etap dokumentacja</t>
  </si>
  <si>
    <t>Przebudowa budynków MZKiD we Włocławku</t>
  </si>
  <si>
    <t>Modernizacja budynku przy ul. Odrodzenia 4/6 w Toruniu - przygotowanie dokumentacji projektowej</t>
  </si>
  <si>
    <t>III. Inwestycje ujęte w Programie Fundusze Europejskie dla Kujaw i Pomorza 2021-2027</t>
  </si>
  <si>
    <t>IV. Pozostałe projekty i działania realizowane ze środków zagranicznych</t>
  </si>
  <si>
    <t>IIIa. Inwestycje ujęte w Regionalnym Programie Operacyjnym Województwa Kujawsko-Pomorskiego 2014-2020</t>
  </si>
  <si>
    <t>z dnia        .04.2025 r.</t>
  </si>
  <si>
    <t>z dnia       .04.2025 r.</t>
  </si>
  <si>
    <t xml:space="preserve">Załącznik nr 5 do uchwały 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</si>
  <si>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2025 rok" </t>
    </r>
    <r>
      <rPr>
        <sz val="10"/>
        <rFont val="Calibri"/>
        <family val="2"/>
        <charset val="238"/>
        <scheme val="minor"/>
      </rPr>
      <t>do uchwały Nr VIII/152/24 Sejmiku Województwa Kujawsko-Pomorskiego z dnia 16 grudnia 2024 r. w sprawie budżetu województwa na rok 2025 (z późn.zm.), wprowadza się następujące zmiany:</t>
    </r>
  </si>
  <si>
    <t>Lp.</t>
  </si>
  <si>
    <t>Wyszczególnienie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</si>
  <si>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</si>
  <si>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</si>
  <si>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</si>
  <si>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</si>
  <si>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</si>
  <si>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</si>
  <si>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</si>
  <si>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</si>
  <si>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</si>
  <si>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</si>
  <si>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</si>
  <si>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</si>
  <si>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</si>
  <si>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</si>
  <si>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</si>
  <si>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</si>
  <si>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</si>
  <si>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</si>
  <si>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</si>
  <si>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</si>
  <si>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</si>
  <si>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</si>
  <si>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</si>
  <si>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</si>
  <si>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</si>
  <si>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</si>
  <si>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</si>
  <si>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</si>
  <si>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</si>
  <si>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</si>
  <si>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</si>
  <si>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</si>
  <si>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</si>
  <si>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</si>
  <si>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</si>
  <si>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</si>
  <si>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</si>
  <si>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</si>
  <si>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</si>
  <si>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</si>
  <si>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</si>
  <si>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</si>
  <si>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</si>
  <si>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</si>
  <si>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</si>
  <si>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</si>
  <si>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</si>
  <si>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</si>
  <si>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</si>
  <si>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</si>
  <si>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</si>
  <si>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</si>
  <si>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</si>
  <si>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</si>
  <si>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</si>
  <si>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</si>
  <si>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</si>
  <si>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</si>
  <si>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</si>
  <si>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</si>
  <si>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</si>
  <si>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</si>
  <si>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</si>
  <si>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</si>
  <si>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</si>
  <si>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</si>
  <si>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                                                                                                                             </t>
  </si>
  <si>
    <t xml:space="preserve">Sejmiku Województwa z dnia    .04.2025 r.     </t>
  </si>
  <si>
    <r>
      <t>W załączniku nr 9</t>
    </r>
    <r>
      <rPr>
        <b/>
        <sz val="10"/>
        <rFont val="Calibri"/>
        <family val="2"/>
        <charset val="238"/>
        <scheme val="minor"/>
      </rPr>
      <t xml:space="preserve"> "Dotacje udzielane z budżetu Województwa Kujawsko - Pomorskiego.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województwa na rok 2025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</si>
  <si>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</si>
  <si>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</si>
  <si>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</si>
  <si>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</si>
  <si>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</si>
  <si>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Priorytet/
Działanie</t>
  </si>
  <si>
    <t>inwestycje</t>
  </si>
  <si>
    <t>bieżące</t>
  </si>
  <si>
    <t xml:space="preserve"> I DOTACJE PRZEDMIOTOWE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</si>
  <si>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</si>
  <si>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</si>
  <si>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</si>
  <si>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</si>
  <si>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</si>
  <si>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 xml:space="preserve">Dotowanie kolejowych przewozów pasażerskich 2025-2030 - Toruń-Ciechocinek </t>
  </si>
  <si>
    <t xml:space="preserve"> II DOTACJE PODMIOTOWE</t>
  </si>
  <si>
    <t>Dotacje dla instytucji kultury</t>
  </si>
  <si>
    <t>Teatr im. W. Horzycy w Toruniu - działalność statutowa</t>
  </si>
  <si>
    <t>Opera Nova w Bydgoszczy - działalność statutowa</t>
  </si>
  <si>
    <t>Kujawsko-Pomorski Teatr Muzyczny w Toruniu - działalność statutowa</t>
  </si>
  <si>
    <t>Filharmonia Pomorska w Bydgoszczy - działalność statutowa</t>
  </si>
  <si>
    <t>Wojewódzki Ośrodek Animacji Kultury w Toruniu - działalność statutowa</t>
  </si>
  <si>
    <t>Kujawsko-Pomorskie Centrum Kultury w Bydgoszczy - działalność statutowa</t>
  </si>
  <si>
    <t>Kujawsko-Pomorskie Centrum Dziedzictwa w Toruniu - działalność statutowa</t>
  </si>
  <si>
    <t>Kujawsko-Pomorskie Centrum Edukacji i Innowacji w Toruniu - działalność statutowa</t>
  </si>
  <si>
    <t>Ośrodek Chopinowski w Szafarni - działalność statutowa, w tym finansowana:</t>
  </si>
  <si>
    <t xml:space="preserve"> - ze środków własnych Województwa</t>
  </si>
  <si>
    <t xml:space="preserve"> - ze środków Gminy Radomin</t>
  </si>
  <si>
    <t>Pałac Lubostroń w Lubostroniu - działalność statutowa</t>
  </si>
  <si>
    <t>Galeria Sztuki "Wozownia" w Toruniu - działalność statutowa</t>
  </si>
  <si>
    <t>Galeria i Ośrodek Plastycznej Twórczości Dziecka w Torunia - działalność statutowa</t>
  </si>
  <si>
    <t>92113</t>
  </si>
  <si>
    <t>Centrum Sztuki Współczesnej "Znaki Czasu" - działalność statutowa</t>
  </si>
  <si>
    <t>Wojewódzka i Miejska Biblioteka Publiczna w Bydgoszczy - działalność statutowa, w tym finansowana:</t>
  </si>
  <si>
    <t xml:space="preserve"> - ze środków Miasta Bydgoszczy</t>
  </si>
  <si>
    <t>Wojewódzka Biblioteka Publiczna - Książnica Kopernikańska w Toruniu - działalność statutowa, w tym finansowana:</t>
  </si>
  <si>
    <t xml:space="preserve"> - ze środków Miasta Torunia</t>
  </si>
  <si>
    <t>Muzeum Etnograficzne w Toruniu - działalność statutowa</t>
  </si>
  <si>
    <t>Muzeum Ziemi Kujawskiej i Dobrzyńskiej we Włocławku - działalność statutowa</t>
  </si>
  <si>
    <t>Muzeum Archeologiczne w Biskupinie - działalność statutowa</t>
  </si>
  <si>
    <t xml:space="preserve"> III DOTACJE CELOWE</t>
  </si>
  <si>
    <t xml:space="preserve"> Na zadania realizowane w ramach Regionalnego Programu Operacyjnego WK-P 2014-2020</t>
  </si>
  <si>
    <t>6.1.1</t>
  </si>
  <si>
    <t>Inwestycje w infrastrukturę zdrowotną</t>
  </si>
  <si>
    <t>85195</t>
  </si>
  <si>
    <t>Doposażenie szpitali w województwie kujawsko-pomorskim w związku z zapobieganiem, przeciwdziałaniem i zwalczaniem COVID-19 - etap II</t>
  </si>
  <si>
    <t>9.4.1</t>
  </si>
  <si>
    <t>Rozwój podmiotów sektora ekonomii społecznej</t>
  </si>
  <si>
    <t>85295</t>
  </si>
  <si>
    <t>9.3.2</t>
  </si>
  <si>
    <t>Rozwój usług społecznych</t>
  </si>
  <si>
    <t xml:space="preserve"> Na zadania realizowane w ramach Programu Fundusze Europejskie dla Kujaw i Pomorza 2021-2027</t>
  </si>
  <si>
    <t>1.03</t>
  </si>
  <si>
    <t>Promocja gospodarki regionalnej</t>
  </si>
  <si>
    <t>08</t>
  </si>
  <si>
    <t>Priorytet FEKP.08 Fundusze europejskie na wsparcie w obszarze rynku pracy, edukacji i włączenia społecznego</t>
  </si>
  <si>
    <t>04</t>
  </si>
  <si>
    <t>Priorytet FEKP.04 Fundusze europejskie na rzecz spójności i dostępności komunikacyjnej regionu</t>
  </si>
  <si>
    <t>1.02</t>
  </si>
  <si>
    <t>Infostrada Kujaw i Pomorza 3.0</t>
  </si>
  <si>
    <t>Kultura w zasięgu 3.0</t>
  </si>
  <si>
    <t>Kujawsko-Pomorskie e-Zdrowie 3.0</t>
  </si>
  <si>
    <t>05</t>
  </si>
  <si>
    <t>Priorytet FEKP.05 Fundusze europejskie na wzmacnianie potencjałów endogenicznych regionu (IP ZIT)</t>
  </si>
  <si>
    <t>Priorytet FEKP.05 Fundusze europejskie na wzmacnianie potencjałów endogenicznych regionu</t>
  </si>
  <si>
    <t>06</t>
  </si>
  <si>
    <t>Priorytet FEKP.06 Fundusze europejskie na rzecz zwiększenia dostępności regionalnej infrastruktury dla mieszkańców (IP ZIT)</t>
  </si>
  <si>
    <t>Priorytet FEKP.08 Fundusze europejskie na wsparcie w obszarze rynku pracy, edukacji i włączenia społecznego (IP ZIT)</t>
  </si>
  <si>
    <t>9.01</t>
  </si>
  <si>
    <t>Działanie FEKP.9.01 Wsparcie procesu zarządzania i wdrażania FEdKP</t>
  </si>
  <si>
    <t>9.02</t>
  </si>
  <si>
    <t>Działanie FEKP.9.02 Skuteczna informacja i komunikacja FEdKP</t>
  </si>
  <si>
    <t>80104</t>
  </si>
  <si>
    <t>8.11</t>
  </si>
  <si>
    <t>Dwujęzyczne przedszkolaki Kujaw i Pomorza</t>
  </si>
  <si>
    <t>Priorytet FEKP.06 Fundusze europejskie na rzecz zwiększenia dostępności regionalnej infrastruktury dla mieszkańców</t>
  </si>
  <si>
    <t>8.14</t>
  </si>
  <si>
    <t>Klucz do uczenia 3.0</t>
  </si>
  <si>
    <t>8.24</t>
  </si>
  <si>
    <t>Kujawsko-Pomorska Teleopieka Etap I</t>
  </si>
  <si>
    <t>Opieka długoterminowa - kształcenie kadr Etap I</t>
  </si>
  <si>
    <t>8.25</t>
  </si>
  <si>
    <t>Wykluczenie - nie ma MOWy!2 - etap I</t>
  </si>
  <si>
    <t>Trampolina 4 - etap I</t>
  </si>
  <si>
    <t>85395</t>
  </si>
  <si>
    <t>Priorytet FEKP.08 Fundusze europejskie na wsparcie w obszarze rynku pracy, edukacji i włączenia społecznego (IP WUP)</t>
  </si>
  <si>
    <t>8.21</t>
  </si>
  <si>
    <t>Rozwój NGO siłą Kujaw i Pomorza</t>
  </si>
  <si>
    <t>85595</t>
  </si>
  <si>
    <t>Rodzina w centrum Etap I</t>
  </si>
  <si>
    <t>90095</t>
  </si>
  <si>
    <t>02</t>
  </si>
  <si>
    <t>Priorytet FEKP.02 Fundusze europejskie dla czystej energii ochrony zasobów środowiska regionu</t>
  </si>
  <si>
    <t>92120</t>
  </si>
  <si>
    <t>6.11</t>
  </si>
  <si>
    <t>Wsparcie opieki nad zabytkami Województwa Kujawsko-Pomorskiego w 2024 roku</t>
  </si>
  <si>
    <t>Na pozostałe zadania</t>
  </si>
  <si>
    <r>
      <t xml:space="preserve">Spółki wodne - </t>
    </r>
    <r>
      <rPr>
        <i/>
        <sz val="10"/>
        <color rgb="FF000000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</si>
  <si>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</si>
  <si>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</si>
  <si>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r>
      <t xml:space="preserve">Poprawa kondycji i warunków sanitarnych rodzin pszczelich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</si>
  <si>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</si>
  <si>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</si>
  <si>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</si>
  <si>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dróg powiatowych w powiecie wąbrzeskim o długości 23,000 km - </t>
    </r>
    <r>
      <rPr>
        <i/>
        <sz val="10"/>
        <color rgb="FF000000"/>
        <rFont val="Calibri"/>
        <family val="2"/>
        <charset val="238"/>
        <scheme val="minor"/>
      </rPr>
      <t>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</si>
  <si>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>Przebudowa dróg powiatowych w powiecie chełmińskim o długości 11,644 km -</t>
    </r>
    <r>
      <rPr>
        <i/>
        <sz val="10"/>
        <color rgb="FF000000"/>
        <rFont val="Calibri"/>
        <family val="2"/>
        <charset val="238"/>
        <scheme val="minor"/>
      </rPr>
      <t xml:space="preserve"> 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</si>
  <si>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Poprawa stanu technicznego ulicy Słuchajskiej w Golubiu-Dobrzyniu od skrzyżowania z drogą powiatową nr 2111C do skrzyżowania z drogą wojewódzką nr 269 -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</si>
  <si>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</si>
  <si>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</si>
  <si>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 xml:space="preserve">Zadania w zakresie turystyki i krajoznawstwa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</si>
  <si>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Kultura w zasięgu 3.0 - wkład własny wojewódzkich jednostek organizacyjnych </t>
    </r>
    <r>
      <rPr>
        <b/>
        <i/>
        <sz val="10"/>
        <color rgb="FF000000"/>
        <rFont val="Calibri"/>
        <family val="2"/>
        <charset val="238"/>
        <scheme val="minor"/>
      </rPr>
      <t>(IW)</t>
    </r>
  </si>
  <si>
    <t>Laboratorium myśli św. Jana Pawła II</t>
  </si>
  <si>
    <t>Centrum Badania Historii "Solidarności" i Oporu Społecznego w PRL</t>
  </si>
  <si>
    <r>
      <t xml:space="preserve">Działalność na rzecz organizacji pozarządowych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</si>
  <si>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Rozbudowa Wojewódzkiego Szpitala Specjalistycznego im. błogosławionego księdza Jerzego Popiełuszki we Włocławku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</si>
  <si>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Podniesienie jakości usług zdrowotnych oraz zwiększenie dostępu do usług medycznych w WSS we Włocławku - dostosowanie pomieszczeń do nowego angiografu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</si>
  <si>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Utworzenie Pracowni Endoskopowej Wojewódzkiego Szpitala Zespolonego im. L. Rydygiera w Toruniu
</t>
    </r>
    <r>
      <rPr>
        <i/>
        <sz val="10"/>
        <color indexed="8"/>
        <rFont val="Calibri"/>
        <family val="2"/>
        <charset val="238"/>
        <scheme val="minor"/>
      </rPr>
      <t>Wojewódzki Szpital Zespolony im. Ludwika Rydygiera w Toruniu</t>
    </r>
  </si>
  <si>
    <r>
      <t xml:space="preserve">Budowa instalacji fotowoltaicznej na dachach obiektów Centrum Onkologii w Bydgoszczy
</t>
    </r>
    <r>
      <rPr>
        <i/>
        <sz val="10"/>
        <color indexed="8"/>
        <rFont val="Calibri"/>
        <family val="2"/>
        <charset val="238"/>
        <scheme val="minor"/>
      </rPr>
      <t>Centrum Onkologii im. prof. Franciszka Łukaszczyka w Bydgoszczy</t>
    </r>
  </si>
  <si>
    <r>
      <t xml:space="preserve">Rozbudowa Wojewódzkiego Szpitala dla Nerwowo i Psychicznie Chorych w Świeciu o nową siedzibę Centrum Zdrowia Psychicznego - dofinansowanie wkładu własnego Szpitala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Zdrowia Psychicznego im. dr. J. Bednarza w Świeciu </t>
    </r>
  </si>
  <si>
    <t>85149</t>
  </si>
  <si>
    <t>Województwo Promujące Zdrowie</t>
  </si>
  <si>
    <t>Program polityki zdrowotnej z zakresu wsparcia leczenia niepłodności metodą zapłodnienia pozaustrojowego dla mieszkańców województwa kujawsko-pomorskiego</t>
  </si>
  <si>
    <t>85153</t>
  </si>
  <si>
    <r>
      <t xml:space="preserve">Przeciwdziałanie narkomanii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</si>
  <si>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Przeciwdziałanie alkoholizmowi i innym uzależnieniom</t>
  </si>
  <si>
    <r>
      <t>Aktywizacja środowisk wiejskich w zakresie rozwiązywania problemów alkoholowych i narkomanii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</si>
  <si>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Rozwiązywanie problemów alkoholowych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</si>
  <si>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</si>
  <si>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Dokumentacja techniczna OKTU - rozbudowa WOTUiW w Toruniu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</si>
  <si>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Rozbudowa WOTUiW w Toruniu - dokumentacja techniczna OOC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</si>
  <si>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Ochrona i promocja zdrowia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</si>
  <si>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Projekt CARES (Interreg Europa)</t>
  </si>
  <si>
    <t>85205</t>
  </si>
  <si>
    <t xml:space="preserve">Wojewódzki program przeciwdziałania przemocy w rodzinie dla województwa kujawsko-pomorskiego do roku 2026 </t>
  </si>
  <si>
    <r>
      <t xml:space="preserve">Przeciwdziałanie przemocy domowej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</si>
  <si>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85311</t>
  </si>
  <si>
    <t xml:space="preserve">Dofinansowanie kosztów działalności Zakładów Aktywności Zawodowej </t>
  </si>
  <si>
    <r>
      <t xml:space="preserve">Budowanie niezależności i włączenia społecznego osób z niepełnosprawnościami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</si>
  <si>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85415</t>
  </si>
  <si>
    <t xml:space="preserve">Stypendia dla uczniów </t>
  </si>
  <si>
    <t>85495</t>
  </si>
  <si>
    <t>Kompleksowy remont historycznego budynku starej kuźni w Bydgoszczy</t>
  </si>
  <si>
    <t>85509</t>
  </si>
  <si>
    <r>
      <t xml:space="preserve">Wspieranie działań z zakresu opieki adopcyjno-wychowawczej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</si>
  <si>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aktywizacji i integracji społecznej seniorów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</si>
  <si>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Wsparcie działań z zakresu opieki nad osobami przewlekle chorymi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</si>
  <si>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rodzin w wypełnianiu funkcji rodzicielskich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</si>
  <si>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zajęć rozwojowych dla dzieci i młodzieży zagrożonych wykluczeniem społecznym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</si>
  <si>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prac wychowawczych z dziećmi i młodzieżą realizowanych przez organizacje młodzieżowe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</si>
  <si>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rPr>
        <sz val="10"/>
        <color indexed="8"/>
        <rFont val="Calibri"/>
        <family val="2"/>
        <charset val="238"/>
        <scheme val="minor"/>
      </rPr>
      <t>Bydgoski Festiwal Operowy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</si>
  <si>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</si>
  <si>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</si>
  <si>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Modernizacja systemu wentylacji w Operze Nova w Bydgoszczy - III etap
Opera NOVA w Bydgoszczy</t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</si>
  <si>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</si>
  <si>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Modernizacja systemu nagłośnieniowego Sceny Foyer II piętra w budynku głównym Teatru im. W.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</si>
  <si>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Dostosowanie zabytkowego budynku Teatru im. Wilama Horzycy do wymagań ochrony przeciwpożarowej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</si>
  <si>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</si>
  <si>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Inwestycje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</si>
  <si>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</si>
  <si>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</si>
  <si>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"Muzeum Ziemiaństwa im. Rodziny Sczanieckich" w Nawrze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</si>
  <si>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Młyn Energii - dostosowanie obiektu Młyna Górnego w Grudziądzu do funkcji kulturalno-edukacyjnych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</si>
  <si>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Budowa jachtu morskiego dla Kujaw i Pomorza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</si>
  <si>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koncepcji i programu prac konserwatorskich dla Zespołu Pałacowo-Parkowego w Wieńcu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</si>
  <si>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Inowrocławia"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</si>
  <si>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Włocławka"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</si>
  <si>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"Forteczny Park Kulturowy"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</si>
  <si>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Zakupy inwestycyjne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</si>
  <si>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Wdrożenie serwera chmurowego Office 365 na potrzeby bieżącej działalności Kujawsko-Pomorskiego Centrum Edukacji i Innowacji w Toruniu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</si>
  <si>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Zakup i montaż platformy pionowej dla osób niepełnosprawnych przy Ośrodku Chopinowskim w Szafarni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</si>
  <si>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Uporządkowanie gospodarki wodno-ściekowej i energetycznej w zespole pałacowo-parkowym w Lubostroniu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</si>
  <si>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>Modernizacja dachu oraz kopuły Pałacu w Lubsotroniu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</si>
  <si>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 wyposażenia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</si>
  <si>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Zadanie remontowe- Remonty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</si>
  <si>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</si>
  <si>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nowego systemu oświetlenia i klimatyzacji do siedziby Galerii przy Rynku Nowomiejskim 17 w Toruniu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</si>
  <si>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wyposażenia
</t>
    </r>
    <r>
      <rPr>
        <i/>
        <sz val="10"/>
        <color indexed="8"/>
        <rFont val="Calibri"/>
        <family val="2"/>
        <charset val="238"/>
        <scheme val="minor"/>
      </rPr>
      <t>Galeria Sztuki Wozownia w Toruniu</t>
    </r>
  </si>
  <si>
    <r>
      <t xml:space="preserve">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</si>
  <si>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"Droga do Nowoczesności" - modernizacja i rewitalizacja zabytków oraz wdrożenie nowej oferty kulturalnej Wojewódzkiej i Miejskiej Biblioteki Publicznej w Bydgoszczy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</si>
  <si>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Rozbudowa i dostosowanie budynku Wojewódzkiej Biblioteki Publicznej - Książnicy Kopernikańskiej w Toruniu do nowych funkcji użytkowych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</si>
  <si>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</si>
  <si>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</si>
  <si>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Prace konserwatorskie budynku Ośrodka Czytelnictwa Chorych i Niepełnosprawnych przy ul. Szczytnej w Toruniu związane z odwodnieniem budynku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</si>
  <si>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</si>
  <si>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Przygotowanie dokumentacji budowlanej i konserwatorskiej odwodnienia budynku Ośrodka Czytelnictwa Chorych i Niepełnosprawnych przy ul. Szczytnej w Toruniu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</si>
  <si>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dla filii Wojewódzkiej Biblioteki Publicznej - Książnicy Kopernikańskiej w Toruniu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</si>
  <si>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Dofinansowanie działalności bieżącej Muzeum Ziemi Pałuckiej w Żninie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</si>
  <si>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Przebudowa budynków MZKiD we Włocławku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</si>
  <si>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Wymiana pieca c.o. w Zagrodzie Garncarza na terenie Kujawsko-Dobrzyńskiego Parku Etnograficznego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</si>
  <si>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</si>
  <si>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</si>
  <si>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Rozbudowa Olenderskiego Parku Etnograficznego w Wielkiej Nieszawce - I etap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</si>
  <si>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Ocena stanu technicznego spichlerzy przy ul. Rabiańskiej 19/21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</si>
  <si>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Rozbudowa Muzeum Archeologicznego w Biskupinie - I etap dokumentacja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</si>
  <si>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Zadanie remontowe - Remont budynku magazynowego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</si>
  <si>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Modernizacja systemu włamania i napadu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</si>
  <si>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t>Ochrona i zachowanie materialnego dziedzictwa kulturowego regionu</t>
  </si>
  <si>
    <r>
      <t xml:space="preserve">Zadania w zakresie kultury, sztuki, ochrony dóbr kultury i dziedzictwa narodowego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</si>
  <si>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Upowszechnianie kultury</t>
  </si>
  <si>
    <r>
      <t>"Park kulturowy Wietrzychowice" w Wietrzychowicach i Gaju - wsparcie działań gminy Izbica Kujawska -</t>
    </r>
    <r>
      <rPr>
        <i/>
        <sz val="10"/>
        <color rgb="FF000000"/>
        <rFont val="Calibri"/>
        <family val="2"/>
        <charset val="238"/>
        <scheme val="minor"/>
      </rPr>
      <t xml:space="preserve"> pomoc finansowa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</si>
  <si>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</si>
  <si>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</si>
  <si>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</si>
  <si>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Nowoczesna strefa kultury - biblioteka na osiedlu Szwederowo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</si>
  <si>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Program Rozwoju Bazy Sportowej Województwa Kujawsko-Pomorskiego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</si>
  <si>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Przygotowanie infrastruktury sportowej na Halowe mistrzostwa świata w lekkoatletyce Kujawy Pomorze 2026 -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</si>
  <si>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Zadania w zakresie upowszechniania kultury fizycznej i sportu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</si>
  <si>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Programy Sportu Powszechnego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</si>
  <si>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Szkolenie dzieci i młodzieży w klubach sportowych</t>
  </si>
  <si>
    <t>Stypendia sportowe</t>
  </si>
  <si>
    <t>Kujawy Pomorze Team</t>
  </si>
  <si>
    <r>
      <t xml:space="preserve">Budowa hali lekkoatletycznej i strzelectwa sportowego na terenie Kompleksu Sportowego Zawisza w Bydgoszczy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</si>
  <si>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Mała architektura i budowa infrastruktury sportowej przy obiektach edukacyjnych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</si>
  <si>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</si>
  <si>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</si>
  <si>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</si>
  <si>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</si>
  <si>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</si>
  <si>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</si>
  <si>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Sejmiku Województwa z dnia    .04.2025 r.          </t>
  </si>
  <si>
    <t xml:space="preserve">                                                                                                </t>
  </si>
  <si>
    <r>
      <t xml:space="preserve">W załączniku nr 12 </t>
    </r>
    <r>
      <rPr>
        <b/>
        <sz val="10"/>
        <rFont val="Calibri"/>
        <family val="2"/>
        <charset val="238"/>
        <scheme val="minor"/>
      </rPr>
      <t>"Dochody i wydatki na zadania wykonywane na mocy porozumień z organami administracji rządowej. Plan na 2025 rok"</t>
    </r>
    <r>
      <rPr>
        <sz val="10"/>
        <rFont val="Calibri"/>
        <family val="2"/>
        <charset val="238"/>
        <scheme val="minor"/>
      </rPr>
      <t>do uchwały Nr VIII/152/24 Sejmiku Województwa Kujawsko-Pomorskiego z dnia 16 grudnia 2024 r. w sprawie budżetu województwa na rok 2025 (z późn. zm.), wprowadza się następujące zmiany:</t>
    </r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</si>
  <si>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</si>
  <si>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</si>
  <si>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</si>
  <si>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</si>
  <si>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</si>
  <si>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</si>
  <si>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(krajowa sieć obszarów wiejskich)</t>
  </si>
  <si>
    <t xml:space="preserve">Pomoc Techniczna Planu Strategicznego dla WPR na lata 2023-2027 - Schemat I - Wsparcie wdrażania Planu strategicznego WPR oraz utworzenie i funkcjonowanie KSOW+ (cz.1)
</t>
  </si>
  <si>
    <t xml:space="preserve">Pomoc Techniczna Planu Strategicznego dla WPR na lata 2023-2027 - Schemat I - Wsparcie wdrażania Planu strategicznego WPR oraz utworzenie i funkcjonowanie KSOW+ (cz.2)
</t>
  </si>
  <si>
    <t xml:space="preserve">Pomoc Techniczna Planu Strategicznego dla WPR na lata 2023-2027 - Schemat II - Wsparcie operacji realizowanych w ramach KSOW+ (cz.1)
</t>
  </si>
  <si>
    <t xml:space="preserve">Pomoc Techniczna Planu Strategicznego dla WPR na lata 2023-2027 - Schemat II - Wsparcie operacji realizowanych w ramach KSOW+ (cz.2)
</t>
  </si>
  <si>
    <t>Pomoc Techniczna Programu Fundusze Europejskie dla Rybactwa na lata 2021-2027</t>
  </si>
  <si>
    <t>Minister Funduszy i Polityki Regionalnej</t>
  </si>
  <si>
    <t xml:space="preserve">Punkty Informacyjne Funduszy Europejskich Województwa Kujawsko-Pomorskiego </t>
  </si>
  <si>
    <t>Regiony Rewitalizacji Edycja 3.0</t>
  </si>
  <si>
    <t>Wspieranie doradztwa metodycznego</t>
  </si>
  <si>
    <t>Objaśnienia: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</si>
  <si>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</si>
  <si>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</si>
  <si>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</si>
  <si>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</si>
  <si>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</si>
  <si>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 .04.2025 r.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</si>
  <si>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2025 rok"</t>
    </r>
    <r>
      <rPr>
        <sz val="10"/>
        <rFont val="Calibri"/>
        <family val="2"/>
        <charset val="238"/>
        <scheme val="minor"/>
      </rPr>
      <t xml:space="preserve"> do uchwały VIII/152/24 Sejmiku Województwa Kujawsko-Pomorskiego z dnia 16 grudnia 2024 r. w sprawie budżetu województwa na rok 2025 (z późn. zm.), wprowadza się następujące zmiany:</t>
    </r>
  </si>
  <si>
    <t>Dochody od JST</t>
  </si>
  <si>
    <t>Jednostka Samorządu Terytorialnego</t>
  </si>
  <si>
    <t>Województwo Mazowieckie</t>
  </si>
  <si>
    <t>Powiat Toruński
Miasto Toruń
Gmina Lubicz
Gmina Obrowo
Gmina Czernikowo</t>
  </si>
  <si>
    <t>Powiat Golubsko-Dobrzyński
Miasto Golub-Dobrzyń
Gmina Golub-Dobrzyń</t>
  </si>
  <si>
    <t>Powiat Toruński
Miasto Chełmża
Gmina Chełmża</t>
  </si>
  <si>
    <t>Powiat Toruński
Gmina Łysomice</t>
  </si>
  <si>
    <t>Powiat Grudziądzki
Miasto i Gmina Radzyń Chełmiński</t>
  </si>
  <si>
    <t>Powiat Brodnicki
Gmina Miasto Brodnica
Gmina Brodnica</t>
  </si>
  <si>
    <t>Powiat Sępoleński
Gmina Sępólno Krajeńskie</t>
  </si>
  <si>
    <t>Gmina Osielsko</t>
  </si>
  <si>
    <t>Opracowanie dokumentacji projektowej dla rozbudowy drogi wojewódzkiej nr 244 Kamieniec-Strzelce Dolne m. Żołędowo ul. Jastrzębia od km 30+068 do km 33+342, dł. 3,274 km</t>
  </si>
  <si>
    <t>Gmina Miasto Radziejów</t>
  </si>
  <si>
    <t>Rozbudowa drogi wojewódzkiej nr 266 ul. Szybka w Radziejowie od km 44+340 do km 45+730 o budowę ścieżki pieszo-rowerowej (wykup gruntu)</t>
  </si>
  <si>
    <t>Gmina Zławieś Wielka</t>
  </si>
  <si>
    <t>Budowa chodnika w miejscowości Zławieś Mała. Budowa kładki dla pieszych nad Kanałem Górnym dopływu Wisły (Drogowa Inicjatywa Samorządowa)</t>
  </si>
  <si>
    <t>Gminy
Powiaty</t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</si>
  <si>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</si>
  <si>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Wojewódzki program przeciwdziałania przemocy w rodzinie dla województwa kujawsko-pomorskiego do roku 2026</t>
  </si>
  <si>
    <t>92105
92195</t>
  </si>
  <si>
    <t>Miasto Bydgoszcz</t>
  </si>
  <si>
    <t>Bydgoski Festiwal Operowy</t>
  </si>
  <si>
    <t>Bydgoski Festiwal Muzyczny</t>
  </si>
  <si>
    <t>92105
92116</t>
  </si>
  <si>
    <t>Festiwal Książki Obrazkowej dla Dzieci "LiterObrazki"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</si>
  <si>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</si>
  <si>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</si>
  <si>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</si>
  <si>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Miasto Toruń</t>
  </si>
  <si>
    <t>Dofinansowanie działalności statutowej Wojewódzkiej Biblioteki Publicznej - Książnicy Kopernikańskiej w Toruniu</t>
  </si>
  <si>
    <t>Nowoczesna strefa kultury - biblioteka na osiedlu Szwederowo (Program BBO)
Wojewódzka i Miejska Biblioteka Publiczna w Bydgoszczy</t>
  </si>
  <si>
    <t xml:space="preserve">Nr    /       /25 Sejmiku Województwa </t>
  </si>
  <si>
    <t>L.p.</t>
  </si>
  <si>
    <t xml:space="preserve">Priorytet/
Działanie
</t>
  </si>
  <si>
    <t>Nazwa Projektu</t>
  </si>
  <si>
    <t>Realizator/
instytucja wdrażająca</t>
  </si>
  <si>
    <t>Klasyfikacja budżetowa
Dział
Rozdział</t>
  </si>
  <si>
    <t>Wydatki całkowite
 w tym:</t>
  </si>
  <si>
    <t>Przewidywane wykonanie do końca 2024 r. w tym:</t>
  </si>
  <si>
    <t>Wydatki 2025</t>
  </si>
  <si>
    <t>UE</t>
  </si>
  <si>
    <t>Wydatki
ogółem</t>
  </si>
  <si>
    <t>Unia Europejska</t>
  </si>
  <si>
    <t xml:space="preserve">Ogółem </t>
  </si>
  <si>
    <t>Krajowy wkład publiczny</t>
  </si>
  <si>
    <t>BP</t>
  </si>
  <si>
    <t>Budżet państwa</t>
  </si>
  <si>
    <t>Budżet Województwa</t>
  </si>
  <si>
    <t>Inne publiczne</t>
  </si>
  <si>
    <t>Środki własne</t>
  </si>
  <si>
    <t xml:space="preserve">Bieżące </t>
  </si>
  <si>
    <t>Inwestycyjne</t>
  </si>
  <si>
    <t>Bieżące</t>
  </si>
  <si>
    <t>8a</t>
  </si>
  <si>
    <t>9=10+13</t>
  </si>
  <si>
    <t>10=11+12</t>
  </si>
  <si>
    <t>13=14+17+20</t>
  </si>
  <si>
    <t>14=15+16</t>
  </si>
  <si>
    <t>17=18+19</t>
  </si>
  <si>
    <t>20=21+22</t>
  </si>
  <si>
    <t>Wydatki realizowane i nadzorowane przez wojewódzkie jednostki organizacyjne</t>
  </si>
  <si>
    <t>01.02</t>
  </si>
  <si>
    <t>720
72095</t>
  </si>
  <si>
    <t>2023 - 2027</t>
  </si>
  <si>
    <t>01.03</t>
  </si>
  <si>
    <t>Kujawy + Pomorze - promocja potencjału gospodarczego regionu - edycja III</t>
  </si>
  <si>
    <t>750
75075</t>
  </si>
  <si>
    <t>2023 - 2026</t>
  </si>
  <si>
    <t>Akredytacja usług Instytucji Otoczenia Biznesu oraz wsparcie dla przedsiębiorstw na zakup akredytowanych usług doradczych</t>
  </si>
  <si>
    <t>150
15011</t>
  </si>
  <si>
    <t>2024 - 2028</t>
  </si>
  <si>
    <t>2024 - 2029</t>
  </si>
  <si>
    <t>02.09</t>
  </si>
  <si>
    <t>Przedłużanie żywotności drzew i nasadzenia przy drodze wojewódzkiej nr 266</t>
  </si>
  <si>
    <t>Zarząd Dróg Wojewódzkich 
w Bydgoszczy</t>
  </si>
  <si>
    <t>600
60013</t>
  </si>
  <si>
    <t>02.15</t>
  </si>
  <si>
    <t>Zielone znam - o zielone dbam - edukacja ekologiczna w parkach krajobrazowych</t>
  </si>
  <si>
    <t>Urząd Marszałkowski w Toruniu
oraz parki krajobrazowe</t>
  </si>
  <si>
    <t>925
92502</t>
  </si>
  <si>
    <t>Realizacja funkcji Rezerwatu Biosfery Bory Tucholskie przez Województwo Kujawsko-Pomorskie</t>
  </si>
  <si>
    <t>Tucholski Park Krajobrazowy 
w Tucholi</t>
  </si>
  <si>
    <t>Ochrona różnorodności biologicznej poprzez ochronę owadów zapylających na terenie województwa kujawsko-pomorskiego</t>
  </si>
  <si>
    <t>Gostynińsko-Włocławski Park Krajobrazowy 
w Kowalu</t>
  </si>
  <si>
    <t>04.03</t>
  </si>
  <si>
    <t>Modernizacja dróg wojewódzkich w zakresie wyeliminowania miejsc niebezpiecznych - poprawa bezpieczeństwa ruchu drogowego - część I</t>
  </si>
  <si>
    <t>2023 - 2025</t>
  </si>
  <si>
    <t>Budowa II etapu obwodnicy Mogilna</t>
  </si>
  <si>
    <t>06.08</t>
  </si>
  <si>
    <t>Przebudowa budynków oraz remont przy ul. M. Skłodowskiej-Curie 27/29 w Toruniu na potrzeby powstania Regionalnego Centrum Wsparcia  i Opieki dla osób z niepełnosprawnością</t>
  </si>
  <si>
    <t>852
85295</t>
  </si>
  <si>
    <t>2022 - 2025</t>
  </si>
  <si>
    <t>06.11</t>
  </si>
  <si>
    <t>921
92120</t>
  </si>
  <si>
    <t>2024 - 2025</t>
  </si>
  <si>
    <t>08.08</t>
  </si>
  <si>
    <t>Opracowanie programów profilaktycznych dot. chorób związanych z miejscem pracy oraz programów rehabilitacji medycznej</t>
  </si>
  <si>
    <t>851
85149</t>
  </si>
  <si>
    <t>Zdrowo Zakręceni</t>
  </si>
  <si>
    <t>851
85195</t>
  </si>
  <si>
    <t>Zdrowiej w pracy i po pracy - II edycja</t>
  </si>
  <si>
    <t>Wojewódzki Urząd Pracy
w Toruniu</t>
  </si>
  <si>
    <t>853
85332</t>
  </si>
  <si>
    <t>Poprawa ergonomii pracy w Regionalnym Ośrodku Polityki Społecznej w Toruniu</t>
  </si>
  <si>
    <t>852
85217</t>
  </si>
  <si>
    <t>08.11</t>
  </si>
  <si>
    <t>Urząd Marszałkowski w Toruniu /KPCEN w Bydgoszczy</t>
  </si>
  <si>
    <t>801
80104</t>
  </si>
  <si>
    <t>2024 - 2026</t>
  </si>
  <si>
    <t>08.14</t>
  </si>
  <si>
    <t>Urząd Marszałkowski w Toruniu /KPCEN w Toruniu/ KPCEN we Włocławku</t>
  </si>
  <si>
    <t>801
80195</t>
  </si>
  <si>
    <t>Kierunek - Zawód</t>
  </si>
  <si>
    <t>Wojewódzki Urząd Pracy 
w Toruniu</t>
  </si>
  <si>
    <t>2025 - 2027</t>
  </si>
  <si>
    <t>08.18</t>
  </si>
  <si>
    <t>Prymus Pomorza i Kujaw II</t>
  </si>
  <si>
    <t>854
85416</t>
  </si>
  <si>
    <t>Zawodowe Talenty Kujaw i Pomorza</t>
  </si>
  <si>
    <t>08.19</t>
  </si>
  <si>
    <t>Kierunek - Rozwój</t>
  </si>
  <si>
    <t>150
15013</t>
  </si>
  <si>
    <t>08.21</t>
  </si>
  <si>
    <t>853
85395</t>
  </si>
  <si>
    <t>08.23</t>
  </si>
  <si>
    <t>Kierunek - Integracja</t>
  </si>
  <si>
    <t>08.24</t>
  </si>
  <si>
    <t>Opracowanie programów profilaktycznych zapobiegających chorobom stanowiącym poważny problem w regionie</t>
  </si>
  <si>
    <t>Opieka długoterminowa - kształenie kadr Etap I</t>
  </si>
  <si>
    <t>Regionalny Ośrodek Polityki Społecznej
 w Toruniu</t>
  </si>
  <si>
    <t>08.25</t>
  </si>
  <si>
    <t>Wykluczenie - nie ma MOWY! 2 - etap I"</t>
  </si>
  <si>
    <t>855
85595</t>
  </si>
  <si>
    <t>Wydatki realizowane w ramach pomocy technicznej</t>
  </si>
  <si>
    <t>09.01</t>
  </si>
  <si>
    <t>Wsparcie procesu zarządzania i wdrażania FEdKP</t>
  </si>
  <si>
    <t xml:space="preserve">Urząd Marszałkowski w Toruniu </t>
  </si>
  <si>
    <t>750
75018</t>
  </si>
  <si>
    <t>2025 - 2029</t>
  </si>
  <si>
    <t>Wsparcie procesu zarządzania i wdrażania FEdKP (ZIT Bydgoszcz)</t>
  </si>
  <si>
    <t>750
75095</t>
  </si>
  <si>
    <t>09.02</t>
  </si>
  <si>
    <t>Skuteczna informacja i komunikacja FEdKP</t>
  </si>
  <si>
    <t>Skuteczna informacja i komunikacja FEdKP (ZIT Bydgoszcz)</t>
  </si>
  <si>
    <t>2025 - 2028</t>
  </si>
  <si>
    <t>10.01</t>
  </si>
  <si>
    <t xml:space="preserve">Wydatki realizowane w ramach pomocy technicznej </t>
  </si>
  <si>
    <t>Działania i projekty realizowane przez beneficjentów zewnętrznych, którym samorząd województwa przekazuje dotacje na współfinansowanie krajowe</t>
  </si>
  <si>
    <t>Priorytet 02</t>
  </si>
  <si>
    <t>Fundusze europejskie dla czystej energii i ochrony zasobów środowiska regionu</t>
  </si>
  <si>
    <t>900
90095</t>
  </si>
  <si>
    <t>Priorytet 04</t>
  </si>
  <si>
    <t>Fundusze europejskie na rzecz spójności i dostępności komunikacyjnej regionu</t>
  </si>
  <si>
    <t>600
60095</t>
  </si>
  <si>
    <t>Priorytet 05</t>
  </si>
  <si>
    <t>Fundusze europejskie na wzmacnianie potencjałów endogenicznych regionu</t>
  </si>
  <si>
    <t>750.75095
900.90095
921.92195
926.92695</t>
  </si>
  <si>
    <t>Fundusze europejskie na wzmacnianie potencjałów endogenicznych regionu (IP ZIT)</t>
  </si>
  <si>
    <t>Priorytet 06</t>
  </si>
  <si>
    <t>Fundusze europejskie na rzecz zwiększenia dostępności regionalnej infrastruktury dla mieszkańców</t>
  </si>
  <si>
    <t>801.80195 852.85295 926.92695</t>
  </si>
  <si>
    <t>Fundusze europejskie na rzecz zwiększenia dostępności regionalnej infrastruktury dla mieszkańców (IP ZIT)</t>
  </si>
  <si>
    <t>Priorytet 08</t>
  </si>
  <si>
    <t>Fundusze europejskie na wsparcie w obszarze rynku pracy, edukacji i włączenia społecznego</t>
  </si>
  <si>
    <t>150.15095
801.80195
851.85195
852.85295
853.85395</t>
  </si>
  <si>
    <t>Fundusze europejskie na wsparcie w obszarze rynku pracy, edukacji i włączenia społecznego (IP ZIT)</t>
  </si>
  <si>
    <t>Plan po zmianie</t>
  </si>
  <si>
    <t>Załącznik nr 6 do uchwały</t>
  </si>
  <si>
    <r>
      <t xml:space="preserve">W załączniku nr 6 pn. </t>
    </r>
    <r>
      <rPr>
        <b/>
        <sz val="10"/>
        <rFont val="Calibri"/>
        <family val="2"/>
        <charset val="238"/>
      </rPr>
      <t>"Projekty i działania realizowane w ramach Programu Fundusze Europejskie dla Kujaw i Pomorza 2021-2027. Plan na 2025 rok"</t>
    </r>
    <r>
      <rPr>
        <sz val="10"/>
        <rFont val="Calibri"/>
        <family val="2"/>
        <charset val="238"/>
      </rPr>
      <t xml:space="preserve"> do uchwały VIII/152/24 Sejmiku Województwa Kujawsko-Pomorskiego z dnia 16 grudnia 2024 r. w sprawie budżetu województwa na rok 2025 (ze zm.) wprowadza się następujące zmiany: </t>
    </r>
  </si>
  <si>
    <t>Nr    /      /25 Sejmiku Województwa</t>
  </si>
  <si>
    <t xml:space="preserve">Program/ Działanie </t>
  </si>
  <si>
    <t xml:space="preserve">Wydatki realizowane przez wojewódzkie jednostki organizacyjne </t>
  </si>
  <si>
    <t>PT FE
Działanie 2.01</t>
  </si>
  <si>
    <t>Punkty Informacyjne Funduszy Europejskich WK-P</t>
  </si>
  <si>
    <t>PPTFE</t>
  </si>
  <si>
    <t>2024 - 2027</t>
  </si>
  <si>
    <t>FERS
Działanie 4.13</t>
  </si>
  <si>
    <t>Koordynacja spójnej polityki społecznej Kujaw i Pomorza</t>
  </si>
  <si>
    <t>ROPS
w Toruniu</t>
  </si>
  <si>
    <t>2023 - 2028</t>
  </si>
  <si>
    <t>Krajowy Plan Odbudowy</t>
  </si>
  <si>
    <t xml:space="preserve">Zbudowanie systemu koordynacji i monitorowania regionalnych działań na rzecz kształcenia zawodowego, szkolnictwa wyższego oraz uczenia się przez całe życie, w tym uczenia się dorosłych - KPO </t>
  </si>
  <si>
    <t xml:space="preserve">PROW
Pomoc Techniczna </t>
  </si>
  <si>
    <t>Schemat I - Wzmocnienie systemu wdrażania Programu</t>
  </si>
  <si>
    <t>010
01041</t>
  </si>
  <si>
    <t>2015 - 2025</t>
  </si>
  <si>
    <t>Schemat II - Wsparcie funkcjonowania krajowej sieci obszarów wiejskich oraz realizacja działań informacyjno-promocyjnych PROW 2014-2020  (krajowa sieć obszarów wiejskich)</t>
  </si>
  <si>
    <t xml:space="preserve"> Plan Strategiczny dla WPR 
Pomoc Techniczna
 </t>
  </si>
  <si>
    <t>Schemat I - Wsparcie wdrażania Planu Strategicznego WPR oraz utworzenie i funkcjonowanie KSOW+ (cz. 1)</t>
  </si>
  <si>
    <t xml:space="preserve"> Urzęd Marszałkowski 
w Toruniu </t>
  </si>
  <si>
    <t>010
01045</t>
  </si>
  <si>
    <t>Schemat I - Wsparcie wdrażania Planu Strategicznego WPR oraz utworzenie i funkcjonowanie KSOW+ (cz. 2)</t>
  </si>
  <si>
    <t>Schemat II - Wsparcie operacji realizowanych w ramach KSOW+ (cz.1)</t>
  </si>
  <si>
    <t>Schemat II - Wsparcie operacji realizowanych w ramach KSOW+ (cz. 2)</t>
  </si>
  <si>
    <t>FER 
Pomoc Techniczna</t>
  </si>
  <si>
    <t>050
05011</t>
  </si>
  <si>
    <t>INTERREG 
Europa</t>
  </si>
  <si>
    <t>CARES</t>
  </si>
  <si>
    <t>Urząd Marszałkowski w Toruniu/
ROPS w Toruniu</t>
  </si>
  <si>
    <t>INTERREG 
Europa Środkowa</t>
  </si>
  <si>
    <t>TeBiCE</t>
  </si>
  <si>
    <t>INTERREG Europa Środkowa</t>
  </si>
  <si>
    <t>DARKERSKY4CE</t>
  </si>
  <si>
    <t>Horyzont Europa</t>
  </si>
  <si>
    <t>DANUBE4all</t>
  </si>
  <si>
    <t>INTERREG Europa</t>
  </si>
  <si>
    <t>RIWET</t>
  </si>
  <si>
    <t>GreenSPAS</t>
  </si>
  <si>
    <t>REliHE</t>
  </si>
  <si>
    <t>921
92195</t>
  </si>
  <si>
    <t>FISSH</t>
  </si>
  <si>
    <t>150
15095</t>
  </si>
  <si>
    <t>ENLIA</t>
  </si>
  <si>
    <t>SMOOTY</t>
  </si>
  <si>
    <t>Erasmus+</t>
  </si>
  <si>
    <t>i-DEMO</t>
  </si>
  <si>
    <t>630
63095</t>
  </si>
  <si>
    <t>Life Magister - Wzmocnienie pozycji profesjonalistów zajmujących się opieką nad osobami starszymi i opiekunów</t>
  </si>
  <si>
    <t>Załącznik nr 7 do uchwały</t>
  </si>
  <si>
    <t>z dnia     .04.2025 r.</t>
  </si>
  <si>
    <r>
      <t xml:space="preserve">W załączniku nr 7 pn. </t>
    </r>
    <r>
      <rPr>
        <b/>
        <sz val="10"/>
        <rFont val="Calibri"/>
        <family val="2"/>
        <charset val="238"/>
      </rPr>
      <t xml:space="preserve">"Pozostałe projekty i działania realizowane ze środków zagranicznych. Plan na 2025 rok" </t>
    </r>
    <r>
      <rPr>
        <sz val="10"/>
        <rFont val="Calibri"/>
        <family val="2"/>
        <charset val="238"/>
      </rPr>
      <t xml:space="preserve">do uchwały VIII/152/24 Sejmiku Województwa Kujawsko-Pomorskiego z dnia 16 grudnia 2024 r. w sprawie budżetu województwa na rok 2025 (ze zm.) wprowadza się następujące zmiany: </t>
    </r>
  </si>
  <si>
    <t xml:space="preserve">w złotych </t>
  </si>
  <si>
    <t>Załącznik nr 8 do uchwały</t>
  </si>
  <si>
    <t>Załącznik nr 9 do uchwały Nr     /       /25</t>
  </si>
  <si>
    <r>
      <t xml:space="preserve">W załączniku nr 10 </t>
    </r>
    <r>
      <rPr>
        <b/>
        <sz val="10"/>
        <rFont val="Calibri"/>
        <family val="2"/>
        <charset val="238"/>
        <scheme val="minor"/>
      </rPr>
      <t>"Dochody i wydatki na zadania związane ze szczególnymi zasadami wykonywania budżetu wynikające z odrębnych ustaw.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wojewodztwa na rok 2025 (z późn. zm.), wprowadza się następujące zmiany: </t>
    </r>
  </si>
  <si>
    <t>rozdział/
paragraf</t>
  </si>
  <si>
    <t xml:space="preserve">Wyszczególnienie 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</si>
  <si>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</si>
  <si>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</si>
  <si>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</si>
  <si>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</si>
  <si>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</si>
  <si>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Opłaty związane z wyłączeniem z produkcji gruntów rolnych</t>
  </si>
  <si>
    <t>0690</t>
  </si>
  <si>
    <t>Wpływy z różnych opłat</t>
  </si>
  <si>
    <t>0910</t>
  </si>
  <si>
    <t>Wpływy z odsetek od nieterminowych wpłat z tytułu podatków i opłat</t>
  </si>
  <si>
    <t>Dodatkowe wynagrodzenie roczne</t>
  </si>
  <si>
    <t>Szkolenia pracowników niebędących członkami korpusu służby cywilnej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</si>
  <si>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</si>
  <si>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</si>
  <si>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ustawa z dnia 23 października 2018 r. o Rządowym Funduszu Rozwoju Dróg</t>
  </si>
  <si>
    <t>Środki z Rządowego Funduszu Rozwoju Dróg</t>
  </si>
  <si>
    <t>6290</t>
  </si>
  <si>
    <t>Środki na dofinansowanie własnych inwestycji gmin, powiatów (związków gmin, zwiazków powiatowo-gminnych, związków powiatów), samorządów województw, pozyskane z innych źródeł</t>
  </si>
  <si>
    <t>Przygotowanie i realizacja zadań w ramach Rządowego Funduszu Rozwoju Dróg (przebudowa dróg wojewódzkich o znaczeniu obronnym)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</si>
  <si>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</si>
  <si>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t>Środki z Rządowego Funduszu Polski Ład: Program Inwestycji Strategicznych</t>
  </si>
  <si>
    <t>Wydatki jednostek poniesione ze środków z Rządowego Funduszu Polski Ład: Program Inwestycji Strategicznych na realizację zadań inwestycyjnych</t>
  </si>
  <si>
    <t>Poprawa warunków obsługi i rozwoju terenu Brzeskiej Strefy Gospodarczej poprzez modernizację drogi wojewódzkiej Nr 268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</si>
  <si>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</si>
  <si>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</si>
  <si>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</si>
  <si>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</si>
  <si>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</si>
  <si>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Nagrody konkursowe</t>
  </si>
  <si>
    <t>GRANTY-Przeciwdziałanie narkomanii w woj. kujawsko-pomorskim</t>
  </si>
  <si>
    <t>GRANTY-Aktywizacja środowisk wiejskich w zakresie rozwiazywania problemów alkoholowych, narkomanii i uzależnień</t>
  </si>
  <si>
    <t>GRANTY-Rozwiązywanie problemów alkoholowych w woj. kujawsko-pomorskim</t>
  </si>
  <si>
    <t>WOTUiW w Toruniu - Podniesienie funkcjonalności WOTUiW w Toruniu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</si>
  <si>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</si>
  <si>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</si>
  <si>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</si>
  <si>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</si>
  <si>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</si>
  <si>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</si>
  <si>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</si>
  <si>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</si>
  <si>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</si>
  <si>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</si>
  <si>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</si>
  <si>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</si>
  <si>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</si>
  <si>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</si>
  <si>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</si>
  <si>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przedsiębiorców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</si>
  <si>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</si>
  <si>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</si>
  <si>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>Opłata konsumencka SUP (Single Use Plastic)</t>
  </si>
  <si>
    <t>Realizacja ustawy o obowiązkach przedsiębiorców w zakresie gospodarowania niektórymi odpadami oraz o opłacie produktowej (opłata konsumencka SUP)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</si>
  <si>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</si>
  <si>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</si>
  <si>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</si>
  <si>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</si>
  <si>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</si>
  <si>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</si>
  <si>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</si>
  <si>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</si>
  <si>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</si>
  <si>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</si>
  <si>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</si>
  <si>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</si>
  <si>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ustawa z dnia 12 marca 2022 r. o pomocy obywatelom Ukrainy w związku z konfliktem zbrojnym na terytorium tego państwa</t>
  </si>
  <si>
    <t>Środki z Funduszu Pomocy</t>
  </si>
  <si>
    <t>2100</t>
  </si>
  <si>
    <t>Środki z Funduszu Pomocy na finansowanie lub dofinansowanie zadań bieżących w zakresie pomocy obywatelom Ukrainy</t>
  </si>
  <si>
    <t xml:space="preserve">Fundusz Pomocy </t>
  </si>
  <si>
    <t>Zakup usług związanych z pomocą obywatelom Ukrainy</t>
  </si>
  <si>
    <t xml:space="preserve">Środki z Funduszu Pomocy </t>
  </si>
  <si>
    <t>Wynagrodzenia nauczycieli wypłacane w związku z pomocą obywatelom Ukrainy</t>
  </si>
  <si>
    <t>Składki i inne pochodne od wynagrodzeń pracowników wypłacanych w związku z pomocą obywatelom Ukrainy</t>
  </si>
  <si>
    <t>Ogółem:</t>
  </si>
  <si>
    <t>Załącznik nr 10 do uchwały</t>
  </si>
  <si>
    <t xml:space="preserve">z dnia    .04.2025 r. </t>
  </si>
  <si>
    <t xml:space="preserve">                                                                              Załącznik nr 11 do uchwały Nr   /     /25</t>
  </si>
  <si>
    <t>Załącznik nr 12 do uchwały Nr    /    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</si>
</sst>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36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2" fillId="0" borderId="0"/>
    <xf numFmtId="0" fontId="28" fillId="0" borderId="0"/>
    <xf numFmtId="0" fontId="10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71" fillId="0" borderId="0"/>
    <xf numFmtId="0" fontId="71" fillId="0" borderId="0"/>
    <xf numFmtId="0" fontId="1" fillId="0" borderId="0"/>
    <xf numFmtId="0" fontId="12" fillId="0" borderId="0"/>
  </cellStyleXfs>
  <cellXfs count="1169">
    <xf numFmtId="0" fontId="0" fillId="0" borderId="0" xfId="0"/>
    <xf numFmtId="49" fontId="15" fillId="0" borderId="0" xfId="10" applyNumberFormat="1" applyFont="1" applyAlignment="1">
      <alignment horizontal="center" vertical="center"/>
    </xf>
    <xf numFmtId="49" fontId="16" fillId="0" borderId="0" xfId="10" applyNumberFormat="1" applyFont="1" applyAlignment="1">
      <alignment horizontal="center" vertical="center" wrapText="1"/>
    </xf>
    <xf numFmtId="0" fontId="15" fillId="0" borderId="0" xfId="10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0" applyFont="1" applyAlignment="1">
      <alignment horizontal="center" vertical="center"/>
    </xf>
    <xf numFmtId="2" fontId="16" fillId="0" borderId="0" xfId="10" applyNumberFormat="1" applyFont="1" applyAlignment="1">
      <alignment horizontal="center" vertical="center"/>
    </xf>
    <xf numFmtId="2" fontId="15" fillId="0" borderId="0" xfId="10" applyNumberFormat="1" applyFont="1" applyAlignment="1">
      <alignment horizontal="center" vertical="center" wrapText="1"/>
    </xf>
    <xf numFmtId="2" fontId="16" fillId="0" borderId="3" xfId="10" applyNumberFormat="1" applyFont="1" applyBorder="1" applyAlignment="1">
      <alignment horizontal="center" vertical="center" wrapText="1"/>
    </xf>
    <xf numFmtId="2" fontId="16" fillId="0" borderId="4" xfId="10" applyNumberFormat="1" applyFont="1" applyBorder="1" applyAlignment="1">
      <alignment horizontal="center" vertical="center" wrapText="1"/>
    </xf>
    <xf numFmtId="49" fontId="18" fillId="0" borderId="5" xfId="10" applyNumberFormat="1" applyFont="1" applyBorder="1" applyAlignment="1">
      <alignment horizontal="center" vertical="center" wrapText="1"/>
    </xf>
    <xf numFmtId="49" fontId="17" fillId="0" borderId="3" xfId="10" applyNumberFormat="1" applyFont="1" applyBorder="1" applyAlignment="1">
      <alignment horizontal="center" vertical="center" wrapText="1"/>
    </xf>
    <xf numFmtId="49" fontId="17" fillId="0" borderId="5" xfId="10" applyNumberFormat="1" applyFont="1" applyBorder="1" applyAlignment="1">
      <alignment horizontal="center" vertical="center" wrapText="1"/>
    </xf>
    <xf numFmtId="49" fontId="17" fillId="0" borderId="4" xfId="10" applyNumberFormat="1" applyFont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49" fontId="19" fillId="0" borderId="6" xfId="10" applyNumberFormat="1" applyFont="1" applyBorder="1" applyAlignment="1">
      <alignment horizontal="center" vertical="center" wrapText="1"/>
    </xf>
    <xf numFmtId="49" fontId="20" fillId="0" borderId="6" xfId="10" applyNumberFormat="1" applyFont="1" applyBorder="1" applyAlignment="1">
      <alignment horizontal="center" vertical="center" wrapText="1"/>
    </xf>
    <xf numFmtId="49" fontId="17" fillId="0" borderId="6" xfId="10" applyNumberFormat="1" applyFont="1" applyBorder="1" applyAlignment="1">
      <alignment horizontal="center" vertical="center" wrapText="1"/>
    </xf>
    <xf numFmtId="49" fontId="17" fillId="0" borderId="7" xfId="10" applyNumberFormat="1" applyFont="1" applyBorder="1" applyAlignment="1">
      <alignment horizontal="center" vertical="center" wrapText="1"/>
    </xf>
    <xf numFmtId="3" fontId="16" fillId="0" borderId="3" xfId="10" applyNumberFormat="1" applyFont="1" applyBorder="1" applyAlignment="1">
      <alignment horizontal="center" vertical="center" wrapText="1"/>
    </xf>
    <xf numFmtId="3" fontId="16" fillId="0" borderId="0" xfId="10" applyNumberFormat="1" applyFont="1" applyAlignment="1">
      <alignment vertical="center" wrapText="1"/>
    </xf>
    <xf numFmtId="3" fontId="16" fillId="0" borderId="10" xfId="10" applyNumberFormat="1" applyFont="1" applyBorder="1" applyAlignment="1">
      <alignment horizontal="left" vertical="center" wrapText="1"/>
    </xf>
    <xf numFmtId="3" fontId="16" fillId="0" borderId="6" xfId="10" applyNumberFormat="1" applyFont="1" applyBorder="1" applyAlignment="1">
      <alignment horizontal="left" vertical="center" wrapText="1"/>
    </xf>
    <xf numFmtId="4" fontId="15" fillId="0" borderId="0" xfId="10" applyNumberFormat="1" applyFont="1" applyAlignment="1">
      <alignment vertical="center"/>
    </xf>
    <xf numFmtId="49" fontId="16" fillId="0" borderId="10" xfId="10" applyNumberFormat="1" applyFont="1" applyBorder="1" applyAlignment="1">
      <alignment horizontal="left" vertical="center" wrapText="1"/>
    </xf>
    <xf numFmtId="49" fontId="16" fillId="0" borderId="10" xfId="10" applyNumberFormat="1" applyFont="1" applyBorder="1" applyAlignment="1">
      <alignment vertical="center"/>
    </xf>
    <xf numFmtId="49" fontId="16" fillId="0" borderId="6" xfId="10" applyNumberFormat="1" applyFont="1" applyBorder="1" applyAlignment="1">
      <alignment horizontal="center" vertical="center"/>
    </xf>
    <xf numFmtId="49" fontId="16" fillId="0" borderId="10" xfId="10" applyNumberFormat="1" applyFont="1" applyBorder="1" applyAlignment="1">
      <alignment horizontal="center" vertical="center"/>
    </xf>
    <xf numFmtId="49" fontId="16" fillId="0" borderId="6" xfId="10" applyNumberFormat="1" applyFont="1" applyBorder="1" applyAlignment="1">
      <alignment horizontal="left" vertical="center" wrapText="1"/>
    </xf>
    <xf numFmtId="49" fontId="16" fillId="0" borderId="5" xfId="1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wrapText="1"/>
    </xf>
    <xf numFmtId="3" fontId="25" fillId="0" borderId="0" xfId="0" applyNumberFormat="1" applyFont="1"/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49" fontId="17" fillId="0" borderId="14" xfId="10" applyNumberFormat="1" applyFont="1" applyBorder="1" applyAlignment="1">
      <alignment horizontal="center" vertical="center" wrapText="1"/>
    </xf>
    <xf numFmtId="49" fontId="16" fillId="0" borderId="5" xfId="10" applyNumberFormat="1" applyFont="1" applyBorder="1" applyAlignment="1">
      <alignment horizontal="center" vertical="center" wrapText="1"/>
    </xf>
    <xf numFmtId="49" fontId="16" fillId="0" borderId="14" xfId="10" applyNumberFormat="1" applyFont="1" applyBorder="1" applyAlignment="1">
      <alignment horizontal="center" vertical="center" wrapText="1"/>
    </xf>
    <xf numFmtId="49" fontId="16" fillId="0" borderId="5" xfId="10" applyNumberFormat="1" applyFont="1" applyBorder="1" applyAlignment="1">
      <alignment vertical="center"/>
    </xf>
    <xf numFmtId="49" fontId="16" fillId="0" borderId="14" xfId="10" applyNumberFormat="1" applyFont="1" applyBorder="1" applyAlignment="1">
      <alignment horizontal="center" vertical="center"/>
    </xf>
    <xf numFmtId="49" fontId="15" fillId="0" borderId="1" xfId="10" applyNumberFormat="1" applyFont="1" applyBorder="1" applyAlignment="1">
      <alignment horizontal="center" vertical="center" wrapText="1"/>
    </xf>
    <xf numFmtId="4" fontId="15" fillId="0" borderId="0" xfId="10" applyNumberFormat="1" applyFont="1" applyAlignment="1">
      <alignment vertical="center" wrapText="1"/>
    </xf>
    <xf numFmtId="4" fontId="15" fillId="0" borderId="3" xfId="10" applyNumberFormat="1" applyFont="1" applyBorder="1" applyAlignment="1">
      <alignment horizontal="right" vertical="center" wrapText="1"/>
    </xf>
    <xf numFmtId="4" fontId="16" fillId="0" borderId="3" xfId="10" applyNumberFormat="1" applyFont="1" applyBorder="1" applyAlignment="1">
      <alignment horizontal="right" vertical="center" wrapText="1"/>
    </xf>
    <xf numFmtId="4" fontId="16" fillId="0" borderId="5" xfId="10" applyNumberFormat="1" applyFont="1" applyBorder="1" applyAlignment="1">
      <alignment horizontal="right" vertical="center" wrapText="1"/>
    </xf>
    <xf numFmtId="4" fontId="16" fillId="0" borderId="10" xfId="10" applyNumberFormat="1" applyFont="1" applyBorder="1" applyAlignment="1">
      <alignment horizontal="right" vertical="center" wrapText="1"/>
    </xf>
    <xf numFmtId="4" fontId="16" fillId="0" borderId="4" xfId="10" applyNumberFormat="1" applyFont="1" applyBorder="1" applyAlignment="1">
      <alignment horizontal="right" vertical="center" wrapText="1"/>
    </xf>
    <xf numFmtId="4" fontId="16" fillId="0" borderId="11" xfId="10" applyNumberFormat="1" applyFont="1" applyBorder="1" applyAlignment="1">
      <alignment horizontal="right" vertical="center" wrapText="1"/>
    </xf>
    <xf numFmtId="4" fontId="16" fillId="0" borderId="12" xfId="10" applyNumberFormat="1" applyFont="1" applyBorder="1" applyAlignment="1">
      <alignment horizontal="right" vertical="center" wrapText="1"/>
    </xf>
    <xf numFmtId="4" fontId="16" fillId="0" borderId="13" xfId="10" applyNumberFormat="1" applyFont="1" applyBorder="1" applyAlignment="1">
      <alignment horizontal="right" vertical="center" wrapText="1"/>
    </xf>
    <xf numFmtId="4" fontId="16" fillId="0" borderId="2" xfId="10" applyNumberFormat="1" applyFont="1" applyBorder="1" applyAlignment="1">
      <alignment horizontal="right" vertical="center" wrapText="1"/>
    </xf>
    <xf numFmtId="4" fontId="15" fillId="0" borderId="10" xfId="10" applyNumberFormat="1" applyFont="1" applyBorder="1" applyAlignment="1">
      <alignment horizontal="right" vertical="center" wrapText="1"/>
    </xf>
    <xf numFmtId="4" fontId="16" fillId="0" borderId="3" xfId="10" applyNumberFormat="1" applyFont="1" applyBorder="1" applyAlignment="1">
      <alignment vertical="center"/>
    </xf>
    <xf numFmtId="4" fontId="16" fillId="0" borderId="10" xfId="10" applyNumberFormat="1" applyFont="1" applyBorder="1" applyAlignment="1">
      <alignment vertical="center"/>
    </xf>
    <xf numFmtId="4" fontId="16" fillId="0" borderId="4" xfId="10" applyNumberFormat="1" applyFont="1" applyBorder="1" applyAlignment="1">
      <alignment vertical="center"/>
    </xf>
    <xf numFmtId="4" fontId="15" fillId="0" borderId="8" xfId="10" applyNumberFormat="1" applyFont="1" applyBorder="1" applyAlignment="1">
      <alignment vertical="center"/>
    </xf>
    <xf numFmtId="4" fontId="16" fillId="0" borderId="10" xfId="10" applyNumberFormat="1" applyFont="1" applyBorder="1" applyAlignment="1">
      <alignment horizontal="center" vertical="center"/>
    </xf>
    <xf numFmtId="4" fontId="16" fillId="0" borderId="3" xfId="10" applyNumberFormat="1" applyFont="1" applyBorder="1" applyAlignment="1">
      <alignment horizontal="center" vertical="center"/>
    </xf>
    <xf numFmtId="4" fontId="16" fillId="0" borderId="5" xfId="10" applyNumberFormat="1" applyFont="1" applyBorder="1" applyAlignment="1">
      <alignment vertical="center"/>
    </xf>
    <xf numFmtId="4" fontId="16" fillId="0" borderId="0" xfId="10" applyNumberFormat="1" applyFont="1" applyAlignment="1">
      <alignment vertical="center"/>
    </xf>
    <xf numFmtId="4" fontId="16" fillId="0" borderId="8" xfId="10" applyNumberFormat="1" applyFont="1" applyBorder="1" applyAlignment="1">
      <alignment vertical="center"/>
    </xf>
    <xf numFmtId="4" fontId="16" fillId="0" borderId="7" xfId="10" applyNumberFormat="1" applyFont="1" applyBorder="1" applyAlignment="1">
      <alignment vertical="center"/>
    </xf>
    <xf numFmtId="4" fontId="16" fillId="0" borderId="14" xfId="10" applyNumberFormat="1" applyFont="1" applyBorder="1" applyAlignment="1">
      <alignment vertical="center"/>
    </xf>
    <xf numFmtId="4" fontId="16" fillId="0" borderId="6" xfId="10" applyNumberFormat="1" applyFont="1" applyBorder="1" applyAlignment="1">
      <alignment vertical="center"/>
    </xf>
    <xf numFmtId="4" fontId="16" fillId="0" borderId="15" xfId="10" applyNumberFormat="1" applyFont="1" applyBorder="1" applyAlignment="1">
      <alignment vertical="center"/>
    </xf>
    <xf numFmtId="4" fontId="15" fillId="0" borderId="6" xfId="10" applyNumberFormat="1" applyFont="1" applyBorder="1" applyAlignment="1">
      <alignment horizontal="right" vertical="center" wrapText="1"/>
    </xf>
    <xf numFmtId="3" fontId="22" fillId="0" borderId="0" xfId="10" applyNumberFormat="1" applyFont="1" applyAlignment="1">
      <alignment horizontal="center" vertical="center" wrapText="1"/>
    </xf>
    <xf numFmtId="4" fontId="22" fillId="0" borderId="0" xfId="10" applyNumberFormat="1" applyFont="1" applyAlignment="1">
      <alignment vertical="center" wrapText="1"/>
    </xf>
    <xf numFmtId="4" fontId="15" fillId="0" borderId="0" xfId="10" applyNumberFormat="1" applyFont="1" applyAlignment="1">
      <alignment horizontal="right" vertical="center" wrapText="1"/>
    </xf>
    <xf numFmtId="4" fontId="15" fillId="0" borderId="8" xfId="10" applyNumberFormat="1" applyFont="1" applyBorder="1" applyAlignment="1">
      <alignment horizontal="right" vertical="center" wrapText="1"/>
    </xf>
    <xf numFmtId="4" fontId="15" fillId="0" borderId="9" xfId="10" applyNumberFormat="1" applyFont="1" applyBorder="1" applyAlignment="1">
      <alignment horizontal="right" vertical="center" wrapText="1"/>
    </xf>
    <xf numFmtId="3" fontId="16" fillId="0" borderId="0" xfId="10" applyNumberFormat="1" applyFont="1" applyAlignment="1">
      <alignment horizontal="center" vertical="center" wrapText="1"/>
    </xf>
    <xf numFmtId="0" fontId="23" fillId="0" borderId="0" xfId="10" applyFont="1" applyAlignment="1">
      <alignment vertical="center"/>
    </xf>
    <xf numFmtId="49" fontId="23" fillId="0" borderId="0" xfId="10" applyNumberFormat="1" applyFont="1" applyAlignment="1">
      <alignment horizontal="right" vertical="center"/>
    </xf>
    <xf numFmtId="49" fontId="23" fillId="0" borderId="0" xfId="10" applyNumberFormat="1" applyFont="1" applyAlignment="1">
      <alignment horizontal="center" vertical="center"/>
    </xf>
    <xf numFmtId="4" fontId="21" fillId="0" borderId="0" xfId="10" applyNumberFormat="1" applyFont="1" applyAlignment="1">
      <alignment vertical="center"/>
    </xf>
    <xf numFmtId="49" fontId="16" fillId="0" borderId="0" xfId="10" applyNumberFormat="1" applyFont="1" applyAlignment="1">
      <alignment horizontal="right" vertical="center"/>
    </xf>
    <xf numFmtId="49" fontId="16" fillId="0" borderId="0" xfId="10" applyNumberFormat="1" applyFont="1" applyAlignment="1">
      <alignment horizontal="left" vertical="center"/>
    </xf>
    <xf numFmtId="49" fontId="16" fillId="0" borderId="0" xfId="10" applyNumberFormat="1" applyFont="1" applyAlignment="1">
      <alignment horizontal="center" vertical="center"/>
    </xf>
    <xf numFmtId="3" fontId="21" fillId="2" borderId="3" xfId="10" applyNumberFormat="1" applyFont="1" applyFill="1" applyBorder="1" applyAlignment="1">
      <alignment horizontal="center" vertical="center" wrapText="1"/>
    </xf>
    <xf numFmtId="4" fontId="15" fillId="2" borderId="15" xfId="10" applyNumberFormat="1" applyFont="1" applyFill="1" applyBorder="1" applyAlignment="1">
      <alignment horizontal="right" vertical="center" wrapText="1"/>
    </xf>
    <xf numFmtId="4" fontId="15" fillId="2" borderId="3" xfId="10" applyNumberFormat="1" applyFont="1" applyFill="1" applyBorder="1" applyAlignment="1">
      <alignment horizontal="right" vertical="center" wrapText="1"/>
    </xf>
    <xf numFmtId="3" fontId="21" fillId="2" borderId="4" xfId="10" applyNumberFormat="1" applyFont="1" applyFill="1" applyBorder="1" applyAlignment="1">
      <alignment horizontal="center" vertical="center" wrapText="1"/>
    </xf>
    <xf numFmtId="4" fontId="15" fillId="2" borderId="7" xfId="10" applyNumberFormat="1" applyFont="1" applyFill="1" applyBorder="1" applyAlignment="1">
      <alignment horizontal="right" vertical="center" wrapText="1"/>
    </xf>
    <xf numFmtId="49" fontId="23" fillId="2" borderId="3" xfId="10" applyNumberFormat="1" applyFont="1" applyFill="1" applyBorder="1" applyAlignment="1">
      <alignment horizontal="center" vertical="center"/>
    </xf>
    <xf numFmtId="4" fontId="21" fillId="2" borderId="3" xfId="10" applyNumberFormat="1" applyFont="1" applyFill="1" applyBorder="1" applyAlignment="1">
      <alignment vertical="center"/>
    </xf>
    <xf numFmtId="4" fontId="21" fillId="2" borderId="5" xfId="10" applyNumberFormat="1" applyFont="1" applyFill="1" applyBorder="1" applyAlignment="1">
      <alignment vertical="center"/>
    </xf>
    <xf numFmtId="0" fontId="30" fillId="0" borderId="3" xfId="18" applyFont="1" applyBorder="1" applyAlignment="1">
      <alignment vertical="top" wrapText="1"/>
    </xf>
    <xf numFmtId="0" fontId="30" fillId="0" borderId="3" xfId="19" applyFont="1" applyBorder="1" applyAlignment="1">
      <alignment vertical="top" wrapText="1"/>
    </xf>
    <xf numFmtId="4" fontId="25" fillId="0" borderId="0" xfId="0" applyNumberFormat="1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30" fillId="0" borderId="3" xfId="20" applyFont="1" applyBorder="1" applyAlignment="1">
      <alignment vertical="top" wrapText="1"/>
    </xf>
    <xf numFmtId="4" fontId="30" fillId="0" borderId="8" xfId="21" applyNumberFormat="1" applyFont="1" applyBorder="1" applyAlignment="1">
      <alignment vertical="top"/>
    </xf>
    <xf numFmtId="4" fontId="29" fillId="0" borderId="8" xfId="21" applyNumberFormat="1" applyFont="1" applyBorder="1" applyAlignment="1">
      <alignment vertical="top"/>
    </xf>
    <xf numFmtId="4" fontId="29" fillId="0" borderId="11" xfId="21" applyNumberFormat="1" applyFont="1" applyBorder="1" applyAlignment="1">
      <alignment vertical="top"/>
    </xf>
    <xf numFmtId="4" fontId="30" fillId="0" borderId="3" xfId="21" applyNumberFormat="1" applyFont="1" applyBorder="1" applyAlignment="1">
      <alignment vertical="top"/>
    </xf>
    <xf numFmtId="0" fontId="30" fillId="0" borderId="8" xfId="21" applyFont="1" applyBorder="1" applyAlignment="1">
      <alignment vertical="top" wrapText="1"/>
    </xf>
    <xf numFmtId="0" fontId="29" fillId="0" borderId="8" xfId="21" applyFont="1" applyBorder="1" applyAlignment="1">
      <alignment vertical="top" wrapText="1"/>
    </xf>
    <xf numFmtId="0" fontId="30" fillId="0" borderId="3" xfId="21" applyFont="1" applyBorder="1" applyAlignment="1">
      <alignment vertical="top" wrapText="1"/>
    </xf>
    <xf numFmtId="0" fontId="29" fillId="0" borderId="11" xfId="21" applyFont="1" applyBorder="1" applyAlignment="1">
      <alignment vertical="top" wrapText="1"/>
    </xf>
    <xf numFmtId="0" fontId="29" fillId="0" borderId="7" xfId="21" applyFont="1" applyBorder="1" applyAlignment="1">
      <alignment vertical="top" wrapText="1"/>
    </xf>
    <xf numFmtId="4" fontId="29" fillId="0" borderId="7" xfId="21" applyNumberFormat="1" applyFont="1" applyBorder="1" applyAlignment="1">
      <alignment vertical="top"/>
    </xf>
    <xf numFmtId="4" fontId="15" fillId="0" borderId="12" xfId="10" applyNumberFormat="1" applyFont="1" applyBorder="1" applyAlignment="1">
      <alignment vertical="center" wrapText="1"/>
    </xf>
    <xf numFmtId="4" fontId="15" fillId="0" borderId="12" xfId="1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top" wrapText="1"/>
    </xf>
    <xf numFmtId="3" fontId="26" fillId="0" borderId="3" xfId="0" applyNumberFormat="1" applyFont="1" applyBorder="1" applyAlignment="1">
      <alignment horizontal="center" vertical="top" wrapText="1"/>
    </xf>
    <xf numFmtId="49" fontId="24" fillId="0" borderId="3" xfId="0" applyNumberFormat="1" applyFont="1" applyBorder="1" applyAlignment="1">
      <alignment horizontal="center" vertical="top" wrapText="1"/>
    </xf>
    <xf numFmtId="2" fontId="24" fillId="0" borderId="3" xfId="0" applyNumberFormat="1" applyFont="1" applyBorder="1" applyAlignment="1">
      <alignment vertical="top" wrapText="1"/>
    </xf>
    <xf numFmtId="4" fontId="24" fillId="0" borderId="3" xfId="0" applyNumberFormat="1" applyFont="1" applyBorder="1" applyAlignment="1">
      <alignment vertical="top" wrapText="1"/>
    </xf>
    <xf numFmtId="4" fontId="24" fillId="0" borderId="3" xfId="0" applyNumberFormat="1" applyFont="1" applyBorder="1" applyAlignment="1">
      <alignment horizontal="right" vertical="top" wrapText="1"/>
    </xf>
    <xf numFmtId="0" fontId="30" fillId="0" borderId="3" xfId="21" applyFont="1" applyBorder="1" applyAlignment="1">
      <alignment horizontal="center" vertical="top"/>
    </xf>
    <xf numFmtId="49" fontId="30" fillId="0" borderId="3" xfId="21" applyNumberFormat="1" applyFont="1" applyBorder="1" applyAlignment="1">
      <alignment horizontal="center" vertical="top"/>
    </xf>
    <xf numFmtId="0" fontId="30" fillId="0" borderId="8" xfId="21" applyFont="1" applyBorder="1" applyAlignment="1">
      <alignment horizontal="center" vertical="top"/>
    </xf>
    <xf numFmtId="49" fontId="30" fillId="0" borderId="8" xfId="21" applyNumberFormat="1" applyFont="1" applyBorder="1" applyAlignment="1">
      <alignment horizontal="center" vertical="top"/>
    </xf>
    <xf numFmtId="0" fontId="29" fillId="0" borderId="8" xfId="21" applyFont="1" applyBorder="1" applyAlignment="1">
      <alignment horizontal="center" vertical="top"/>
    </xf>
    <xf numFmtId="49" fontId="29" fillId="0" borderId="8" xfId="21" applyNumberFormat="1" applyFont="1" applyBorder="1" applyAlignment="1">
      <alignment horizontal="center" vertical="top"/>
    </xf>
    <xf numFmtId="0" fontId="29" fillId="0" borderId="11" xfId="21" applyFont="1" applyBorder="1" applyAlignment="1">
      <alignment horizontal="center" vertical="top"/>
    </xf>
    <xf numFmtId="49" fontId="29" fillId="0" borderId="11" xfId="21" applyNumberFormat="1" applyFont="1" applyBorder="1" applyAlignment="1">
      <alignment horizontal="center" vertical="top"/>
    </xf>
    <xf numFmtId="0" fontId="29" fillId="0" borderId="7" xfId="21" applyFont="1" applyBorder="1" applyAlignment="1">
      <alignment horizontal="center" vertical="top"/>
    </xf>
    <xf numFmtId="49" fontId="29" fillId="0" borderId="7" xfId="21" applyNumberFormat="1" applyFont="1" applyBorder="1" applyAlignment="1">
      <alignment horizontal="center" vertical="top"/>
    </xf>
    <xf numFmtId="3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3" fontId="16" fillId="0" borderId="0" xfId="0" applyNumberFormat="1" applyFont="1"/>
    <xf numFmtId="0" fontId="16" fillId="0" borderId="0" xfId="0" applyFont="1" applyAlignment="1">
      <alignment horizontal="justify" wrapText="1"/>
    </xf>
    <xf numFmtId="0" fontId="16" fillId="0" borderId="0" xfId="0" applyFont="1"/>
    <xf numFmtId="49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center"/>
    </xf>
    <xf numFmtId="3" fontId="26" fillId="3" borderId="3" xfId="0" applyNumberFormat="1" applyFont="1" applyFill="1" applyBorder="1" applyAlignment="1">
      <alignment horizontal="center" vertical="top"/>
    </xf>
    <xf numFmtId="3" fontId="26" fillId="0" borderId="3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top"/>
    </xf>
    <xf numFmtId="0" fontId="25" fillId="0" borderId="3" xfId="0" applyFont="1" applyBorder="1" applyAlignment="1">
      <alignment horizontal="center" vertical="center"/>
    </xf>
    <xf numFmtId="3" fontId="25" fillId="3" borderId="3" xfId="0" applyNumberFormat="1" applyFont="1" applyFill="1" applyBorder="1" applyAlignment="1">
      <alignment vertical="top"/>
    </xf>
    <xf numFmtId="3" fontId="25" fillId="0" borderId="3" xfId="0" applyNumberFormat="1" applyFont="1" applyBorder="1" applyAlignment="1">
      <alignment vertical="top"/>
    </xf>
    <xf numFmtId="0" fontId="25" fillId="0" borderId="0" xfId="0" applyFont="1" applyAlignment="1">
      <alignment vertical="top"/>
    </xf>
    <xf numFmtId="4" fontId="34" fillId="3" borderId="3" xfId="0" applyNumberFormat="1" applyFont="1" applyFill="1" applyBorder="1" applyAlignment="1">
      <alignment horizontal="center" vertical="center" wrapText="1"/>
    </xf>
    <xf numFmtId="4" fontId="34" fillId="3" borderId="3" xfId="0" applyNumberFormat="1" applyFont="1" applyFill="1" applyBorder="1" applyAlignment="1">
      <alignment horizontal="right"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" fontId="25" fillId="0" borderId="3" xfId="0" applyNumberFormat="1" applyFont="1" applyBorder="1" applyAlignment="1">
      <alignment vertical="top" wrapText="1"/>
    </xf>
    <xf numFmtId="4" fontId="25" fillId="0" borderId="3" xfId="0" applyNumberFormat="1" applyFont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vertical="center"/>
    </xf>
    <xf numFmtId="4" fontId="25" fillId="0" borderId="3" xfId="0" applyNumberFormat="1" applyFont="1" applyBorder="1" applyAlignment="1">
      <alignment vertical="center"/>
    </xf>
    <xf numFmtId="4" fontId="25" fillId="0" borderId="0" xfId="0" applyNumberFormat="1" applyFont="1" applyAlignment="1">
      <alignment vertical="top"/>
    </xf>
    <xf numFmtId="4" fontId="35" fillId="0" borderId="3" xfId="0" applyNumberFormat="1" applyFont="1" applyBorder="1" applyAlignment="1">
      <alignment horizontal="center" vertical="center" wrapText="1"/>
    </xf>
    <xf numFmtId="4" fontId="35" fillId="3" borderId="3" xfId="0" applyNumberFormat="1" applyFont="1" applyFill="1" applyBorder="1" applyAlignment="1">
      <alignment vertical="center"/>
    </xf>
    <xf numFmtId="4" fontId="35" fillId="0" borderId="3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35" fillId="3" borderId="3" xfId="0" applyNumberFormat="1" applyFont="1" applyFill="1" applyBorder="1" applyAlignment="1">
      <alignment horizontal="right" vertical="center"/>
    </xf>
    <xf numFmtId="4" fontId="35" fillId="0" borderId="3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35" fillId="2" borderId="3" xfId="0" applyNumberFormat="1" applyFont="1" applyFill="1" applyBorder="1" applyAlignment="1">
      <alignment vertical="center"/>
    </xf>
    <xf numFmtId="4" fontId="24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4" fontId="34" fillId="3" borderId="3" xfId="0" applyNumberFormat="1" applyFont="1" applyFill="1" applyBorder="1" applyAlignment="1">
      <alignment horizontal="center" vertical="center"/>
    </xf>
    <xf numFmtId="4" fontId="34" fillId="3" borderId="3" xfId="0" applyNumberFormat="1" applyFont="1" applyFill="1" applyBorder="1" applyAlignment="1">
      <alignment vertical="center"/>
    </xf>
    <xf numFmtId="49" fontId="3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 wrapText="1"/>
    </xf>
    <xf numFmtId="3" fontId="15" fillId="0" borderId="6" xfId="0" applyNumberFormat="1" applyFont="1" applyBorder="1" applyAlignment="1">
      <alignment horizontal="center" vertical="top" wrapText="1"/>
    </xf>
    <xf numFmtId="3" fontId="15" fillId="0" borderId="7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 vertical="top" wrapText="1"/>
    </xf>
    <xf numFmtId="3" fontId="15" fillId="0" borderId="11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4" fontId="21" fillId="0" borderId="10" xfId="0" applyNumberFormat="1" applyFont="1" applyBorder="1" applyAlignment="1">
      <alignment vertical="top" wrapText="1"/>
    </xf>
    <xf numFmtId="4" fontId="21" fillId="0" borderId="3" xfId="0" applyNumberFormat="1" applyFont="1" applyBorder="1" applyAlignment="1">
      <alignment vertical="top" wrapText="1"/>
    </xf>
    <xf numFmtId="0" fontId="21" fillId="0" borderId="0" xfId="0" applyFont="1" applyAlignment="1">
      <alignment horizontal="center" vertical="top" wrapText="1"/>
    </xf>
    <xf numFmtId="49" fontId="30" fillId="0" borderId="3" xfId="22" applyNumberFormat="1" applyFont="1" applyBorder="1" applyAlignment="1">
      <alignment horizontal="center" vertical="top" wrapText="1"/>
    </xf>
    <xf numFmtId="49" fontId="30" fillId="0" borderId="10" xfId="22" applyNumberFormat="1" applyFont="1" applyBorder="1" applyAlignment="1">
      <alignment horizontal="center" vertical="top" wrapText="1"/>
    </xf>
    <xf numFmtId="0" fontId="30" fillId="0" borderId="3" xfId="22" applyFont="1" applyBorder="1" applyAlignment="1">
      <alignment vertical="top" wrapText="1"/>
    </xf>
    <xf numFmtId="4" fontId="30" fillId="0" borderId="10" xfId="22" applyNumberFormat="1" applyFont="1" applyBorder="1" applyAlignment="1">
      <alignment vertical="top" wrapText="1"/>
    </xf>
    <xf numFmtId="4" fontId="30" fillId="0" borderId="3" xfId="22" applyNumberFormat="1" applyFont="1" applyBorder="1" applyAlignment="1">
      <alignment vertical="top" wrapText="1"/>
    </xf>
    <xf numFmtId="0" fontId="30" fillId="0" borderId="0" xfId="0" applyFont="1"/>
    <xf numFmtId="49" fontId="30" fillId="0" borderId="8" xfId="22" applyNumberFormat="1" applyFont="1" applyBorder="1" applyAlignment="1">
      <alignment horizontal="center" vertical="top" wrapText="1"/>
    </xf>
    <xf numFmtId="49" fontId="30" fillId="0" borderId="0" xfId="22" applyNumberFormat="1" applyFont="1" applyAlignment="1">
      <alignment horizontal="center" vertical="top" wrapText="1"/>
    </xf>
    <xf numFmtId="0" fontId="30" fillId="0" borderId="8" xfId="22" applyFont="1" applyBorder="1" applyAlignment="1">
      <alignment vertical="top" wrapText="1"/>
    </xf>
    <xf numFmtId="4" fontId="30" fillId="0" borderId="0" xfId="22" applyNumberFormat="1" applyFont="1" applyAlignment="1">
      <alignment vertical="top" wrapText="1"/>
    </xf>
    <xf numFmtId="4" fontId="30" fillId="0" borderId="8" xfId="22" applyNumberFormat="1" applyFont="1" applyBorder="1" applyAlignment="1">
      <alignment vertical="top" wrapText="1"/>
    </xf>
    <xf numFmtId="49" fontId="29" fillId="0" borderId="8" xfId="22" applyNumberFormat="1" applyFont="1" applyBorder="1" applyAlignment="1">
      <alignment horizontal="center" vertical="top" wrapText="1"/>
    </xf>
    <xf numFmtId="49" fontId="29" fillId="0" borderId="0" xfId="22" applyNumberFormat="1" applyFont="1" applyAlignment="1">
      <alignment horizontal="center" vertical="top" wrapText="1"/>
    </xf>
    <xf numFmtId="0" fontId="29" fillId="0" borderId="8" xfId="22" applyFont="1" applyBorder="1" applyAlignment="1">
      <alignment vertical="top" wrapText="1"/>
    </xf>
    <xf numFmtId="4" fontId="29" fillId="0" borderId="0" xfId="22" applyNumberFormat="1" applyFont="1" applyAlignment="1">
      <alignment vertical="top" wrapText="1"/>
    </xf>
    <xf numFmtId="4" fontId="29" fillId="0" borderId="8" xfId="22" applyNumberFormat="1" applyFont="1" applyBorder="1" applyAlignment="1">
      <alignment vertical="top" wrapText="1"/>
    </xf>
    <xf numFmtId="0" fontId="29" fillId="0" borderId="0" xfId="0" applyFont="1"/>
    <xf numFmtId="49" fontId="29" fillId="0" borderId="11" xfId="22" applyNumberFormat="1" applyFont="1" applyBorder="1" applyAlignment="1">
      <alignment horizontal="center" vertical="top" wrapText="1"/>
    </xf>
    <xf numFmtId="49" fontId="29" fillId="0" borderId="12" xfId="22" applyNumberFormat="1" applyFont="1" applyBorder="1" applyAlignment="1">
      <alignment horizontal="center" vertical="top" wrapText="1"/>
    </xf>
    <xf numFmtId="0" fontId="29" fillId="0" borderId="11" xfId="22" applyFont="1" applyBorder="1" applyAlignment="1">
      <alignment vertical="top" wrapText="1"/>
    </xf>
    <xf numFmtId="4" fontId="29" fillId="0" borderId="12" xfId="22" applyNumberFormat="1" applyFont="1" applyBorder="1" applyAlignment="1">
      <alignment vertical="top" wrapText="1"/>
    </xf>
    <xf numFmtId="4" fontId="29" fillId="0" borderId="11" xfId="22" applyNumberFormat="1" applyFont="1" applyBorder="1" applyAlignment="1">
      <alignment vertical="top" wrapText="1"/>
    </xf>
    <xf numFmtId="49" fontId="30" fillId="0" borderId="7" xfId="22" applyNumberFormat="1" applyFont="1" applyBorder="1" applyAlignment="1">
      <alignment horizontal="center" vertical="top" wrapText="1"/>
    </xf>
    <xf numFmtId="49" fontId="30" fillId="0" borderId="6" xfId="22" applyNumberFormat="1" applyFont="1" applyBorder="1" applyAlignment="1">
      <alignment horizontal="center" vertical="top" wrapText="1"/>
    </xf>
    <xf numFmtId="0" fontId="30" fillId="0" borderId="7" xfId="22" applyFont="1" applyBorder="1" applyAlignment="1">
      <alignment vertical="top" wrapText="1"/>
    </xf>
    <xf numFmtId="4" fontId="30" fillId="0" borderId="6" xfId="22" applyNumberFormat="1" applyFont="1" applyBorder="1" applyAlignment="1">
      <alignment vertical="top" wrapText="1"/>
    </xf>
    <xf numFmtId="4" fontId="30" fillId="0" borderId="7" xfId="22" applyNumberFormat="1" applyFont="1" applyBorder="1" applyAlignment="1">
      <alignment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3" fontId="23" fillId="0" borderId="3" xfId="0" applyNumberFormat="1" applyFont="1" applyBorder="1" applyAlignment="1">
      <alignment vertical="center"/>
    </xf>
    <xf numFmtId="0" fontId="37" fillId="0" borderId="3" xfId="0" applyFont="1" applyBorder="1"/>
    <xf numFmtId="0" fontId="37" fillId="0" borderId="3" xfId="0" applyFont="1" applyBorder="1" applyAlignment="1">
      <alignment vertical="center"/>
    </xf>
    <xf numFmtId="49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3" fontId="16" fillId="0" borderId="3" xfId="0" applyNumberFormat="1" applyFont="1" applyBorder="1" applyAlignment="1">
      <alignment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3" fontId="16" fillId="0" borderId="3" xfId="0" applyNumberFormat="1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3" fontId="16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vertical="center"/>
    </xf>
    <xf numFmtId="49" fontId="36" fillId="0" borderId="0" xfId="0" applyNumberFormat="1" applyFont="1" applyAlignment="1">
      <alignment horizontal="left"/>
    </xf>
    <xf numFmtId="4" fontId="16" fillId="0" borderId="0" xfId="0" applyNumberFormat="1" applyFont="1"/>
    <xf numFmtId="3" fontId="16" fillId="0" borderId="0" xfId="0" applyNumberFormat="1" applyFont="1" applyAlignment="1">
      <alignment horizontal="center"/>
    </xf>
    <xf numFmtId="49" fontId="29" fillId="0" borderId="3" xfId="22" applyNumberFormat="1" applyFont="1" applyBorder="1" applyAlignment="1">
      <alignment horizontal="center" vertical="top" wrapText="1"/>
    </xf>
    <xf numFmtId="49" fontId="29" fillId="0" borderId="10" xfId="22" applyNumberFormat="1" applyFont="1" applyBorder="1" applyAlignment="1">
      <alignment horizontal="center" vertical="top" wrapText="1"/>
    </xf>
    <xf numFmtId="0" fontId="29" fillId="0" borderId="3" xfId="22" applyFont="1" applyBorder="1" applyAlignment="1">
      <alignment vertical="top" wrapText="1"/>
    </xf>
    <xf numFmtId="4" fontId="29" fillId="0" borderId="10" xfId="22" applyNumberFormat="1" applyFont="1" applyBorder="1" applyAlignment="1">
      <alignment vertical="top" wrapText="1"/>
    </xf>
    <xf numFmtId="4" fontId="29" fillId="0" borderId="3" xfId="22" applyNumberFormat="1" applyFont="1" applyBorder="1" applyAlignment="1">
      <alignment vertical="top" wrapText="1"/>
    </xf>
    <xf numFmtId="49" fontId="29" fillId="0" borderId="7" xfId="22" applyNumberFormat="1" applyFont="1" applyBorder="1" applyAlignment="1">
      <alignment horizontal="center" vertical="top" wrapText="1"/>
    </xf>
    <xf numFmtId="49" fontId="29" fillId="0" borderId="6" xfId="22" applyNumberFormat="1" applyFont="1" applyBorder="1" applyAlignment="1">
      <alignment horizontal="center" vertical="top" wrapText="1"/>
    </xf>
    <xf numFmtId="0" fontId="29" fillId="0" borderId="7" xfId="22" applyFont="1" applyBorder="1" applyAlignment="1">
      <alignment vertical="top" wrapText="1"/>
    </xf>
    <xf numFmtId="4" fontId="29" fillId="0" borderId="6" xfId="22" applyNumberFormat="1" applyFont="1" applyBorder="1" applyAlignment="1">
      <alignment vertical="top" wrapText="1"/>
    </xf>
    <xf numFmtId="4" fontId="29" fillId="0" borderId="7" xfId="22" applyNumberFormat="1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23" applyFont="1" applyAlignment="1">
      <alignment wrapText="1"/>
    </xf>
    <xf numFmtId="0" fontId="16" fillId="0" borderId="0" xfId="23" applyFont="1" applyAlignment="1">
      <alignment horizontal="left" wrapText="1"/>
    </xf>
    <xf numFmtId="0" fontId="14" fillId="0" borderId="0" xfId="10" applyFont="1" applyAlignment="1">
      <alignment vertical="center"/>
    </xf>
    <xf numFmtId="0" fontId="39" fillId="0" borderId="0" xfId="23" applyFont="1" applyAlignment="1">
      <alignment wrapText="1"/>
    </xf>
    <xf numFmtId="0" fontId="16" fillId="0" borderId="0" xfId="24" applyFont="1" applyAlignment="1">
      <alignment horizontal="left" vertical="center" wrapText="1"/>
    </xf>
    <xf numFmtId="0" fontId="27" fillId="0" borderId="0" xfId="23" applyFont="1" applyAlignment="1">
      <alignment horizontal="center" wrapText="1"/>
    </xf>
    <xf numFmtId="3" fontId="40" fillId="0" borderId="0" xfId="25" applyNumberFormat="1" applyFont="1"/>
    <xf numFmtId="0" fontId="9" fillId="0" borderId="0" xfId="6"/>
    <xf numFmtId="0" fontId="16" fillId="0" borderId="0" xfId="24" applyFont="1" applyAlignment="1">
      <alignment horizontal="center" wrapText="1"/>
    </xf>
    <xf numFmtId="0" fontId="39" fillId="0" borderId="0" xfId="24" applyFont="1" applyAlignment="1">
      <alignment wrapText="1"/>
    </xf>
    <xf numFmtId="0" fontId="41" fillId="0" borderId="0" xfId="23" applyFont="1" applyAlignment="1">
      <alignment wrapText="1"/>
    </xf>
    <xf numFmtId="0" fontId="42" fillId="0" borderId="0" xfId="23" applyFont="1" applyAlignment="1">
      <alignment horizontal="center" vertical="center" wrapText="1"/>
    </xf>
    <xf numFmtId="0" fontId="19" fillId="0" borderId="3" xfId="23" applyFont="1" applyBorder="1" applyAlignment="1">
      <alignment horizontal="center" vertical="center" wrapText="1"/>
    </xf>
    <xf numFmtId="0" fontId="19" fillId="0" borderId="5" xfId="23" applyFont="1" applyBorder="1" applyAlignment="1">
      <alignment horizontal="center" vertical="center" wrapText="1"/>
    </xf>
    <xf numFmtId="0" fontId="43" fillId="0" borderId="0" xfId="23" applyFont="1" applyAlignment="1">
      <alignment wrapText="1"/>
    </xf>
    <xf numFmtId="0" fontId="19" fillId="0" borderId="1" xfId="23" applyFont="1" applyBorder="1" applyAlignment="1">
      <alignment wrapText="1"/>
    </xf>
    <xf numFmtId="0" fontId="19" fillId="0" borderId="0" xfId="23" applyFont="1" applyAlignment="1">
      <alignment wrapText="1"/>
    </xf>
    <xf numFmtId="0" fontId="19" fillId="0" borderId="8" xfId="23" applyFont="1" applyBorder="1" applyAlignment="1">
      <alignment wrapText="1"/>
    </xf>
    <xf numFmtId="0" fontId="21" fillId="0" borderId="3" xfId="23" applyFont="1" applyBorder="1" applyAlignment="1">
      <alignment horizontal="center" vertical="center" wrapText="1"/>
    </xf>
    <xf numFmtId="0" fontId="21" fillId="0" borderId="3" xfId="23" applyFont="1" applyBorder="1" applyAlignment="1">
      <alignment vertical="center" wrapText="1"/>
    </xf>
    <xf numFmtId="4" fontId="21" fillId="0" borderId="3" xfId="23" applyNumberFormat="1" applyFont="1" applyBorder="1" applyAlignment="1">
      <alignment vertical="center" wrapText="1"/>
    </xf>
    <xf numFmtId="0" fontId="44" fillId="0" borderId="0" xfId="23" applyFont="1" applyAlignment="1">
      <alignment wrapText="1"/>
    </xf>
    <xf numFmtId="0" fontId="45" fillId="0" borderId="3" xfId="23" applyFont="1" applyBorder="1" applyAlignment="1">
      <alignment horizontal="center" vertical="center" wrapText="1"/>
    </xf>
    <xf numFmtId="0" fontId="45" fillId="0" borderId="3" xfId="23" applyFont="1" applyBorder="1" applyAlignment="1">
      <alignment vertical="center" wrapText="1"/>
    </xf>
    <xf numFmtId="4" fontId="45" fillId="0" borderId="3" xfId="23" applyNumberFormat="1" applyFont="1" applyBorder="1" applyAlignment="1">
      <alignment vertical="center" wrapText="1"/>
    </xf>
    <xf numFmtId="0" fontId="46" fillId="0" borderId="0" xfId="23" applyFont="1" applyAlignment="1">
      <alignment wrapText="1"/>
    </xf>
    <xf numFmtId="49" fontId="16" fillId="0" borderId="7" xfId="23" applyNumberFormat="1" applyFont="1" applyBorder="1" applyAlignment="1">
      <alignment horizontal="center" vertical="center" wrapText="1"/>
    </xf>
    <xf numFmtId="0" fontId="16" fillId="0" borderId="15" xfId="23" applyFont="1" applyBorder="1" applyAlignment="1">
      <alignment horizontal="center" vertical="center" wrapText="1"/>
    </xf>
    <xf numFmtId="0" fontId="16" fillId="0" borderId="14" xfId="23" applyFont="1" applyBorder="1" applyAlignment="1">
      <alignment vertical="center" wrapText="1"/>
    </xf>
    <xf numFmtId="4" fontId="16" fillId="0" borderId="3" xfId="23" applyNumberFormat="1" applyFont="1" applyBorder="1" applyAlignment="1">
      <alignment vertical="center" wrapText="1"/>
    </xf>
    <xf numFmtId="0" fontId="47" fillId="0" borderId="0" xfId="23" applyFont="1" applyAlignment="1">
      <alignment vertical="top" wrapText="1"/>
    </xf>
    <xf numFmtId="49" fontId="19" fillId="0" borderId="7" xfId="23" applyNumberFormat="1" applyFont="1" applyBorder="1" applyAlignment="1">
      <alignment horizontal="center" vertical="center" wrapText="1"/>
    </xf>
    <xf numFmtId="0" fontId="19" fillId="0" borderId="15" xfId="23" applyFont="1" applyBorder="1" applyAlignment="1">
      <alignment horizontal="center" vertical="center" wrapText="1"/>
    </xf>
    <xf numFmtId="0" fontId="19" fillId="0" borderId="14" xfId="23" applyFont="1" applyBorder="1" applyAlignment="1">
      <alignment vertical="center" wrapText="1"/>
    </xf>
    <xf numFmtId="4" fontId="19" fillId="0" borderId="3" xfId="23" applyNumberFormat="1" applyFont="1" applyBorder="1" applyAlignment="1">
      <alignment vertical="center" wrapText="1"/>
    </xf>
    <xf numFmtId="0" fontId="43" fillId="0" borderId="0" xfId="23" applyFont="1" applyAlignment="1">
      <alignment vertical="top" wrapText="1"/>
    </xf>
    <xf numFmtId="49" fontId="19" fillId="0" borderId="3" xfId="23" applyNumberFormat="1" applyFont="1" applyBorder="1" applyAlignment="1">
      <alignment horizontal="center" vertical="center" wrapText="1"/>
    </xf>
    <xf numFmtId="49" fontId="16" fillId="0" borderId="3" xfId="23" applyNumberFormat="1" applyFont="1" applyBorder="1" applyAlignment="1">
      <alignment horizontal="center" vertical="center" wrapText="1"/>
    </xf>
    <xf numFmtId="0" fontId="16" fillId="0" borderId="3" xfId="23" applyFont="1" applyBorder="1" applyAlignment="1">
      <alignment horizontal="center" vertical="center" wrapText="1"/>
    </xf>
    <xf numFmtId="0" fontId="16" fillId="0" borderId="3" xfId="23" applyFont="1" applyBorder="1" applyAlignment="1">
      <alignment vertical="center" wrapText="1"/>
    </xf>
    <xf numFmtId="0" fontId="19" fillId="0" borderId="3" xfId="23" applyFont="1" applyBorder="1" applyAlignment="1">
      <alignment vertical="center" wrapText="1"/>
    </xf>
    <xf numFmtId="0" fontId="22" fillId="0" borderId="3" xfId="23" applyFont="1" applyBorder="1" applyAlignment="1">
      <alignment horizontal="center" vertical="center" wrapText="1"/>
    </xf>
    <xf numFmtId="0" fontId="22" fillId="0" borderId="3" xfId="23" applyFont="1" applyBorder="1" applyAlignment="1">
      <alignment vertical="center" wrapText="1"/>
    </xf>
    <xf numFmtId="0" fontId="48" fillId="0" borderId="0" xfId="23" applyFont="1" applyAlignment="1">
      <alignment wrapText="1"/>
    </xf>
    <xf numFmtId="0" fontId="16" fillId="0" borderId="1" xfId="23" applyFont="1" applyBorder="1" applyAlignment="1">
      <alignment horizontal="center" vertical="center" wrapText="1"/>
    </xf>
    <xf numFmtId="0" fontId="16" fillId="0" borderId="0" xfId="23" applyFont="1" applyAlignment="1">
      <alignment horizontal="center" vertical="center" wrapText="1"/>
    </xf>
    <xf numFmtId="0" fontId="16" fillId="0" borderId="0" xfId="23" applyFont="1" applyAlignment="1">
      <alignment vertical="center" wrapText="1"/>
    </xf>
    <xf numFmtId="4" fontId="19" fillId="0" borderId="8" xfId="23" applyNumberFormat="1" applyFont="1" applyBorder="1" applyAlignment="1">
      <alignment vertical="center" wrapText="1"/>
    </xf>
    <xf numFmtId="0" fontId="49" fillId="0" borderId="0" xfId="23" applyFont="1" applyAlignment="1">
      <alignment wrapText="1"/>
    </xf>
    <xf numFmtId="0" fontId="50" fillId="0" borderId="3" xfId="23" applyFont="1" applyBorder="1" applyAlignment="1">
      <alignment horizontal="center" vertical="center" wrapText="1"/>
    </xf>
    <xf numFmtId="0" fontId="50" fillId="0" borderId="3" xfId="23" applyFont="1" applyBorder="1" applyAlignment="1">
      <alignment vertical="center" wrapText="1"/>
    </xf>
    <xf numFmtId="4" fontId="50" fillId="0" borderId="3" xfId="23" applyNumberFormat="1" applyFont="1" applyBorder="1" applyAlignment="1">
      <alignment vertical="center" wrapText="1"/>
    </xf>
    <xf numFmtId="0" fontId="51" fillId="0" borderId="0" xfId="23" applyFont="1" applyAlignment="1">
      <alignment wrapText="1"/>
    </xf>
    <xf numFmtId="0" fontId="22" fillId="0" borderId="1" xfId="23" applyFont="1" applyBorder="1" applyAlignment="1">
      <alignment horizontal="center" vertical="center" wrapText="1"/>
    </xf>
    <xf numFmtId="0" fontId="22" fillId="0" borderId="0" xfId="23" applyFont="1" applyAlignment="1">
      <alignment horizontal="center" vertical="center" wrapText="1"/>
    </xf>
    <xf numFmtId="0" fontId="22" fillId="0" borderId="0" xfId="23" applyFont="1" applyAlignment="1">
      <alignment vertical="center" wrapText="1"/>
    </xf>
    <xf numFmtId="4" fontId="21" fillId="0" borderId="8" xfId="23" applyNumberFormat="1" applyFont="1" applyBorder="1" applyAlignment="1">
      <alignment vertical="center" wrapText="1"/>
    </xf>
    <xf numFmtId="0" fontId="21" fillId="0" borderId="1" xfId="23" applyFont="1" applyBorder="1" applyAlignment="1">
      <alignment horizontal="center" vertical="center" wrapText="1"/>
    </xf>
    <xf numFmtId="0" fontId="21" fillId="0" borderId="0" xfId="23" applyFont="1" applyAlignment="1">
      <alignment horizontal="center" vertical="center" wrapText="1"/>
    </xf>
    <xf numFmtId="0" fontId="21" fillId="0" borderId="0" xfId="23" applyFont="1" applyAlignment="1">
      <alignment vertical="center" wrapText="1"/>
    </xf>
    <xf numFmtId="0" fontId="21" fillId="0" borderId="7" xfId="23" applyFont="1" applyBorder="1" applyAlignment="1">
      <alignment horizontal="center" vertical="center" wrapText="1"/>
    </xf>
    <xf numFmtId="0" fontId="21" fillId="0" borderId="7" xfId="23" applyFont="1" applyBorder="1" applyAlignment="1">
      <alignment vertical="center" wrapText="1"/>
    </xf>
    <xf numFmtId="4" fontId="21" fillId="0" borderId="7" xfId="23" applyNumberFormat="1" applyFont="1" applyBorder="1" applyAlignment="1">
      <alignment vertical="center" wrapText="1"/>
    </xf>
    <xf numFmtId="4" fontId="52" fillId="0" borderId="7" xfId="23" applyNumberFormat="1" applyFont="1" applyBorder="1" applyAlignment="1">
      <alignment vertical="center" wrapText="1"/>
    </xf>
    <xf numFmtId="0" fontId="53" fillId="0" borderId="0" xfId="23" applyFont="1" applyAlignment="1">
      <alignment wrapText="1"/>
    </xf>
    <xf numFmtId="4" fontId="50" fillId="0" borderId="7" xfId="23" applyNumberFormat="1" applyFont="1" applyBorder="1" applyAlignment="1">
      <alignment vertical="center" wrapText="1"/>
    </xf>
    <xf numFmtId="0" fontId="54" fillId="0" borderId="0" xfId="23" applyFont="1" applyAlignment="1">
      <alignment wrapText="1"/>
    </xf>
    <xf numFmtId="49" fontId="16" fillId="0" borderId="8" xfId="23" applyNumberFormat="1" applyFont="1" applyBorder="1" applyAlignment="1">
      <alignment horizontal="center" vertical="center" wrapText="1"/>
    </xf>
    <xf numFmtId="0" fontId="16" fillId="0" borderId="8" xfId="23" applyFont="1" applyBorder="1" applyAlignment="1">
      <alignment horizontal="center" vertical="center" wrapText="1"/>
    </xf>
    <xf numFmtId="0" fontId="16" fillId="0" borderId="1" xfId="23" applyFont="1" applyBorder="1" applyAlignment="1">
      <alignment vertical="center" wrapText="1"/>
    </xf>
    <xf numFmtId="0" fontId="16" fillId="0" borderId="14" xfId="23" applyFont="1" applyBorder="1" applyAlignment="1">
      <alignment wrapText="1"/>
    </xf>
    <xf numFmtId="0" fontId="16" fillId="0" borderId="6" xfId="23" applyFont="1" applyBorder="1" applyAlignment="1">
      <alignment wrapText="1"/>
    </xf>
    <xf numFmtId="0" fontId="16" fillId="0" borderId="15" xfId="23" applyFont="1" applyBorder="1" applyAlignment="1">
      <alignment wrapText="1"/>
    </xf>
    <xf numFmtId="4" fontId="16" fillId="0" borderId="7" xfId="23" applyNumberFormat="1" applyFont="1" applyBorder="1" applyAlignment="1">
      <alignment wrapText="1"/>
    </xf>
    <xf numFmtId="4" fontId="22" fillId="0" borderId="8" xfId="23" applyNumberFormat="1" applyFont="1" applyBorder="1" applyAlignment="1">
      <alignment wrapText="1"/>
    </xf>
    <xf numFmtId="4" fontId="16" fillId="0" borderId="8" xfId="23" applyNumberFormat="1" applyFont="1" applyBorder="1" applyAlignment="1">
      <alignment wrapText="1"/>
    </xf>
    <xf numFmtId="0" fontId="15" fillId="0" borderId="14" xfId="23" applyFont="1" applyBorder="1" applyAlignment="1">
      <alignment wrapText="1"/>
    </xf>
    <xf numFmtId="0" fontId="15" fillId="0" borderId="6" xfId="23" applyFont="1" applyBorder="1" applyAlignment="1">
      <alignment wrapText="1"/>
    </xf>
    <xf numFmtId="0" fontId="15" fillId="0" borderId="15" xfId="23" applyFont="1" applyBorder="1" applyAlignment="1">
      <alignment wrapText="1"/>
    </xf>
    <xf numFmtId="4" fontId="15" fillId="0" borderId="7" xfId="23" applyNumberFormat="1" applyFont="1" applyBorder="1" applyAlignment="1">
      <alignment wrapText="1"/>
    </xf>
    <xf numFmtId="4" fontId="15" fillId="0" borderId="8" xfId="23" applyNumberFormat="1" applyFont="1" applyBorder="1" applyAlignment="1">
      <alignment wrapText="1"/>
    </xf>
    <xf numFmtId="4" fontId="16" fillId="0" borderId="11" xfId="23" applyNumberFormat="1" applyFont="1" applyBorder="1" applyAlignment="1">
      <alignment wrapText="1"/>
    </xf>
    <xf numFmtId="0" fontId="39" fillId="0" borderId="16" xfId="23" applyFont="1" applyBorder="1" applyAlignment="1">
      <alignment wrapText="1"/>
    </xf>
    <xf numFmtId="0" fontId="39" fillId="0" borderId="17" xfId="23" applyFont="1" applyBorder="1" applyAlignment="1">
      <alignment wrapText="1"/>
    </xf>
    <xf numFmtId="0" fontId="39" fillId="0" borderId="18" xfId="23" applyFont="1" applyBorder="1" applyAlignment="1">
      <alignment wrapText="1"/>
    </xf>
    <xf numFmtId="0" fontId="39" fillId="0" borderId="19" xfId="23" applyFont="1" applyBorder="1" applyAlignment="1">
      <alignment wrapText="1"/>
    </xf>
    <xf numFmtId="0" fontId="16" fillId="0" borderId="0" xfId="27" applyFont="1" applyAlignment="1">
      <alignment vertical="center"/>
    </xf>
    <xf numFmtId="3" fontId="16" fillId="0" borderId="0" xfId="27" applyNumberFormat="1" applyFont="1" applyAlignment="1">
      <alignment horizontal="center" vertical="center" wrapText="1"/>
    </xf>
    <xf numFmtId="3" fontId="16" fillId="0" borderId="0" xfId="27" applyNumberFormat="1" applyFont="1" applyAlignment="1">
      <alignment horizontal="center" vertical="center"/>
    </xf>
    <xf numFmtId="3" fontId="16" fillId="0" borderId="0" xfId="27" applyNumberFormat="1" applyFont="1" applyAlignment="1">
      <alignment horizontal="left" vertical="center"/>
    </xf>
    <xf numFmtId="4" fontId="52" fillId="0" borderId="0" xfId="27" applyNumberFormat="1" applyFont="1" applyAlignment="1">
      <alignment horizontal="left" vertical="center"/>
    </xf>
    <xf numFmtId="4" fontId="16" fillId="0" borderId="0" xfId="27" applyNumberFormat="1" applyFont="1" applyAlignment="1">
      <alignment horizontal="left" vertical="center"/>
    </xf>
    <xf numFmtId="3" fontId="16" fillId="0" borderId="0" xfId="27" applyNumberFormat="1" applyFont="1" applyAlignment="1">
      <alignment horizontal="left" vertical="center" wrapText="1"/>
    </xf>
    <xf numFmtId="4" fontId="16" fillId="0" borderId="0" xfId="27" applyNumberFormat="1" applyFont="1" applyAlignment="1">
      <alignment vertical="center" wrapText="1"/>
    </xf>
    <xf numFmtId="0" fontId="16" fillId="0" borderId="0" xfId="27" applyFont="1" applyAlignment="1">
      <alignment horizontal="left" vertical="center" wrapText="1"/>
    </xf>
    <xf numFmtId="0" fontId="16" fillId="0" borderId="0" xfId="27" applyFont="1" applyAlignment="1">
      <alignment horizontal="center" vertical="center"/>
    </xf>
    <xf numFmtId="0" fontId="16" fillId="0" borderId="0" xfId="27" applyFont="1" applyAlignment="1">
      <alignment horizontal="center" vertical="center" wrapText="1"/>
    </xf>
    <xf numFmtId="0" fontId="16" fillId="0" borderId="0" xfId="27" applyFont="1" applyAlignment="1">
      <alignment vertical="center" wrapText="1"/>
    </xf>
    <xf numFmtId="4" fontId="52" fillId="0" borderId="0" xfId="27" applyNumberFormat="1" applyFont="1" applyAlignment="1">
      <alignment vertical="center" wrapText="1"/>
    </xf>
    <xf numFmtId="4" fontId="16" fillId="0" borderId="0" xfId="27" applyNumberFormat="1" applyFont="1" applyAlignment="1">
      <alignment horizontal="center" vertical="center" wrapText="1"/>
    </xf>
    <xf numFmtId="4" fontId="21" fillId="0" borderId="10" xfId="27" applyNumberFormat="1" applyFont="1" applyBorder="1" applyAlignment="1">
      <alignment horizontal="center" vertical="top" wrapText="1"/>
    </xf>
    <xf numFmtId="4" fontId="21" fillId="0" borderId="4" xfId="27" applyNumberFormat="1" applyFont="1" applyBorder="1" applyAlignment="1">
      <alignment horizontal="center" vertical="top" wrapText="1"/>
    </xf>
    <xf numFmtId="0" fontId="15" fillId="0" borderId="0" xfId="27" applyFont="1" applyAlignment="1">
      <alignment vertical="center"/>
    </xf>
    <xf numFmtId="0" fontId="1" fillId="0" borderId="8" xfId="0" applyFont="1" applyBorder="1" applyAlignment="1">
      <alignment horizontal="center" vertical="top"/>
    </xf>
    <xf numFmtId="0" fontId="21" fillId="0" borderId="7" xfId="27" applyFont="1" applyBorder="1" applyAlignment="1">
      <alignment horizontal="center" vertical="top" wrapText="1"/>
    </xf>
    <xf numFmtId="0" fontId="21" fillId="0" borderId="11" xfId="27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4" fontId="21" fillId="0" borderId="3" xfId="27" applyNumberFormat="1" applyFont="1" applyBorder="1" applyAlignment="1">
      <alignment horizontal="center" vertical="top" wrapText="1"/>
    </xf>
    <xf numFmtId="0" fontId="17" fillId="0" borderId="3" xfId="27" applyFont="1" applyBorder="1" applyAlignment="1">
      <alignment horizontal="center" vertical="center" wrapText="1"/>
    </xf>
    <xf numFmtId="4" fontId="17" fillId="0" borderId="3" xfId="27" applyNumberFormat="1" applyFont="1" applyBorder="1" applyAlignment="1">
      <alignment horizontal="center" vertical="center" wrapText="1"/>
    </xf>
    <xf numFmtId="0" fontId="17" fillId="0" borderId="0" xfId="27" applyFont="1" applyAlignment="1">
      <alignment horizontal="center" vertical="center"/>
    </xf>
    <xf numFmtId="0" fontId="56" fillId="0" borderId="1" xfId="27" applyFont="1" applyBorder="1" applyAlignment="1">
      <alignment horizontal="center" vertical="center"/>
    </xf>
    <xf numFmtId="0" fontId="56" fillId="0" borderId="6" xfId="27" applyFont="1" applyBorder="1" applyAlignment="1">
      <alignment horizontal="center" vertical="center"/>
    </xf>
    <xf numFmtId="0" fontId="56" fillId="0" borderId="6" xfId="27" applyFont="1" applyBorder="1" applyAlignment="1">
      <alignment horizontal="center" vertical="center" wrapText="1"/>
    </xf>
    <xf numFmtId="4" fontId="45" fillId="0" borderId="6" xfId="27" applyNumberFormat="1" applyFont="1" applyBorder="1" applyAlignment="1">
      <alignment horizontal="center" vertical="center" wrapText="1"/>
    </xf>
    <xf numFmtId="4" fontId="56" fillId="0" borderId="6" xfId="27" applyNumberFormat="1" applyFont="1" applyBorder="1" applyAlignment="1">
      <alignment horizontal="center" vertical="center" wrapText="1"/>
    </xf>
    <xf numFmtId="4" fontId="56" fillId="0" borderId="15" xfId="27" applyNumberFormat="1" applyFont="1" applyBorder="1" applyAlignment="1">
      <alignment horizontal="center" vertical="center" wrapText="1"/>
    </xf>
    <xf numFmtId="0" fontId="56" fillId="0" borderId="0" xfId="27" applyFont="1" applyAlignment="1">
      <alignment horizontal="center" vertical="center"/>
    </xf>
    <xf numFmtId="0" fontId="37" fillId="0" borderId="15" xfId="27" applyFont="1" applyBorder="1" applyAlignment="1">
      <alignment horizontal="center" vertical="center" wrapText="1"/>
    </xf>
    <xf numFmtId="4" fontId="37" fillId="0" borderId="4" xfId="27" applyNumberFormat="1" applyFont="1" applyBorder="1" applyAlignment="1">
      <alignment horizontal="right" vertical="center" wrapText="1"/>
    </xf>
    <xf numFmtId="4" fontId="37" fillId="0" borderId="3" xfId="27" applyNumberFormat="1" applyFont="1" applyBorder="1" applyAlignment="1">
      <alignment horizontal="right" vertical="center" wrapText="1"/>
    </xf>
    <xf numFmtId="0" fontId="37" fillId="0" borderId="0" xfId="27" applyFont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6" fillId="0" borderId="1" xfId="27" applyFont="1" applyBorder="1" applyAlignment="1">
      <alignment horizontal="center"/>
    </xf>
    <xf numFmtId="0" fontId="56" fillId="0" borderId="0" xfId="27" applyFont="1" applyAlignment="1">
      <alignment horizontal="center"/>
    </xf>
    <xf numFmtId="0" fontId="56" fillId="0" borderId="0" xfId="27" applyFont="1" applyAlignment="1">
      <alignment horizontal="center" wrapText="1"/>
    </xf>
    <xf numFmtId="0" fontId="56" fillId="0" borderId="0" xfId="27" applyFont="1" applyAlignment="1">
      <alignment horizontal="left" wrapText="1"/>
    </xf>
    <xf numFmtId="4" fontId="45" fillId="0" borderId="0" xfId="27" applyNumberFormat="1" applyFont="1" applyAlignment="1">
      <alignment horizontal="center" wrapText="1"/>
    </xf>
    <xf numFmtId="4" fontId="56" fillId="0" borderId="0" xfId="27" applyNumberFormat="1" applyFont="1" applyAlignment="1">
      <alignment horizontal="center" wrapText="1"/>
    </xf>
    <xf numFmtId="4" fontId="56" fillId="0" borderId="9" xfId="27" applyNumberFormat="1" applyFont="1" applyBorder="1" applyAlignment="1">
      <alignment horizontal="center" wrapText="1"/>
    </xf>
    <xf numFmtId="0" fontId="37" fillId="0" borderId="15" xfId="27" applyFont="1" applyBorder="1" applyAlignment="1">
      <alignment horizontal="center" vertical="center"/>
    </xf>
    <xf numFmtId="4" fontId="37" fillId="0" borderId="3" xfId="27" applyNumberFormat="1" applyFont="1" applyBorder="1" applyAlignment="1">
      <alignment horizontal="right" vertical="center"/>
    </xf>
    <xf numFmtId="0" fontId="37" fillId="0" borderId="0" xfId="27" applyFont="1" applyAlignment="1">
      <alignment vertical="center"/>
    </xf>
    <xf numFmtId="0" fontId="57" fillId="0" borderId="3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6" fillId="0" borderId="2" xfId="27" applyFont="1" applyBorder="1" applyAlignment="1">
      <alignment horizontal="center"/>
    </xf>
    <xf numFmtId="0" fontId="56" fillId="0" borderId="12" xfId="27" applyFont="1" applyBorder="1" applyAlignment="1">
      <alignment horizontal="center"/>
    </xf>
    <xf numFmtId="0" fontId="56" fillId="0" borderId="12" xfId="27" applyFont="1" applyBorder="1" applyAlignment="1">
      <alignment horizontal="center" wrapText="1"/>
    </xf>
    <xf numFmtId="4" fontId="45" fillId="0" borderId="12" xfId="27" applyNumberFormat="1" applyFont="1" applyBorder="1" applyAlignment="1">
      <alignment horizontal="center" wrapText="1"/>
    </xf>
    <xf numFmtId="4" fontId="56" fillId="0" borderId="12" xfId="27" applyNumberFormat="1" applyFont="1" applyBorder="1" applyAlignment="1">
      <alignment horizontal="center" wrapText="1"/>
    </xf>
    <xf numFmtId="4" fontId="56" fillId="0" borderId="13" xfId="27" applyNumberFormat="1" applyFont="1" applyBorder="1" applyAlignment="1">
      <alignment horizontal="center" wrapText="1"/>
    </xf>
    <xf numFmtId="0" fontId="25" fillId="0" borderId="3" xfId="27" applyFont="1" applyBorder="1" applyAlignment="1">
      <alignment horizontal="center" vertical="center" wrapText="1"/>
    </xf>
    <xf numFmtId="4" fontId="25" fillId="0" borderId="3" xfId="27" applyNumberFormat="1" applyFont="1" applyBorder="1" applyAlignment="1">
      <alignment vertical="center" wrapText="1"/>
    </xf>
    <xf numFmtId="0" fontId="21" fillId="0" borderId="0" xfId="27" applyFont="1" applyAlignment="1">
      <alignment vertical="top"/>
    </xf>
    <xf numFmtId="0" fontId="29" fillId="0" borderId="3" xfId="0" applyFont="1" applyBorder="1" applyAlignment="1">
      <alignment horizontal="center" vertical="center" wrapText="1"/>
    </xf>
    <xf numFmtId="4" fontId="16" fillId="0" borderId="3" xfId="27" applyNumberFormat="1" applyFont="1" applyBorder="1" applyAlignment="1">
      <alignment vertical="center" wrapText="1"/>
    </xf>
    <xf numFmtId="0" fontId="56" fillId="0" borderId="14" xfId="27" applyFont="1" applyBorder="1" applyAlignment="1">
      <alignment horizontal="center"/>
    </xf>
    <xf numFmtId="0" fontId="56" fillId="0" borderId="6" xfId="27" applyFont="1" applyBorder="1" applyAlignment="1">
      <alignment horizontal="center"/>
    </xf>
    <xf numFmtId="0" fontId="56" fillId="0" borderId="6" xfId="27" applyFont="1" applyBorder="1" applyAlignment="1">
      <alignment horizontal="center" wrapText="1"/>
    </xf>
    <xf numFmtId="0" fontId="56" fillId="0" borderId="6" xfId="27" applyFont="1" applyBorder="1" applyAlignment="1">
      <alignment horizontal="left" wrapText="1"/>
    </xf>
    <xf numFmtId="4" fontId="45" fillId="0" borderId="6" xfId="27" applyNumberFormat="1" applyFont="1" applyBorder="1" applyAlignment="1">
      <alignment horizontal="center" wrapText="1"/>
    </xf>
    <xf numFmtId="4" fontId="56" fillId="0" borderId="6" xfId="27" applyNumberFormat="1" applyFont="1" applyBorder="1" applyAlignment="1">
      <alignment horizontal="center" wrapText="1"/>
    </xf>
    <xf numFmtId="4" fontId="56" fillId="0" borderId="15" xfId="27" applyNumberFormat="1" applyFont="1" applyBorder="1" applyAlignment="1">
      <alignment horizontal="center" wrapText="1"/>
    </xf>
    <xf numFmtId="4" fontId="37" fillId="0" borderId="3" xfId="27" applyNumberFormat="1" applyFont="1" applyBorder="1" applyAlignment="1">
      <alignment vertical="center"/>
    </xf>
    <xf numFmtId="49" fontId="58" fillId="0" borderId="15" xfId="27" applyNumberFormat="1" applyFont="1" applyBorder="1" applyAlignment="1">
      <alignment horizontal="center" vertical="center"/>
    </xf>
    <xf numFmtId="4" fontId="58" fillId="0" borderId="3" xfId="27" applyNumberFormat="1" applyFont="1" applyBorder="1" applyAlignment="1">
      <alignment vertical="center" wrapText="1"/>
    </xf>
    <xf numFmtId="0" fontId="22" fillId="0" borderId="0" xfId="27" applyFont="1" applyAlignment="1">
      <alignment vertical="center"/>
    </xf>
    <xf numFmtId="0" fontId="59" fillId="0" borderId="3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49" fontId="24" fillId="0" borderId="5" xfId="27" applyNumberFormat="1" applyFont="1" applyBorder="1" applyAlignment="1">
      <alignment horizontal="left" vertical="center"/>
    </xf>
    <xf numFmtId="49" fontId="24" fillId="0" borderId="10" xfId="27" applyNumberFormat="1" applyFont="1" applyBorder="1" applyAlignment="1">
      <alignment horizontal="left" vertical="center"/>
    </xf>
    <xf numFmtId="49" fontId="24" fillId="0" borderId="10" xfId="27" applyNumberFormat="1" applyFont="1" applyBorder="1" applyAlignment="1">
      <alignment horizontal="center" vertical="center"/>
    </xf>
    <xf numFmtId="4" fontId="60" fillId="0" borderId="10" xfId="27" applyNumberFormat="1" applyFont="1" applyBorder="1" applyAlignment="1">
      <alignment vertical="center" wrapText="1"/>
    </xf>
    <xf numFmtId="4" fontId="25" fillId="0" borderId="10" xfId="27" applyNumberFormat="1" applyFont="1" applyBorder="1" applyAlignment="1">
      <alignment vertical="center" wrapText="1"/>
    </xf>
    <xf numFmtId="4" fontId="25" fillId="0" borderId="4" xfId="27" applyNumberFormat="1" applyFont="1" applyBorder="1" applyAlignment="1">
      <alignment vertical="center" wrapText="1"/>
    </xf>
    <xf numFmtId="0" fontId="21" fillId="0" borderId="0" xfId="27" applyFont="1" applyAlignment="1">
      <alignment vertical="center"/>
    </xf>
    <xf numFmtId="0" fontId="16" fillId="0" borderId="0" xfId="27" applyFont="1" applyAlignment="1">
      <alignment vertical="top"/>
    </xf>
    <xf numFmtId="0" fontId="26" fillId="0" borderId="3" xfId="27" applyFont="1" applyBorder="1" applyAlignment="1">
      <alignment horizontal="center" vertical="center" wrapText="1"/>
    </xf>
    <xf numFmtId="4" fontId="26" fillId="0" borderId="7" xfId="27" applyNumberFormat="1" applyFont="1" applyBorder="1" applyAlignment="1">
      <alignment vertical="center" wrapText="1"/>
    </xf>
    <xf numFmtId="4" fontId="26" fillId="0" borderId="3" xfId="27" applyNumberFormat="1" applyFont="1" applyBorder="1" applyAlignment="1">
      <alignment vertical="center" wrapText="1"/>
    </xf>
    <xf numFmtId="0" fontId="19" fillId="0" borderId="0" xfId="27" applyFont="1" applyAlignment="1">
      <alignment vertical="center"/>
    </xf>
    <xf numFmtId="0" fontId="6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62" fillId="0" borderId="4" xfId="27" applyNumberFormat="1" applyFont="1" applyBorder="1" applyAlignment="1">
      <alignment horizontal="center" vertical="center"/>
    </xf>
    <xf numFmtId="4" fontId="62" fillId="0" borderId="3" xfId="27" applyNumberFormat="1" applyFont="1" applyBorder="1" applyAlignment="1">
      <alignment vertical="center" wrapText="1"/>
    </xf>
    <xf numFmtId="0" fontId="45" fillId="0" borderId="0" xfId="27" applyFont="1" applyAlignment="1">
      <alignment vertical="center"/>
    </xf>
    <xf numFmtId="0" fontId="25" fillId="0" borderId="7" xfId="27" applyFont="1" applyBorder="1" applyAlignment="1">
      <alignment horizontal="center" vertical="center" wrapText="1"/>
    </xf>
    <xf numFmtId="0" fontId="25" fillId="0" borderId="14" xfId="27" applyFont="1" applyBorder="1" applyAlignment="1">
      <alignment vertical="center" wrapText="1"/>
    </xf>
    <xf numFmtId="4" fontId="25" fillId="0" borderId="7" xfId="27" applyNumberFormat="1" applyFont="1" applyBorder="1" applyAlignment="1">
      <alignment vertical="center" wrapText="1"/>
    </xf>
    <xf numFmtId="0" fontId="25" fillId="0" borderId="8" xfId="27" applyFont="1" applyBorder="1" applyAlignment="1">
      <alignment horizontal="center" vertical="center" wrapText="1"/>
    </xf>
    <xf numFmtId="49" fontId="25" fillId="0" borderId="7" xfId="27" applyNumberFormat="1" applyFont="1" applyBorder="1" applyAlignment="1">
      <alignment horizontal="center" vertical="top" wrapText="1"/>
    </xf>
    <xf numFmtId="0" fontId="25" fillId="0" borderId="8" xfId="27" applyFont="1" applyBorder="1" applyAlignment="1">
      <alignment horizontal="center" vertical="top" wrapText="1"/>
    </xf>
    <xf numFmtId="0" fontId="25" fillId="0" borderId="11" xfId="27" applyFont="1" applyBorder="1" applyAlignment="1">
      <alignment horizontal="center" vertical="top" wrapText="1"/>
    </xf>
    <xf numFmtId="49" fontId="25" fillId="0" borderId="7" xfId="27" applyNumberFormat="1" applyFont="1" applyBorder="1" applyAlignment="1">
      <alignment horizontal="center" vertical="center" wrapText="1"/>
    </xf>
    <xf numFmtId="0" fontId="25" fillId="0" borderId="14" xfId="27" applyFont="1" applyBorder="1" applyAlignment="1">
      <alignment horizontal="center" vertical="center" wrapText="1"/>
    </xf>
    <xf numFmtId="0" fontId="25" fillId="0" borderId="9" xfId="27" applyFont="1" applyBorder="1" applyAlignment="1">
      <alignment horizontal="center" vertical="center" wrapText="1"/>
    </xf>
    <xf numFmtId="0" fontId="25" fillId="0" borderId="0" xfId="27" applyFont="1" applyAlignment="1">
      <alignment horizontal="center" vertical="center" wrapText="1"/>
    </xf>
    <xf numFmtId="49" fontId="58" fillId="0" borderId="15" xfId="27" applyNumberFormat="1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6" fillId="0" borderId="5" xfId="27" applyFont="1" applyBorder="1" applyAlignment="1">
      <alignment horizontal="center"/>
    </xf>
    <xf numFmtId="0" fontId="56" fillId="0" borderId="10" xfId="27" applyFont="1" applyBorder="1" applyAlignment="1">
      <alignment horizontal="center"/>
    </xf>
    <xf numFmtId="0" fontId="56" fillId="0" borderId="10" xfId="27" applyFont="1" applyBorder="1" applyAlignment="1">
      <alignment horizontal="center" wrapText="1"/>
    </xf>
    <xf numFmtId="4" fontId="45" fillId="0" borderId="10" xfId="27" applyNumberFormat="1" applyFont="1" applyBorder="1" applyAlignment="1">
      <alignment horizontal="center" wrapText="1"/>
    </xf>
    <xf numFmtId="4" fontId="56" fillId="0" borderId="10" xfId="27" applyNumberFormat="1" applyFont="1" applyBorder="1" applyAlignment="1">
      <alignment horizontal="center" wrapText="1"/>
    </xf>
    <xf numFmtId="4" fontId="56" fillId="0" borderId="4" xfId="27" applyNumberFormat="1" applyFont="1" applyBorder="1" applyAlignment="1">
      <alignment horizontal="center" wrapText="1"/>
    </xf>
    <xf numFmtId="49" fontId="25" fillId="0" borderId="8" xfId="27" applyNumberFormat="1" applyFont="1" applyBorder="1" applyAlignment="1">
      <alignment horizontal="center" vertical="center" wrapText="1"/>
    </xf>
    <xf numFmtId="49" fontId="25" fillId="0" borderId="11" xfId="27" applyNumberFormat="1" applyFont="1" applyBorder="1" applyAlignment="1">
      <alignment horizontal="center" vertical="center" wrapText="1"/>
    </xf>
    <xf numFmtId="49" fontId="25" fillId="0" borderId="8" xfId="27" applyNumberFormat="1" applyFont="1" applyBorder="1" applyAlignment="1">
      <alignment horizontal="center" vertical="top" wrapText="1"/>
    </xf>
    <xf numFmtId="49" fontId="25" fillId="0" borderId="11" xfId="27" applyNumberFormat="1" applyFont="1" applyBorder="1" applyAlignment="1">
      <alignment horizontal="center" vertical="top" wrapText="1"/>
    </xf>
    <xf numFmtId="0" fontId="25" fillId="0" borderId="11" xfId="27" applyFont="1" applyBorder="1" applyAlignment="1">
      <alignment horizontal="center" vertical="center" wrapText="1"/>
    </xf>
    <xf numFmtId="0" fontId="25" fillId="0" borderId="4" xfId="27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5" fillId="0" borderId="4" xfId="27" applyFont="1" applyBorder="1" applyAlignment="1">
      <alignment vertical="center" wrapText="1"/>
    </xf>
    <xf numFmtId="4" fontId="25" fillId="0" borderId="11" xfId="27" applyNumberFormat="1" applyFont="1" applyBorder="1" applyAlignment="1">
      <alignment vertical="center" wrapText="1"/>
    </xf>
    <xf numFmtId="49" fontId="24" fillId="0" borderId="14" xfId="27" applyNumberFormat="1" applyFont="1" applyBorder="1" applyAlignment="1">
      <alignment horizontal="left" vertical="center"/>
    </xf>
    <xf numFmtId="49" fontId="24" fillId="0" borderId="6" xfId="27" applyNumberFormat="1" applyFont="1" applyBorder="1" applyAlignment="1">
      <alignment horizontal="left" vertical="center"/>
    </xf>
    <xf numFmtId="49" fontId="24" fillId="0" borderId="6" xfId="27" applyNumberFormat="1" applyFont="1" applyBorder="1" applyAlignment="1">
      <alignment horizontal="center" vertical="center"/>
    </xf>
    <xf numFmtId="4" fontId="60" fillId="0" borderId="6" xfId="27" applyNumberFormat="1" applyFont="1" applyBorder="1" applyAlignment="1">
      <alignment vertical="center" wrapText="1"/>
    </xf>
    <xf numFmtId="4" fontId="25" fillId="0" borderId="6" xfId="27" applyNumberFormat="1" applyFont="1" applyBorder="1" applyAlignment="1">
      <alignment vertical="center" wrapText="1"/>
    </xf>
    <xf numFmtId="4" fontId="25" fillId="0" borderId="15" xfId="27" applyNumberFormat="1" applyFont="1" applyBorder="1" applyAlignment="1">
      <alignment vertical="center" wrapText="1"/>
    </xf>
    <xf numFmtId="0" fontId="37" fillId="0" borderId="3" xfId="27" applyFont="1" applyBorder="1" applyAlignment="1">
      <alignment horizontal="center" vertical="center" wrapText="1"/>
    </xf>
    <xf numFmtId="0" fontId="16" fillId="0" borderId="0" xfId="27" applyFont="1" applyAlignment="1">
      <alignment horizontal="left" vertical="center"/>
    </xf>
    <xf numFmtId="0" fontId="66" fillId="0" borderId="0" xfId="27" applyFont="1" applyAlignment="1">
      <alignment horizontal="center" vertical="center"/>
    </xf>
    <xf numFmtId="0" fontId="16" fillId="0" borderId="0" xfId="27" applyFont="1" applyAlignment="1">
      <alignment horizontal="center"/>
    </xf>
    <xf numFmtId="0" fontId="16" fillId="0" borderId="0" xfId="27" applyFont="1" applyAlignment="1">
      <alignment horizontal="center" wrapText="1"/>
    </xf>
    <xf numFmtId="0" fontId="16" fillId="0" borderId="0" xfId="27" applyFont="1" applyAlignment="1">
      <alignment wrapText="1"/>
    </xf>
    <xf numFmtId="4" fontId="52" fillId="0" borderId="0" xfId="27" applyNumberFormat="1" applyFont="1" applyAlignment="1">
      <alignment wrapText="1"/>
    </xf>
    <xf numFmtId="4" fontId="16" fillId="0" borderId="0" xfId="27" applyNumberFormat="1" applyFont="1" applyAlignment="1">
      <alignment wrapText="1"/>
    </xf>
    <xf numFmtId="0" fontId="16" fillId="0" borderId="0" xfId="27" applyFont="1"/>
    <xf numFmtId="3" fontId="16" fillId="0" borderId="0" xfId="27" applyNumberFormat="1" applyFont="1" applyAlignment="1">
      <alignment horizontal="left" wrapText="1"/>
    </xf>
    <xf numFmtId="3" fontId="16" fillId="0" borderId="0" xfId="27" applyNumberFormat="1" applyFont="1" applyAlignment="1">
      <alignment horizontal="center" wrapText="1"/>
    </xf>
    <xf numFmtId="0" fontId="15" fillId="0" borderId="7" xfId="27" applyFont="1" applyBorder="1" applyAlignment="1">
      <alignment horizontal="center" vertical="top" wrapText="1"/>
    </xf>
    <xf numFmtId="0" fontId="15" fillId="0" borderId="0" xfId="27" applyFont="1" applyAlignment="1">
      <alignment vertical="center" wrapText="1"/>
    </xf>
    <xf numFmtId="0" fontId="56" fillId="0" borderId="3" xfId="27" applyFont="1" applyBorder="1" applyAlignment="1">
      <alignment horizontal="center"/>
    </xf>
    <xf numFmtId="0" fontId="56" fillId="0" borderId="3" xfId="27" applyFont="1" applyBorder="1" applyAlignment="1">
      <alignment horizontal="center" wrapText="1"/>
    </xf>
    <xf numFmtId="3" fontId="56" fillId="0" borderId="3" xfId="27" applyNumberFormat="1" applyFont="1" applyBorder="1" applyAlignment="1">
      <alignment horizontal="center" wrapText="1"/>
    </xf>
    <xf numFmtId="0" fontId="23" fillId="0" borderId="15" xfId="27" applyFont="1" applyBorder="1" applyAlignment="1">
      <alignment horizontal="center" vertical="center" wrapText="1"/>
    </xf>
    <xf numFmtId="0" fontId="23" fillId="0" borderId="3" xfId="27" applyFont="1" applyBorder="1" applyAlignment="1">
      <alignment horizontal="center" vertical="center" wrapText="1"/>
    </xf>
    <xf numFmtId="3" fontId="23" fillId="0" borderId="3" xfId="27" applyNumberFormat="1" applyFont="1" applyBorder="1" applyAlignment="1">
      <alignment horizontal="right" vertical="center" wrapText="1"/>
    </xf>
    <xf numFmtId="0" fontId="23" fillId="0" borderId="0" xfId="27" applyFont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49" fontId="16" fillId="0" borderId="7" xfId="27" applyNumberFormat="1" applyFont="1" applyBorder="1" applyAlignment="1">
      <alignment horizontal="center" vertical="top"/>
    </xf>
    <xf numFmtId="0" fontId="16" fillId="0" borderId="3" xfId="27" applyFont="1" applyBorder="1" applyAlignment="1">
      <alignment horizontal="center" vertical="top" wrapText="1"/>
    </xf>
    <xf numFmtId="3" fontId="16" fillId="0" borderId="3" xfId="27" applyNumberFormat="1" applyFont="1" applyBorder="1" applyAlignment="1">
      <alignment horizontal="right" vertical="center"/>
    </xf>
    <xf numFmtId="3" fontId="16" fillId="0" borderId="3" xfId="27" applyNumberFormat="1" applyFont="1" applyBorder="1" applyAlignment="1">
      <alignment vertical="center" wrapText="1"/>
    </xf>
    <xf numFmtId="0" fontId="16" fillId="0" borderId="0" xfId="27" applyFont="1" applyAlignment="1">
      <alignment vertical="top" wrapText="1"/>
    </xf>
    <xf numFmtId="49" fontId="16" fillId="0" borderId="8" xfId="27" applyNumberFormat="1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 wrapText="1"/>
    </xf>
    <xf numFmtId="49" fontId="16" fillId="0" borderId="11" xfId="27" applyNumberFormat="1" applyFont="1" applyBorder="1" applyAlignment="1">
      <alignment horizontal="center" vertical="top"/>
    </xf>
    <xf numFmtId="0" fontId="16" fillId="0" borderId="0" xfId="27" applyFont="1" applyAlignment="1">
      <alignment horizontal="left"/>
    </xf>
    <xf numFmtId="3" fontId="16" fillId="0" borderId="0" xfId="27" applyNumberFormat="1" applyFont="1" applyAlignment="1">
      <alignment wrapText="1"/>
    </xf>
    <xf numFmtId="0" fontId="52" fillId="0" borderId="0" xfId="27" applyFont="1" applyAlignment="1">
      <alignment vertical="center" wrapText="1"/>
    </xf>
    <xf numFmtId="0" fontId="52" fillId="0" borderId="0" xfId="27" applyFont="1" applyAlignment="1">
      <alignment vertical="center"/>
    </xf>
    <xf numFmtId="0" fontId="16" fillId="0" borderId="0" xfId="27" applyFont="1" applyAlignment="1">
      <alignment horizontal="left" wrapText="1"/>
    </xf>
    <xf numFmtId="0" fontId="52" fillId="0" borderId="0" xfId="27" applyFont="1" applyAlignment="1">
      <alignment horizontal="left" wrapText="1"/>
    </xf>
    <xf numFmtId="0" fontId="52" fillId="0" borderId="0" xfId="27" applyFont="1" applyAlignment="1">
      <alignment horizontal="left"/>
    </xf>
    <xf numFmtId="0" fontId="52" fillId="0" borderId="0" xfId="27" applyFont="1" applyAlignment="1">
      <alignment wrapText="1"/>
    </xf>
    <xf numFmtId="0" fontId="52" fillId="0" borderId="0" xfId="27" applyFont="1"/>
    <xf numFmtId="0" fontId="52" fillId="0" borderId="0" xfId="27" applyFont="1" applyAlignment="1">
      <alignment horizontal="center" vertical="center" wrapText="1"/>
    </xf>
    <xf numFmtId="0" fontId="52" fillId="0" borderId="0" xfId="27" applyFont="1" applyAlignment="1">
      <alignment horizontal="center" vertical="center"/>
    </xf>
    <xf numFmtId="0" fontId="21" fillId="0" borderId="0" xfId="27" applyFont="1"/>
    <xf numFmtId="0" fontId="15" fillId="0" borderId="0" xfId="27" applyFont="1"/>
    <xf numFmtId="3" fontId="16" fillId="0" borderId="0" xfId="27" applyNumberFormat="1" applyFont="1" applyAlignment="1">
      <alignment vertical="center"/>
    </xf>
    <xf numFmtId="0" fontId="67" fillId="0" borderId="3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16" fillId="0" borderId="8" xfId="29" applyNumberFormat="1" applyFont="1" applyFill="1" applyBorder="1" applyAlignment="1">
      <alignment horizontal="center" vertical="top"/>
    </xf>
    <xf numFmtId="1" fontId="16" fillId="0" borderId="8" xfId="29" applyNumberFormat="1" applyFont="1" applyFill="1" applyBorder="1" applyAlignment="1">
      <alignment horizontal="center" vertical="top"/>
    </xf>
    <xf numFmtId="9" fontId="16" fillId="0" borderId="7" xfId="29" applyFont="1" applyFill="1" applyBorder="1" applyAlignment="1">
      <alignment horizontal="center" vertical="center" wrapText="1"/>
    </xf>
    <xf numFmtId="3" fontId="16" fillId="0" borderId="3" xfId="29" applyNumberFormat="1" applyFont="1" applyFill="1" applyBorder="1" applyAlignment="1">
      <alignment horizontal="right" vertical="center"/>
    </xf>
    <xf numFmtId="3" fontId="16" fillId="0" borderId="3" xfId="29" applyNumberFormat="1" applyFont="1" applyFill="1" applyBorder="1" applyAlignment="1">
      <alignment vertical="center" wrapText="1"/>
    </xf>
    <xf numFmtId="9" fontId="16" fillId="0" borderId="0" xfId="29" applyFont="1" applyFill="1" applyAlignment="1">
      <alignment vertical="top" wrapText="1"/>
    </xf>
    <xf numFmtId="9" fontId="16" fillId="0" borderId="0" xfId="29" applyFont="1" applyFill="1" applyAlignment="1">
      <alignment vertical="top"/>
    </xf>
    <xf numFmtId="9" fontId="16" fillId="0" borderId="3" xfId="29" applyFont="1" applyFill="1" applyBorder="1" applyAlignment="1">
      <alignment horizontal="center" vertical="center" wrapText="1"/>
    </xf>
    <xf numFmtId="1" fontId="16" fillId="0" borderId="7" xfId="29" applyNumberFormat="1" applyFont="1" applyFill="1" applyBorder="1" applyAlignment="1">
      <alignment horizontal="center" vertical="top"/>
    </xf>
    <xf numFmtId="9" fontId="16" fillId="0" borderId="8" xfId="29" applyFont="1" applyFill="1" applyBorder="1" applyAlignment="1">
      <alignment horizontal="center" vertical="top"/>
    </xf>
    <xf numFmtId="3" fontId="16" fillId="0" borderId="7" xfId="29" applyNumberFormat="1" applyFont="1" applyFill="1" applyBorder="1" applyAlignment="1">
      <alignment horizontal="right" vertical="center"/>
    </xf>
    <xf numFmtId="3" fontId="16" fillId="0" borderId="3" xfId="27" applyNumberFormat="1" applyFont="1" applyBorder="1" applyAlignment="1">
      <alignment horizontal="right" vertical="top"/>
    </xf>
    <xf numFmtId="3" fontId="16" fillId="0" borderId="3" xfId="27" applyNumberFormat="1" applyFont="1" applyBorder="1" applyAlignment="1">
      <alignment vertical="top" wrapText="1"/>
    </xf>
    <xf numFmtId="3" fontId="16" fillId="0" borderId="0" xfId="27" applyNumberFormat="1" applyFont="1" applyAlignment="1">
      <alignment vertical="top"/>
    </xf>
    <xf numFmtId="0" fontId="16" fillId="0" borderId="7" xfId="27" applyFont="1" applyBorder="1" applyAlignment="1">
      <alignment horizontal="center" vertical="top" wrapText="1"/>
    </xf>
    <xf numFmtId="3" fontId="16" fillId="0" borderId="7" xfId="27" applyNumberFormat="1" applyFont="1" applyBorder="1" applyAlignment="1">
      <alignment horizontal="right" vertical="top"/>
    </xf>
    <xf numFmtId="3" fontId="16" fillId="0" borderId="7" xfId="27" applyNumberFormat="1" applyFont="1" applyBorder="1" applyAlignment="1">
      <alignment vertical="top" wrapText="1"/>
    </xf>
    <xf numFmtId="9" fontId="16" fillId="0" borderId="11" xfId="29" applyFont="1" applyFill="1" applyBorder="1" applyAlignment="1">
      <alignment horizontal="center" vertical="top"/>
    </xf>
    <xf numFmtId="1" fontId="16" fillId="0" borderId="11" xfId="29" applyNumberFormat="1" applyFont="1" applyFill="1" applyBorder="1" applyAlignment="1">
      <alignment horizontal="center" vertical="top"/>
    </xf>
    <xf numFmtId="0" fontId="16" fillId="0" borderId="3" xfId="27" applyFont="1" applyBorder="1" applyAlignment="1">
      <alignment horizontal="center" vertical="center" wrapText="1"/>
    </xf>
    <xf numFmtId="0" fontId="66" fillId="0" borderId="0" xfId="27" applyFont="1" applyAlignment="1">
      <alignment horizontal="center"/>
    </xf>
    <xf numFmtId="49" fontId="16" fillId="0" borderId="0" xfId="27" applyNumberFormat="1" applyFont="1" applyAlignment="1">
      <alignment horizontal="center" vertical="top"/>
    </xf>
    <xf numFmtId="0" fontId="16" fillId="0" borderId="0" xfId="27" applyFont="1" applyAlignment="1">
      <alignment horizontal="justify" vertical="top" wrapText="1"/>
    </xf>
    <xf numFmtId="0" fontId="16" fillId="0" borderId="0" xfId="27" applyFont="1" applyAlignment="1">
      <alignment horizontal="center" vertical="top" wrapText="1"/>
    </xf>
    <xf numFmtId="3" fontId="16" fillId="0" borderId="0" xfId="27" applyNumberFormat="1" applyFont="1" applyAlignment="1">
      <alignment horizontal="right" vertical="top"/>
    </xf>
    <xf numFmtId="3" fontId="16" fillId="0" borderId="0" xfId="27" applyNumberFormat="1" applyFont="1" applyAlignment="1">
      <alignment vertical="top" wrapText="1"/>
    </xf>
    <xf numFmtId="0" fontId="16" fillId="0" borderId="0" xfId="30" applyFont="1" applyAlignment="1">
      <alignment horizontal="center"/>
    </xf>
    <xf numFmtId="0" fontId="16" fillId="0" borderId="0" xfId="30" applyFont="1"/>
    <xf numFmtId="0" fontId="68" fillId="0" borderId="0" xfId="30" applyFont="1" applyAlignment="1">
      <alignment vertical="center" wrapText="1"/>
    </xf>
    <xf numFmtId="0" fontId="27" fillId="0" borderId="0" xfId="30" applyFont="1" applyAlignment="1">
      <alignment horizontal="center"/>
    </xf>
    <xf numFmtId="0" fontId="15" fillId="0" borderId="3" xfId="30" applyFont="1" applyBorder="1" applyAlignment="1">
      <alignment horizontal="center" vertical="center" wrapText="1"/>
    </xf>
    <xf numFmtId="0" fontId="20" fillId="0" borderId="3" xfId="30" applyFont="1" applyBorder="1" applyAlignment="1">
      <alignment horizontal="center"/>
    </xf>
    <xf numFmtId="0" fontId="20" fillId="0" borderId="0" xfId="30" applyFont="1" applyAlignment="1">
      <alignment horizontal="center"/>
    </xf>
    <xf numFmtId="3" fontId="16" fillId="0" borderId="3" xfId="30" applyNumberFormat="1" applyFont="1" applyBorder="1" applyAlignment="1">
      <alignment horizontal="right" vertical="center" wrapText="1"/>
    </xf>
    <xf numFmtId="0" fontId="60" fillId="0" borderId="0" xfId="32" applyFont="1" applyAlignment="1">
      <alignment vertical="center"/>
    </xf>
    <xf numFmtId="3" fontId="16" fillId="0" borderId="3" xfId="30" applyNumberFormat="1" applyFont="1" applyBorder="1" applyAlignment="1">
      <alignment horizontal="center" vertical="center" wrapText="1"/>
    </xf>
    <xf numFmtId="3" fontId="60" fillId="0" borderId="3" xfId="32" applyNumberFormat="1" applyFont="1" applyBorder="1" applyAlignment="1">
      <alignment horizontal="right" vertical="center"/>
    </xf>
    <xf numFmtId="3" fontId="72" fillId="0" borderId="3" xfId="32" applyNumberFormat="1" applyFont="1" applyBorder="1" applyAlignment="1">
      <alignment horizontal="right" vertical="center"/>
    </xf>
    <xf numFmtId="3" fontId="15" fillId="0" borderId="3" xfId="30" applyNumberFormat="1" applyFont="1" applyBorder="1" applyAlignment="1">
      <alignment horizontal="right" vertical="center"/>
    </xf>
    <xf numFmtId="0" fontId="35" fillId="0" borderId="0" xfId="32" applyFont="1" applyAlignment="1">
      <alignment vertical="center"/>
    </xf>
    <xf numFmtId="3" fontId="15" fillId="0" borderId="3" xfId="30" applyNumberFormat="1" applyFont="1" applyBorder="1" applyAlignment="1">
      <alignment horizontal="center" vertical="center" wrapText="1"/>
    </xf>
    <xf numFmtId="3" fontId="35" fillId="0" borderId="3" xfId="32" applyNumberFormat="1" applyFont="1" applyBorder="1" applyAlignment="1">
      <alignment horizontal="right" vertical="center"/>
    </xf>
    <xf numFmtId="3" fontId="23" fillId="0" borderId="3" xfId="30" applyNumberFormat="1" applyFont="1" applyBorder="1" applyAlignment="1">
      <alignment horizontal="right" vertical="center"/>
    </xf>
    <xf numFmtId="3" fontId="23" fillId="0" borderId="3" xfId="30" applyNumberFormat="1" applyFont="1" applyBorder="1" applyAlignment="1">
      <alignment horizontal="center" vertical="center" wrapText="1"/>
    </xf>
    <xf numFmtId="3" fontId="34" fillId="0" borderId="3" xfId="32" applyNumberFormat="1" applyFont="1" applyBorder="1" applyAlignment="1">
      <alignment horizontal="right" vertical="center"/>
    </xf>
    <xf numFmtId="0" fontId="60" fillId="0" borderId="0" xfId="32" applyFont="1"/>
    <xf numFmtId="3" fontId="15" fillId="0" borderId="0" xfId="30" applyNumberFormat="1" applyFont="1" applyAlignment="1">
      <alignment horizontal="right" vertical="center"/>
    </xf>
    <xf numFmtId="0" fontId="71" fillId="0" borderId="0" xfId="33" applyAlignment="1">
      <alignment horizontal="center" vertical="center"/>
    </xf>
    <xf numFmtId="0" fontId="71" fillId="0" borderId="0" xfId="33"/>
    <xf numFmtId="3" fontId="52" fillId="0" borderId="0" xfId="30" applyNumberFormat="1" applyFont="1" applyAlignment="1">
      <alignment horizontal="center" vertical="center" wrapText="1"/>
    </xf>
    <xf numFmtId="0" fontId="60" fillId="0" borderId="0" xfId="33" applyFont="1"/>
    <xf numFmtId="0" fontId="27" fillId="0" borderId="0" xfId="30" applyFont="1" applyAlignment="1">
      <alignment horizontal="center" vertical="center"/>
    </xf>
    <xf numFmtId="0" fontId="16" fillId="0" borderId="0" xfId="30" applyFont="1" applyAlignment="1">
      <alignment vertical="center"/>
    </xf>
    <xf numFmtId="0" fontId="16" fillId="0" borderId="0" xfId="30" applyFont="1" applyAlignment="1">
      <alignment horizontal="center" vertical="center"/>
    </xf>
    <xf numFmtId="0" fontId="27" fillId="0" borderId="0" xfId="30" applyFont="1" applyAlignment="1">
      <alignment vertical="center"/>
    </xf>
    <xf numFmtId="0" fontId="20" fillId="0" borderId="0" xfId="30" applyFont="1" applyAlignment="1">
      <alignment horizontal="center" vertical="center"/>
    </xf>
    <xf numFmtId="3" fontId="60" fillId="0" borderId="3" xfId="32" applyNumberFormat="1" applyFont="1" applyBorder="1" applyAlignment="1">
      <alignment vertical="center"/>
    </xf>
    <xf numFmtId="3" fontId="72" fillId="0" borderId="3" xfId="32" applyNumberFormat="1" applyFont="1" applyBorder="1" applyAlignment="1">
      <alignment vertical="center"/>
    </xf>
    <xf numFmtId="3" fontId="34" fillId="0" borderId="3" xfId="32" applyNumberFormat="1" applyFont="1" applyBorder="1" applyAlignment="1">
      <alignment vertical="center"/>
    </xf>
    <xf numFmtId="0" fontId="71" fillId="0" borderId="0" xfId="33" applyAlignment="1">
      <alignment horizontal="center"/>
    </xf>
    <xf numFmtId="0" fontId="16" fillId="0" borderId="0" xfId="30" applyFont="1" applyAlignment="1">
      <alignment vertical="center" wrapText="1"/>
    </xf>
    <xf numFmtId="0" fontId="1" fillId="0" borderId="0" xfId="34" applyAlignment="1">
      <alignment horizontal="center" vertical="top"/>
    </xf>
    <xf numFmtId="3" fontId="16" fillId="0" borderId="0" xfId="27" applyNumberFormat="1" applyFont="1" applyAlignment="1">
      <alignment horizontal="right"/>
    </xf>
    <xf numFmtId="0" fontId="29" fillId="0" borderId="0" xfId="34" applyFont="1" applyAlignment="1">
      <alignment horizontal="center" vertical="top"/>
    </xf>
    <xf numFmtId="3" fontId="25" fillId="0" borderId="0" xfId="34" applyNumberFormat="1" applyFont="1"/>
    <xf numFmtId="0" fontId="1" fillId="0" borderId="0" xfId="34" applyAlignment="1">
      <alignment vertical="top"/>
    </xf>
    <xf numFmtId="0" fontId="33" fillId="0" borderId="7" xfId="34" applyFont="1" applyBorder="1" applyAlignment="1">
      <alignment horizontal="center" vertical="center"/>
    </xf>
    <xf numFmtId="0" fontId="33" fillId="0" borderId="11" xfId="34" applyFont="1" applyBorder="1" applyAlignment="1">
      <alignment horizontal="center" vertical="center"/>
    </xf>
    <xf numFmtId="0" fontId="33" fillId="0" borderId="8" xfId="34" applyFont="1" applyBorder="1" applyAlignment="1">
      <alignment horizontal="center" vertical="center" wrapText="1"/>
    </xf>
    <xf numFmtId="0" fontId="33" fillId="0" borderId="8" xfId="34" applyFont="1" applyBorder="1" applyAlignment="1">
      <alignment horizontal="center" vertical="center"/>
    </xf>
    <xf numFmtId="0" fontId="33" fillId="0" borderId="12" xfId="34" applyFont="1" applyBorder="1" applyAlignment="1">
      <alignment horizontal="center" vertical="center" wrapText="1"/>
    </xf>
    <xf numFmtId="0" fontId="33" fillId="0" borderId="3" xfId="34" applyFont="1" applyBorder="1" applyAlignment="1">
      <alignment horizontal="center" vertical="center" wrapText="1"/>
    </xf>
    <xf numFmtId="0" fontId="33" fillId="0" borderId="3" xfId="34" applyFont="1" applyBorder="1" applyAlignment="1">
      <alignment horizontal="center" vertical="center"/>
    </xf>
    <xf numFmtId="0" fontId="33" fillId="0" borderId="0" xfId="34" applyFont="1" applyAlignment="1">
      <alignment horizontal="center" vertical="center"/>
    </xf>
    <xf numFmtId="0" fontId="75" fillId="0" borderId="3" xfId="34" applyFont="1" applyBorder="1" applyAlignment="1">
      <alignment horizontal="center" vertical="center"/>
    </xf>
    <xf numFmtId="0" fontId="75" fillId="0" borderId="3" xfId="34" applyFont="1" applyBorder="1" applyAlignment="1">
      <alignment horizontal="center" vertical="center" wrapText="1"/>
    </xf>
    <xf numFmtId="0" fontId="75" fillId="0" borderId="7" xfId="34" applyFont="1" applyBorder="1" applyAlignment="1">
      <alignment horizontal="center" vertical="center" wrapText="1"/>
    </xf>
    <xf numFmtId="0" fontId="75" fillId="0" borderId="8" xfId="34" applyFont="1" applyBorder="1" applyAlignment="1">
      <alignment horizontal="center" vertical="center" wrapText="1"/>
    </xf>
    <xf numFmtId="0" fontId="75" fillId="0" borderId="8" xfId="34" applyFont="1" applyBorder="1" applyAlignment="1">
      <alignment horizontal="center" vertical="center"/>
    </xf>
    <xf numFmtId="0" fontId="75" fillId="0" borderId="0" xfId="34" applyFont="1" applyAlignment="1">
      <alignment horizontal="center" vertical="center"/>
    </xf>
    <xf numFmtId="0" fontId="33" fillId="0" borderId="14" xfId="34" applyFont="1" applyBorder="1" applyAlignment="1">
      <alignment horizontal="center" vertical="top"/>
    </xf>
    <xf numFmtId="0" fontId="33" fillId="0" borderId="5" xfId="34" applyFont="1" applyBorder="1" applyAlignment="1">
      <alignment horizontal="center" vertical="top" wrapText="1"/>
    </xf>
    <xf numFmtId="0" fontId="33" fillId="0" borderId="6" xfId="34" applyFont="1" applyBorder="1" applyAlignment="1">
      <alignment vertical="top" wrapText="1"/>
    </xf>
    <xf numFmtId="4" fontId="33" fillId="0" borderId="7" xfId="34" applyNumberFormat="1" applyFont="1" applyBorder="1" applyAlignment="1">
      <alignment vertical="top"/>
    </xf>
    <xf numFmtId="0" fontId="33" fillId="0" borderId="0" xfId="34" applyFont="1" applyAlignment="1">
      <alignment vertical="top"/>
    </xf>
    <xf numFmtId="0" fontId="1" fillId="0" borderId="1" xfId="34" applyBorder="1" applyAlignment="1">
      <alignment horizontal="center" vertical="top"/>
    </xf>
    <xf numFmtId="49" fontId="1" fillId="0" borderId="7" xfId="34" applyNumberFormat="1" applyBorder="1" applyAlignment="1">
      <alignment horizontal="center" vertical="top" wrapText="1"/>
    </xf>
    <xf numFmtId="0" fontId="1" fillId="0" borderId="7" xfId="34" applyBorder="1" applyAlignment="1">
      <alignment horizontal="left" vertical="top" wrapText="1"/>
    </xf>
    <xf numFmtId="4" fontId="1" fillId="0" borderId="7" xfId="34" applyNumberFormat="1" applyBorder="1" applyAlignment="1">
      <alignment vertical="top"/>
    </xf>
    <xf numFmtId="4" fontId="1" fillId="0" borderId="7" xfId="34" applyNumberFormat="1" applyBorder="1" applyAlignment="1">
      <alignment horizontal="center" vertical="top"/>
    </xf>
    <xf numFmtId="0" fontId="1" fillId="0" borderId="0" xfId="34" applyAlignment="1">
      <alignment horizontal="center" vertical="center"/>
    </xf>
    <xf numFmtId="49" fontId="76" fillId="0" borderId="20" xfId="34" applyNumberFormat="1" applyFont="1" applyBorder="1" applyAlignment="1">
      <alignment horizontal="center" vertical="top" wrapText="1"/>
    </xf>
    <xf numFmtId="0" fontId="76" fillId="0" borderId="21" xfId="34" applyFont="1" applyBorder="1" applyAlignment="1">
      <alignment horizontal="left" vertical="top"/>
    </xf>
    <xf numFmtId="4" fontId="76" fillId="0" borderId="20" xfId="34" applyNumberFormat="1" applyFont="1" applyBorder="1" applyAlignment="1">
      <alignment vertical="top"/>
    </xf>
    <xf numFmtId="4" fontId="1" fillId="0" borderId="20" xfId="34" applyNumberFormat="1" applyBorder="1" applyAlignment="1">
      <alignment horizontal="center" vertical="top"/>
    </xf>
    <xf numFmtId="49" fontId="76" fillId="0" borderId="22" xfId="34" applyNumberFormat="1" applyFont="1" applyBorder="1" applyAlignment="1">
      <alignment horizontal="center" vertical="top" wrapText="1"/>
    </xf>
    <xf numFmtId="0" fontId="76" fillId="0" borderId="23" xfId="34" applyFont="1" applyBorder="1" applyAlignment="1">
      <alignment horizontal="left" vertical="top" wrapText="1"/>
    </xf>
    <xf numFmtId="4" fontId="76" fillId="0" borderId="22" xfId="34" applyNumberFormat="1" applyFont="1" applyBorder="1" applyAlignment="1">
      <alignment vertical="top"/>
    </xf>
    <xf numFmtId="4" fontId="1" fillId="0" borderId="22" xfId="34" applyNumberFormat="1" applyBorder="1" applyAlignment="1">
      <alignment horizontal="center" vertical="top"/>
    </xf>
    <xf numFmtId="0" fontId="1" fillId="0" borderId="7" xfId="34" applyBorder="1" applyAlignment="1">
      <alignment horizontal="left" vertical="top"/>
    </xf>
    <xf numFmtId="4" fontId="1" fillId="0" borderId="7" xfId="34" applyNumberFormat="1" applyBorder="1" applyAlignment="1">
      <alignment horizontal="right" vertical="top"/>
    </xf>
    <xf numFmtId="0" fontId="76" fillId="0" borderId="20" xfId="34" applyFont="1" applyBorder="1" applyAlignment="1">
      <alignment horizontal="center" vertical="top" wrapText="1"/>
    </xf>
    <xf numFmtId="4" fontId="76" fillId="0" borderId="20" xfId="34" applyNumberFormat="1" applyFont="1" applyBorder="1" applyAlignment="1">
      <alignment horizontal="right" vertical="top"/>
    </xf>
    <xf numFmtId="0" fontId="76" fillId="0" borderId="21" xfId="34" applyFont="1" applyBorder="1" applyAlignment="1">
      <alignment vertical="top"/>
    </xf>
    <xf numFmtId="0" fontId="76" fillId="0" borderId="21" xfId="34" applyFont="1" applyBorder="1" applyAlignment="1">
      <alignment vertical="top" wrapText="1"/>
    </xf>
    <xf numFmtId="0" fontId="76" fillId="0" borderId="1" xfId="34" applyFont="1" applyBorder="1" applyAlignment="1">
      <alignment horizontal="center" vertical="top"/>
    </xf>
    <xf numFmtId="0" fontId="76" fillId="0" borderId="20" xfId="34" applyFont="1" applyBorder="1" applyAlignment="1">
      <alignment horizontal="center" vertical="top"/>
    </xf>
    <xf numFmtId="0" fontId="76" fillId="0" borderId="20" xfId="34" applyFont="1" applyBorder="1" applyAlignment="1">
      <alignment vertical="top" wrapText="1"/>
    </xf>
    <xf numFmtId="0" fontId="76" fillId="0" borderId="0" xfId="34" applyFont="1" applyAlignment="1">
      <alignment vertical="center"/>
    </xf>
    <xf numFmtId="0" fontId="76" fillId="0" borderId="22" xfId="34" applyFont="1" applyBorder="1" applyAlignment="1">
      <alignment horizontal="center" vertical="top"/>
    </xf>
    <xf numFmtId="0" fontId="76" fillId="0" borderId="22" xfId="34" applyFont="1" applyBorder="1" applyAlignment="1">
      <alignment vertical="top" wrapText="1"/>
    </xf>
    <xf numFmtId="0" fontId="76" fillId="0" borderId="23" xfId="34" applyFont="1" applyBorder="1" applyAlignment="1">
      <alignment vertical="top" wrapText="1"/>
    </xf>
    <xf numFmtId="0" fontId="76" fillId="0" borderId="24" xfId="34" applyFont="1" applyBorder="1" applyAlignment="1">
      <alignment horizontal="left" vertical="top" wrapText="1"/>
    </xf>
    <xf numFmtId="0" fontId="1" fillId="0" borderId="25" xfId="34" applyBorder="1" applyAlignment="1">
      <alignment horizontal="center" vertical="top"/>
    </xf>
    <xf numFmtId="0" fontId="76" fillId="0" borderId="21" xfId="34" applyFont="1" applyBorder="1" applyAlignment="1">
      <alignment horizontal="left" vertical="top" wrapText="1"/>
    </xf>
    <xf numFmtId="0" fontId="33" fillId="0" borderId="3" xfId="34" applyFont="1" applyBorder="1" applyAlignment="1">
      <alignment horizontal="center" vertical="top" wrapText="1"/>
    </xf>
    <xf numFmtId="0" fontId="1" fillId="0" borderId="15" xfId="34" applyBorder="1" applyAlignment="1">
      <alignment horizontal="left" vertical="top"/>
    </xf>
    <xf numFmtId="49" fontId="76" fillId="0" borderId="26" xfId="34" applyNumberFormat="1" applyFont="1" applyBorder="1" applyAlignment="1">
      <alignment horizontal="center" vertical="top" wrapText="1"/>
    </xf>
    <xf numFmtId="0" fontId="76" fillId="0" borderId="27" xfId="34" applyFont="1" applyBorder="1" applyAlignment="1">
      <alignment horizontal="left" vertical="top" wrapText="1"/>
    </xf>
    <xf numFmtId="4" fontId="76" fillId="0" borderId="26" xfId="34" applyNumberFormat="1" applyFont="1" applyBorder="1" applyAlignment="1">
      <alignment vertical="top"/>
    </xf>
    <xf numFmtId="4" fontId="76" fillId="0" borderId="26" xfId="34" applyNumberFormat="1" applyFont="1" applyBorder="1" applyAlignment="1">
      <alignment horizontal="right" vertical="top"/>
    </xf>
    <xf numFmtId="49" fontId="1" fillId="0" borderId="28" xfId="34" applyNumberFormat="1" applyBorder="1" applyAlignment="1">
      <alignment horizontal="center" vertical="top" wrapText="1"/>
    </xf>
    <xf numFmtId="0" fontId="1" fillId="0" borderId="29" xfId="34" applyBorder="1" applyAlignment="1">
      <alignment horizontal="left" vertical="top" wrapText="1"/>
    </xf>
    <xf numFmtId="4" fontId="1" fillId="0" borderId="28" xfId="34" applyNumberFormat="1" applyBorder="1" applyAlignment="1">
      <alignment vertical="top"/>
    </xf>
    <xf numFmtId="4" fontId="1" fillId="0" borderId="28" xfId="34" applyNumberFormat="1" applyBorder="1" applyAlignment="1">
      <alignment horizontal="right" vertical="top"/>
    </xf>
    <xf numFmtId="0" fontId="76" fillId="0" borderId="8" xfId="34" applyFont="1" applyBorder="1" applyAlignment="1">
      <alignment horizontal="center" vertical="top" wrapText="1"/>
    </xf>
    <xf numFmtId="0" fontId="76" fillId="0" borderId="0" xfId="34" applyFont="1" applyAlignment="1">
      <alignment horizontal="left" vertical="top" wrapText="1"/>
    </xf>
    <xf numFmtId="4" fontId="76" fillId="0" borderId="8" xfId="34" applyNumberFormat="1" applyFont="1" applyBorder="1" applyAlignment="1">
      <alignment vertical="top"/>
    </xf>
    <xf numFmtId="0" fontId="1" fillId="0" borderId="28" xfId="34" applyBorder="1" applyAlignment="1">
      <alignment horizontal="left" vertical="top" wrapText="1"/>
    </xf>
    <xf numFmtId="4" fontId="76" fillId="0" borderId="7" xfId="34" applyNumberFormat="1" applyFont="1" applyBorder="1" applyAlignment="1">
      <alignment vertical="top"/>
    </xf>
    <xf numFmtId="0" fontId="1" fillId="0" borderId="30" xfId="34" applyBorder="1" applyAlignment="1">
      <alignment horizontal="left" vertical="top" wrapText="1"/>
    </xf>
    <xf numFmtId="4" fontId="76" fillId="0" borderId="28" xfId="34" applyNumberFormat="1" applyFont="1" applyBorder="1" applyAlignment="1">
      <alignment vertical="top"/>
    </xf>
    <xf numFmtId="0" fontId="33" fillId="0" borderId="7" xfId="34" applyFont="1" applyBorder="1" applyAlignment="1">
      <alignment horizontal="center" vertical="top"/>
    </xf>
    <xf numFmtId="0" fontId="1" fillId="0" borderId="8" xfId="34" applyBorder="1" applyAlignment="1">
      <alignment horizontal="center" vertical="top"/>
    </xf>
    <xf numFmtId="0" fontId="1" fillId="0" borderId="26" xfId="34" applyBorder="1" applyAlignment="1">
      <alignment horizontal="center" vertical="top" wrapText="1"/>
    </xf>
    <xf numFmtId="0" fontId="1" fillId="0" borderId="27" xfId="34" applyBorder="1" applyAlignment="1">
      <alignment horizontal="left" vertical="top" wrapText="1"/>
    </xf>
    <xf numFmtId="0" fontId="76" fillId="0" borderId="28" xfId="34" applyFont="1" applyBorder="1" applyAlignment="1">
      <alignment horizontal="center" vertical="top" wrapText="1"/>
    </xf>
    <xf numFmtId="0" fontId="76" fillId="0" borderId="31" xfId="34" applyFont="1" applyBorder="1" applyAlignment="1">
      <alignment horizontal="left" vertical="top" wrapText="1"/>
    </xf>
    <xf numFmtId="0" fontId="1" fillId="0" borderId="15" xfId="34" applyBorder="1" applyAlignment="1">
      <alignment horizontal="left" vertical="top" wrapText="1"/>
    </xf>
    <xf numFmtId="0" fontId="76" fillId="0" borderId="8" xfId="34" applyFont="1" applyBorder="1" applyAlignment="1">
      <alignment horizontal="center" vertical="top"/>
    </xf>
    <xf numFmtId="0" fontId="76" fillId="0" borderId="26" xfId="34" applyFont="1" applyBorder="1" applyAlignment="1">
      <alignment horizontal="center" vertical="top" wrapText="1"/>
    </xf>
    <xf numFmtId="0" fontId="76" fillId="0" borderId="0" xfId="34" applyFont="1" applyAlignment="1">
      <alignment horizontal="center" vertical="center"/>
    </xf>
    <xf numFmtId="0" fontId="33" fillId="0" borderId="4" xfId="34" applyFont="1" applyBorder="1" applyAlignment="1">
      <alignment vertical="top" wrapText="1"/>
    </xf>
    <xf numFmtId="0" fontId="1" fillId="0" borderId="7" xfId="34" applyBorder="1" applyAlignment="1">
      <alignment horizontal="center" vertical="top" wrapText="1"/>
    </xf>
    <xf numFmtId="0" fontId="1" fillId="0" borderId="7" xfId="34" applyBorder="1" applyAlignment="1">
      <alignment vertical="top" wrapText="1"/>
    </xf>
    <xf numFmtId="0" fontId="76" fillId="0" borderId="32" xfId="34" applyFont="1" applyBorder="1" applyAlignment="1">
      <alignment vertical="top" wrapText="1"/>
    </xf>
    <xf numFmtId="4" fontId="76" fillId="0" borderId="26" xfId="34" applyNumberFormat="1" applyFont="1" applyBorder="1" applyAlignment="1">
      <alignment horizontal="center" vertical="top"/>
    </xf>
    <xf numFmtId="0" fontId="76" fillId="0" borderId="0" xfId="34" applyFont="1" applyAlignment="1">
      <alignment vertical="top"/>
    </xf>
    <xf numFmtId="0" fontId="1" fillId="0" borderId="7" xfId="34" applyBorder="1" applyAlignment="1">
      <alignment horizontal="center" vertical="top"/>
    </xf>
    <xf numFmtId="4" fontId="1" fillId="0" borderId="8" xfId="34" applyNumberFormat="1" applyBorder="1" applyAlignment="1">
      <alignment vertical="top"/>
    </xf>
    <xf numFmtId="0" fontId="76" fillId="0" borderId="26" xfId="34" applyFont="1" applyBorder="1" applyAlignment="1">
      <alignment horizontal="center" vertical="top"/>
    </xf>
    <xf numFmtId="4" fontId="1" fillId="0" borderId="26" xfId="34" applyNumberFormat="1" applyBorder="1" applyAlignment="1">
      <alignment vertical="top"/>
    </xf>
    <xf numFmtId="0" fontId="76" fillId="0" borderId="33" xfId="34" applyFont="1" applyBorder="1" applyAlignment="1">
      <alignment vertical="top" wrapText="1"/>
    </xf>
    <xf numFmtId="4" fontId="1" fillId="0" borderId="20" xfId="34" applyNumberFormat="1" applyBorder="1" applyAlignment="1">
      <alignment vertical="top"/>
    </xf>
    <xf numFmtId="4" fontId="1" fillId="0" borderId="34" xfId="34" applyNumberFormat="1" applyBorder="1" applyAlignment="1">
      <alignment vertical="top"/>
    </xf>
    <xf numFmtId="3" fontId="33" fillId="0" borderId="5" xfId="34" applyNumberFormat="1" applyFont="1" applyBorder="1" applyAlignment="1">
      <alignment horizontal="center" vertical="top"/>
    </xf>
    <xf numFmtId="4" fontId="33" fillId="0" borderId="7" xfId="34" applyNumberFormat="1" applyFont="1" applyBorder="1" applyAlignment="1">
      <alignment horizontal="right" vertical="top"/>
    </xf>
    <xf numFmtId="0" fontId="1" fillId="0" borderId="28" xfId="34" applyBorder="1" applyAlignment="1">
      <alignment horizontal="center" vertical="top"/>
    </xf>
    <xf numFmtId="0" fontId="1" fillId="0" borderId="28" xfId="34" applyBorder="1" applyAlignment="1">
      <alignment vertical="top"/>
    </xf>
    <xf numFmtId="0" fontId="76" fillId="0" borderId="22" xfId="34" applyFont="1" applyBorder="1" applyAlignment="1">
      <alignment vertical="top"/>
    </xf>
    <xf numFmtId="4" fontId="1" fillId="0" borderId="22" xfId="34" applyNumberFormat="1" applyBorder="1" applyAlignment="1">
      <alignment vertical="top"/>
    </xf>
    <xf numFmtId="0" fontId="76" fillId="0" borderId="20" xfId="34" applyFont="1" applyBorder="1" applyAlignment="1">
      <alignment vertical="top"/>
    </xf>
    <xf numFmtId="0" fontId="76" fillId="0" borderId="26" xfId="34" applyFont="1" applyBorder="1" applyAlignment="1">
      <alignment vertical="top" wrapText="1"/>
    </xf>
    <xf numFmtId="3" fontId="33" fillId="0" borderId="14" xfId="34" applyNumberFormat="1" applyFont="1" applyBorder="1" applyAlignment="1">
      <alignment horizontal="center" vertical="top"/>
    </xf>
    <xf numFmtId="3" fontId="33" fillId="0" borderId="15" xfId="34" applyNumberFormat="1" applyFont="1" applyBorder="1" applyAlignment="1">
      <alignment vertical="top" wrapText="1"/>
    </xf>
    <xf numFmtId="3" fontId="33" fillId="0" borderId="0" xfId="34" applyNumberFormat="1" applyFont="1" applyAlignment="1">
      <alignment vertical="top"/>
    </xf>
    <xf numFmtId="0" fontId="76" fillId="0" borderId="27" xfId="34" applyFont="1" applyBorder="1" applyAlignment="1">
      <alignment horizontal="left" vertical="top"/>
    </xf>
    <xf numFmtId="0" fontId="1" fillId="0" borderId="34" xfId="34" applyBorder="1" applyAlignment="1">
      <alignment horizontal="center" vertical="top"/>
    </xf>
    <xf numFmtId="0" fontId="1" fillId="0" borderId="34" xfId="34" applyBorder="1" applyAlignment="1">
      <alignment vertical="top"/>
    </xf>
    <xf numFmtId="0" fontId="1" fillId="0" borderId="11" xfId="34" applyBorder="1" applyAlignment="1">
      <alignment horizontal="center" vertical="top"/>
    </xf>
    <xf numFmtId="0" fontId="33" fillId="0" borderId="5" xfId="34" applyFont="1" applyBorder="1" applyAlignment="1">
      <alignment horizontal="center" vertical="top"/>
    </xf>
    <xf numFmtId="0" fontId="33" fillId="0" borderId="10" xfId="34" applyFont="1" applyBorder="1" applyAlignment="1">
      <alignment vertical="top" wrapText="1"/>
    </xf>
    <xf numFmtId="4" fontId="33" fillId="0" borderId="3" xfId="34" applyNumberFormat="1" applyFont="1" applyBorder="1" applyAlignment="1">
      <alignment vertical="top"/>
    </xf>
    <xf numFmtId="0" fontId="1" fillId="0" borderId="30" xfId="34" applyBorder="1" applyAlignment="1">
      <alignment vertical="top" wrapText="1"/>
    </xf>
    <xf numFmtId="0" fontId="1" fillId="0" borderId="25" xfId="34" applyBorder="1" applyAlignment="1">
      <alignment vertical="top" wrapText="1"/>
    </xf>
    <xf numFmtId="0" fontId="1" fillId="0" borderId="0" xfId="34" applyAlignment="1">
      <alignment vertical="center"/>
    </xf>
    <xf numFmtId="0" fontId="76" fillId="0" borderId="34" xfId="34" applyFont="1" applyBorder="1" applyAlignment="1">
      <alignment vertical="top"/>
    </xf>
    <xf numFmtId="0" fontId="33" fillId="0" borderId="15" xfId="34" applyFont="1" applyBorder="1" applyAlignment="1">
      <alignment vertical="top" wrapText="1"/>
    </xf>
    <xf numFmtId="0" fontId="1" fillId="0" borderId="28" xfId="34" applyBorder="1" applyAlignment="1">
      <alignment vertical="top" wrapText="1"/>
    </xf>
    <xf numFmtId="0" fontId="1" fillId="0" borderId="34" xfId="34" applyBorder="1" applyAlignment="1">
      <alignment vertical="top" wrapText="1"/>
    </xf>
    <xf numFmtId="0" fontId="1" fillId="0" borderId="2" xfId="34" applyBorder="1" applyAlignment="1">
      <alignment horizontal="center" vertical="top"/>
    </xf>
    <xf numFmtId="0" fontId="33" fillId="0" borderId="0" xfId="34" applyFont="1" applyAlignment="1">
      <alignment vertical="center"/>
    </xf>
    <xf numFmtId="0" fontId="1" fillId="0" borderId="30" xfId="34" applyBorder="1" applyAlignment="1">
      <alignment vertical="top"/>
    </xf>
    <xf numFmtId="4" fontId="76" fillId="0" borderId="11" xfId="34" applyNumberFormat="1" applyFont="1" applyBorder="1" applyAlignment="1">
      <alignment vertical="top"/>
    </xf>
    <xf numFmtId="4" fontId="1" fillId="0" borderId="11" xfId="34" applyNumberFormat="1" applyBorder="1" applyAlignment="1">
      <alignment vertical="top"/>
    </xf>
    <xf numFmtId="0" fontId="76" fillId="0" borderId="34" xfId="34" applyFont="1" applyBorder="1" applyAlignment="1">
      <alignment horizontal="center" vertical="top"/>
    </xf>
    <xf numFmtId="0" fontId="76" fillId="0" borderId="34" xfId="34" applyFont="1" applyBorder="1" applyAlignment="1">
      <alignment vertical="top" wrapText="1"/>
    </xf>
    <xf numFmtId="4" fontId="76" fillId="0" borderId="34" xfId="34" applyNumberFormat="1" applyFont="1" applyBorder="1" applyAlignment="1">
      <alignment vertical="top"/>
    </xf>
    <xf numFmtId="3" fontId="30" fillId="0" borderId="14" xfId="34" applyNumberFormat="1" applyFont="1" applyBorder="1" applyAlignment="1">
      <alignment horizontal="center" vertical="top"/>
    </xf>
    <xf numFmtId="0" fontId="30" fillId="0" borderId="5" xfId="34" applyFont="1" applyBorder="1" applyAlignment="1">
      <alignment horizontal="center" vertical="top"/>
    </xf>
    <xf numFmtId="4" fontId="30" fillId="0" borderId="4" xfId="34" applyNumberFormat="1" applyFont="1" applyBorder="1" applyAlignment="1">
      <alignment vertical="top" wrapText="1"/>
    </xf>
    <xf numFmtId="4" fontId="30" fillId="0" borderId="3" xfId="34" applyNumberFormat="1" applyFont="1" applyBorder="1" applyAlignment="1">
      <alignment horizontal="right" vertical="top"/>
    </xf>
    <xf numFmtId="4" fontId="30" fillId="0" borderId="0" xfId="34" applyNumberFormat="1" applyFont="1" applyAlignment="1">
      <alignment vertical="top"/>
    </xf>
    <xf numFmtId="3" fontId="29" fillId="0" borderId="1" xfId="34" applyNumberFormat="1" applyFont="1" applyBorder="1" applyAlignment="1">
      <alignment horizontal="center" vertical="top"/>
    </xf>
    <xf numFmtId="0" fontId="29" fillId="0" borderId="28" xfId="34" applyFont="1" applyBorder="1" applyAlignment="1">
      <alignment horizontal="center" vertical="top"/>
    </xf>
    <xf numFmtId="4" fontId="29" fillId="0" borderId="28" xfId="34" applyNumberFormat="1" applyFont="1" applyBorder="1" applyAlignment="1">
      <alignment vertical="top"/>
    </xf>
    <xf numFmtId="4" fontId="29" fillId="0" borderId="7" xfId="34" applyNumberFormat="1" applyFont="1" applyBorder="1" applyAlignment="1">
      <alignment horizontal="right" vertical="top"/>
    </xf>
    <xf numFmtId="4" fontId="29" fillId="0" borderId="30" xfId="34" applyNumberFormat="1" applyFont="1" applyBorder="1" applyAlignment="1">
      <alignment horizontal="right" vertical="top"/>
    </xf>
    <xf numFmtId="4" fontId="29" fillId="0" borderId="28" xfId="34" applyNumberFormat="1" applyFont="1" applyBorder="1" applyAlignment="1">
      <alignment horizontal="right" vertical="top"/>
    </xf>
    <xf numFmtId="4" fontId="29" fillId="0" borderId="0" xfId="34" applyNumberFormat="1" applyFont="1" applyAlignment="1">
      <alignment vertical="top"/>
    </xf>
    <xf numFmtId="0" fontId="61" fillId="0" borderId="26" xfId="34" applyFont="1" applyBorder="1" applyAlignment="1">
      <alignment horizontal="center" vertical="top" wrapText="1"/>
    </xf>
    <xf numFmtId="4" fontId="61" fillId="0" borderId="35" xfId="34" applyNumberFormat="1" applyFont="1" applyBorder="1" applyAlignment="1">
      <alignment horizontal="left" vertical="top" wrapText="1"/>
    </xf>
    <xf numFmtId="4" fontId="61" fillId="0" borderId="26" xfId="34" applyNumberFormat="1" applyFont="1" applyBorder="1" applyAlignment="1">
      <alignment vertical="top"/>
    </xf>
    <xf numFmtId="4" fontId="61" fillId="0" borderId="26" xfId="34" applyNumberFormat="1" applyFont="1" applyBorder="1" applyAlignment="1">
      <alignment horizontal="right" vertical="top"/>
    </xf>
    <xf numFmtId="4" fontId="29" fillId="0" borderId="26" xfId="34" applyNumberFormat="1" applyFont="1" applyBorder="1" applyAlignment="1">
      <alignment vertical="top"/>
    </xf>
    <xf numFmtId="4" fontId="29" fillId="0" borderId="32" xfId="34" applyNumberFormat="1" applyFont="1" applyBorder="1" applyAlignment="1">
      <alignment horizontal="right" vertical="top"/>
    </xf>
    <xf numFmtId="4" fontId="29" fillId="0" borderId="26" xfId="34" applyNumberFormat="1" applyFont="1" applyBorder="1" applyAlignment="1">
      <alignment horizontal="right" vertical="top"/>
    </xf>
    <xf numFmtId="3" fontId="29" fillId="0" borderId="8" xfId="34" applyNumberFormat="1" applyFont="1" applyBorder="1" applyAlignment="1">
      <alignment horizontal="center" vertical="top"/>
    </xf>
    <xf numFmtId="4" fontId="29" fillId="0" borderId="28" xfId="34" applyNumberFormat="1" applyFont="1" applyBorder="1" applyAlignment="1">
      <alignment horizontal="left" vertical="top" wrapText="1"/>
    </xf>
    <xf numFmtId="0" fontId="61" fillId="0" borderId="20" xfId="34" applyFont="1" applyBorder="1" applyAlignment="1">
      <alignment horizontal="center" vertical="top"/>
    </xf>
    <xf numFmtId="4" fontId="61" fillId="0" borderId="36" xfId="34" applyNumberFormat="1" applyFont="1" applyBorder="1" applyAlignment="1">
      <alignment vertical="top"/>
    </xf>
    <xf numFmtId="4" fontId="29" fillId="0" borderId="20" xfId="34" applyNumberFormat="1" applyFont="1" applyBorder="1" applyAlignment="1">
      <alignment vertical="top"/>
    </xf>
    <xf numFmtId="4" fontId="61" fillId="0" borderId="33" xfId="34" applyNumberFormat="1" applyFont="1" applyBorder="1" applyAlignment="1">
      <alignment horizontal="right" vertical="top"/>
    </xf>
    <xf numFmtId="4" fontId="61" fillId="0" borderId="20" xfId="34" applyNumberFormat="1" applyFont="1" applyBorder="1" applyAlignment="1">
      <alignment horizontal="right" vertical="top"/>
    </xf>
    <xf numFmtId="4" fontId="29" fillId="0" borderId="0" xfId="34" applyNumberFormat="1" applyFont="1" applyAlignment="1">
      <alignment vertical="center"/>
    </xf>
    <xf numFmtId="3" fontId="61" fillId="0" borderId="1" xfId="34" applyNumberFormat="1" applyFont="1" applyBorder="1" applyAlignment="1">
      <alignment horizontal="center" vertical="top"/>
    </xf>
    <xf numFmtId="0" fontId="61" fillId="0" borderId="8" xfId="34" applyFont="1" applyBorder="1" applyAlignment="1">
      <alignment horizontal="center" vertical="top"/>
    </xf>
    <xf numFmtId="4" fontId="61" fillId="0" borderId="8" xfId="34" applyNumberFormat="1" applyFont="1" applyBorder="1" applyAlignment="1">
      <alignment vertical="top" wrapText="1"/>
    </xf>
    <xf numFmtId="4" fontId="61" fillId="0" borderId="8" xfId="34" applyNumberFormat="1" applyFont="1" applyBorder="1" applyAlignment="1">
      <alignment vertical="top"/>
    </xf>
    <xf numFmtId="4" fontId="61" fillId="0" borderId="34" xfId="34" applyNumberFormat="1" applyFont="1" applyBorder="1" applyAlignment="1">
      <alignment vertical="top"/>
    </xf>
    <xf numFmtId="4" fontId="61" fillId="0" borderId="0" xfId="34" applyNumberFormat="1" applyFont="1" applyAlignment="1">
      <alignment vertical="center"/>
    </xf>
    <xf numFmtId="0" fontId="61" fillId="0" borderId="26" xfId="34" applyFont="1" applyBorder="1" applyAlignment="1">
      <alignment horizontal="center" vertical="top"/>
    </xf>
    <xf numFmtId="4" fontId="61" fillId="0" borderId="35" xfId="34" applyNumberFormat="1" applyFont="1" applyBorder="1" applyAlignment="1">
      <alignment vertical="top" wrapText="1"/>
    </xf>
    <xf numFmtId="0" fontId="29" fillId="0" borderId="34" xfId="34" applyFont="1" applyBorder="1" applyAlignment="1">
      <alignment horizontal="center" vertical="top"/>
    </xf>
    <xf numFmtId="4" fontId="29" fillId="0" borderId="9" xfId="34" applyNumberFormat="1" applyFont="1" applyBorder="1" applyAlignment="1">
      <alignment horizontal="left" vertical="top" wrapText="1"/>
    </xf>
    <xf numFmtId="4" fontId="29" fillId="0" borderId="7" xfId="34" applyNumberFormat="1" applyFont="1" applyBorder="1" applyAlignment="1">
      <alignment vertical="top"/>
    </xf>
    <xf numFmtId="4" fontId="61" fillId="0" borderId="22" xfId="34" applyNumberFormat="1" applyFont="1" applyBorder="1" applyAlignment="1">
      <alignment vertical="top" wrapText="1"/>
    </xf>
    <xf numFmtId="4" fontId="61" fillId="0" borderId="20" xfId="34" applyNumberFormat="1" applyFont="1" applyBorder="1" applyAlignment="1">
      <alignment vertical="top"/>
    </xf>
    <xf numFmtId="4" fontId="29" fillId="0" borderId="29" xfId="34" applyNumberFormat="1" applyFont="1" applyBorder="1" applyAlignment="1">
      <alignment horizontal="left" vertical="top" wrapText="1"/>
    </xf>
    <xf numFmtId="4" fontId="61" fillId="0" borderId="22" xfId="34" applyNumberFormat="1" applyFont="1" applyBorder="1" applyAlignment="1">
      <alignment vertical="top"/>
    </xf>
    <xf numFmtId="3" fontId="61" fillId="0" borderId="8" xfId="34" applyNumberFormat="1" applyFont="1" applyBorder="1" applyAlignment="1">
      <alignment horizontal="center" vertical="top"/>
    </xf>
    <xf numFmtId="0" fontId="29" fillId="0" borderId="7" xfId="34" applyFont="1" applyBorder="1" applyAlignment="1">
      <alignment horizontal="center" vertical="top"/>
    </xf>
    <xf numFmtId="4" fontId="29" fillId="0" borderId="15" xfId="34" applyNumberFormat="1" applyFont="1" applyBorder="1" applyAlignment="1">
      <alignment horizontal="left" vertical="top" wrapText="1"/>
    </xf>
    <xf numFmtId="0" fontId="61" fillId="0" borderId="22" xfId="34" applyFont="1" applyBorder="1" applyAlignment="1">
      <alignment horizontal="center" vertical="top"/>
    </xf>
    <xf numFmtId="0" fontId="61" fillId="0" borderId="11" xfId="34" applyFont="1" applyBorder="1" applyAlignment="1">
      <alignment horizontal="center" vertical="top"/>
    </xf>
    <xf numFmtId="4" fontId="61" fillId="0" borderId="11" xfId="34" applyNumberFormat="1" applyFont="1" applyBorder="1" applyAlignment="1">
      <alignment vertical="top" wrapText="1"/>
    </xf>
    <xf numFmtId="4" fontId="61" fillId="0" borderId="11" xfId="34" applyNumberFormat="1" applyFont="1" applyBorder="1" applyAlignment="1">
      <alignment vertical="top"/>
    </xf>
    <xf numFmtId="4" fontId="29" fillId="0" borderId="37" xfId="34" applyNumberFormat="1" applyFont="1" applyBorder="1" applyAlignment="1">
      <alignment horizontal="left" vertical="top" wrapText="1"/>
    </xf>
    <xf numFmtId="4" fontId="29" fillId="0" borderId="34" xfId="34" applyNumberFormat="1" applyFont="1" applyBorder="1" applyAlignment="1">
      <alignment vertical="top"/>
    </xf>
    <xf numFmtId="4" fontId="61" fillId="0" borderId="20" xfId="34" applyNumberFormat="1" applyFont="1" applyBorder="1" applyAlignment="1">
      <alignment vertical="top" wrapText="1"/>
    </xf>
    <xf numFmtId="3" fontId="61" fillId="0" borderId="11" xfId="34" applyNumberFormat="1" applyFont="1" applyBorder="1" applyAlignment="1">
      <alignment horizontal="center" vertical="top"/>
    </xf>
    <xf numFmtId="3" fontId="61" fillId="0" borderId="0" xfId="34" applyNumberFormat="1" applyFont="1" applyAlignment="1">
      <alignment horizontal="center" vertical="top"/>
    </xf>
    <xf numFmtId="3" fontId="61" fillId="0" borderId="0" xfId="34" applyNumberFormat="1" applyFont="1" applyAlignment="1">
      <alignment vertical="top"/>
    </xf>
    <xf numFmtId="4" fontId="61" fillId="0" borderId="0" xfId="34" applyNumberFormat="1" applyFont="1" applyAlignment="1">
      <alignment vertical="top"/>
    </xf>
    <xf numFmtId="4" fontId="1" fillId="0" borderId="0" xfId="34" applyNumberFormat="1" applyAlignment="1">
      <alignment vertical="top"/>
    </xf>
    <xf numFmtId="0" fontId="29" fillId="0" borderId="0" xfId="34" applyFont="1" applyAlignment="1">
      <alignment vertical="top"/>
    </xf>
    <xf numFmtId="0" fontId="27" fillId="0" borderId="0" xfId="27" applyFont="1" applyAlignment="1">
      <alignment horizontal="center" vertical="center"/>
    </xf>
    <xf numFmtId="49" fontId="16" fillId="0" borderId="7" xfId="10" applyNumberFormat="1" applyFont="1" applyBorder="1" applyAlignment="1">
      <alignment horizontal="center" vertical="center"/>
    </xf>
    <xf numFmtId="49" fontId="16" fillId="0" borderId="8" xfId="10" applyNumberFormat="1" applyFont="1" applyBorder="1" applyAlignment="1">
      <alignment horizontal="center" vertical="center"/>
    </xf>
    <xf numFmtId="49" fontId="16" fillId="0" borderId="11" xfId="10" applyNumberFormat="1" applyFont="1" applyBorder="1" applyAlignment="1">
      <alignment horizontal="center" vertical="center"/>
    </xf>
    <xf numFmtId="49" fontId="16" fillId="0" borderId="7" xfId="10" applyNumberFormat="1" applyFont="1" applyBorder="1" applyAlignment="1">
      <alignment horizontal="left" vertical="center" wrapText="1"/>
    </xf>
    <xf numFmtId="49" fontId="16" fillId="0" borderId="8" xfId="10" applyNumberFormat="1" applyFont="1" applyBorder="1" applyAlignment="1">
      <alignment horizontal="left" vertical="center" wrapText="1"/>
    </xf>
    <xf numFmtId="49" fontId="16" fillId="0" borderId="11" xfId="10" applyNumberFormat="1" applyFont="1" applyBorder="1" applyAlignment="1">
      <alignment horizontal="left" vertical="center" wrapText="1"/>
    </xf>
    <xf numFmtId="49" fontId="27" fillId="0" borderId="0" xfId="10" applyNumberFormat="1" applyFont="1" applyAlignment="1">
      <alignment horizontal="center" vertical="center"/>
    </xf>
    <xf numFmtId="49" fontId="15" fillId="0" borderId="7" xfId="10" applyNumberFormat="1" applyFont="1" applyBorder="1" applyAlignment="1">
      <alignment horizontal="center" vertical="center" wrapText="1"/>
    </xf>
    <xf numFmtId="49" fontId="15" fillId="0" borderId="8" xfId="10" applyNumberFormat="1" applyFont="1" applyBorder="1" applyAlignment="1">
      <alignment horizontal="center" vertical="center" wrapText="1"/>
    </xf>
    <xf numFmtId="49" fontId="15" fillId="0" borderId="11" xfId="10" applyNumberFormat="1" applyFont="1" applyBorder="1" applyAlignment="1">
      <alignment horizontal="center" vertical="center" wrapText="1"/>
    </xf>
    <xf numFmtId="49" fontId="15" fillId="0" borderId="14" xfId="10" applyNumberFormat="1" applyFont="1" applyBorder="1" applyAlignment="1">
      <alignment horizontal="center" vertical="center" wrapText="1"/>
    </xf>
    <xf numFmtId="49" fontId="15" fillId="0" borderId="1" xfId="10" applyNumberFormat="1" applyFont="1" applyBorder="1" applyAlignment="1">
      <alignment horizontal="center" vertical="center" wrapText="1"/>
    </xf>
    <xf numFmtId="49" fontId="15" fillId="0" borderId="2" xfId="10" applyNumberFormat="1" applyFont="1" applyBorder="1" applyAlignment="1">
      <alignment horizontal="center" vertical="center" wrapText="1"/>
    </xf>
    <xf numFmtId="2" fontId="15" fillId="0" borderId="7" xfId="10" applyNumberFormat="1" applyFont="1" applyBorder="1" applyAlignment="1">
      <alignment horizontal="center" vertical="center" wrapText="1"/>
    </xf>
    <xf numFmtId="2" fontId="15" fillId="0" borderId="8" xfId="10" applyNumberFormat="1" applyFont="1" applyBorder="1" applyAlignment="1">
      <alignment horizontal="center" vertical="center" wrapText="1"/>
    </xf>
    <xf numFmtId="2" fontId="15" fillId="0" borderId="11" xfId="10" applyNumberFormat="1" applyFont="1" applyBorder="1" applyAlignment="1">
      <alignment horizontal="center" vertical="center" wrapText="1"/>
    </xf>
    <xf numFmtId="2" fontId="15" fillId="0" borderId="14" xfId="10" applyNumberFormat="1" applyFont="1" applyBorder="1" applyAlignment="1">
      <alignment horizontal="center" vertical="center" wrapText="1"/>
    </xf>
    <xf numFmtId="2" fontId="15" fillId="0" borderId="1" xfId="10" applyNumberFormat="1" applyFont="1" applyBorder="1" applyAlignment="1">
      <alignment horizontal="center" vertical="center" wrapText="1"/>
    </xf>
    <xf numFmtId="2" fontId="15" fillId="0" borderId="2" xfId="10" applyNumberFormat="1" applyFont="1" applyBorder="1" applyAlignment="1">
      <alignment horizontal="center" vertical="center" wrapText="1"/>
    </xf>
    <xf numFmtId="2" fontId="15" fillId="0" borderId="6" xfId="10" applyNumberFormat="1" applyFont="1" applyBorder="1" applyAlignment="1">
      <alignment horizontal="center" vertical="center" wrapText="1"/>
    </xf>
    <xf numFmtId="2" fontId="15" fillId="0" borderId="15" xfId="10" applyNumberFormat="1" applyFont="1" applyBorder="1" applyAlignment="1">
      <alignment horizontal="center" vertical="center" wrapText="1"/>
    </xf>
    <xf numFmtId="2" fontId="15" fillId="0" borderId="5" xfId="10" applyNumberFormat="1" applyFont="1" applyBorder="1" applyAlignment="1">
      <alignment horizontal="center" vertical="center" wrapText="1"/>
    </xf>
    <xf numFmtId="2" fontId="15" fillId="0" borderId="10" xfId="10" applyNumberFormat="1" applyFont="1" applyBorder="1" applyAlignment="1">
      <alignment horizontal="center" vertical="center" wrapText="1"/>
    </xf>
    <xf numFmtId="2" fontId="15" fillId="0" borderId="4" xfId="10" applyNumberFormat="1" applyFont="1" applyBorder="1" applyAlignment="1">
      <alignment horizontal="center" vertical="center" wrapText="1"/>
    </xf>
    <xf numFmtId="49" fontId="16" fillId="0" borderId="7" xfId="10" applyNumberFormat="1" applyFont="1" applyBorder="1" applyAlignment="1">
      <alignment horizontal="center" vertical="center" wrapText="1"/>
    </xf>
    <xf numFmtId="49" fontId="16" fillId="0" borderId="8" xfId="10" applyNumberFormat="1" applyFont="1" applyBorder="1" applyAlignment="1">
      <alignment horizontal="center" vertical="center" wrapText="1"/>
    </xf>
    <xf numFmtId="49" fontId="16" fillId="0" borderId="11" xfId="10" applyNumberFormat="1" applyFont="1" applyBorder="1" applyAlignment="1">
      <alignment horizontal="center" vertical="center" wrapText="1"/>
    </xf>
    <xf numFmtId="3" fontId="16" fillId="0" borderId="7" xfId="10" applyNumberFormat="1" applyFont="1" applyBorder="1" applyAlignment="1">
      <alignment horizontal="left" vertical="center" wrapText="1"/>
    </xf>
    <xf numFmtId="3" fontId="16" fillId="0" borderId="8" xfId="10" applyNumberFormat="1" applyFont="1" applyBorder="1" applyAlignment="1">
      <alignment horizontal="left" vertical="center" wrapText="1"/>
    </xf>
    <xf numFmtId="3" fontId="16" fillId="0" borderId="11" xfId="10" applyNumberFormat="1" applyFont="1" applyBorder="1" applyAlignment="1">
      <alignment horizontal="left" vertical="center" wrapText="1"/>
    </xf>
    <xf numFmtId="3" fontId="21" fillId="2" borderId="14" xfId="10" applyNumberFormat="1" applyFont="1" applyFill="1" applyBorder="1" applyAlignment="1">
      <alignment horizontal="center" vertical="center" wrapText="1"/>
    </xf>
    <xf numFmtId="3" fontId="21" fillId="2" borderId="1" xfId="10" applyNumberFormat="1" applyFont="1" applyFill="1" applyBorder="1" applyAlignment="1">
      <alignment horizontal="center" vertical="center" wrapText="1"/>
    </xf>
    <xf numFmtId="3" fontId="21" fillId="2" borderId="2" xfId="10" applyNumberFormat="1" applyFont="1" applyFill="1" applyBorder="1" applyAlignment="1">
      <alignment horizontal="center" vertical="center" wrapText="1"/>
    </xf>
    <xf numFmtId="49" fontId="15" fillId="2" borderId="7" xfId="10" applyNumberFormat="1" applyFont="1" applyFill="1" applyBorder="1" applyAlignment="1">
      <alignment horizontal="center" vertical="center" wrapText="1"/>
    </xf>
    <xf numFmtId="49" fontId="15" fillId="2" borderId="8" xfId="10" applyNumberFormat="1" applyFont="1" applyFill="1" applyBorder="1" applyAlignment="1">
      <alignment horizontal="center" vertical="center" wrapText="1"/>
    </xf>
    <xf numFmtId="49" fontId="15" fillId="2" borderId="11" xfId="10" applyNumberFormat="1" applyFont="1" applyFill="1" applyBorder="1" applyAlignment="1">
      <alignment horizontal="center" vertical="center" wrapText="1"/>
    </xf>
    <xf numFmtId="49" fontId="23" fillId="2" borderId="14" xfId="10" applyNumberFormat="1" applyFont="1" applyFill="1" applyBorder="1" applyAlignment="1">
      <alignment horizontal="center" vertical="center"/>
    </xf>
    <xf numFmtId="49" fontId="23" fillId="2" borderId="15" xfId="10" applyNumberFormat="1" applyFont="1" applyFill="1" applyBorder="1" applyAlignment="1">
      <alignment horizontal="center" vertical="center"/>
    </xf>
    <xf numFmtId="49" fontId="23" fillId="2" borderId="1" xfId="10" applyNumberFormat="1" applyFont="1" applyFill="1" applyBorder="1" applyAlignment="1">
      <alignment horizontal="center" vertical="center"/>
    </xf>
    <xf numFmtId="49" fontId="23" fillId="2" borderId="9" xfId="10" applyNumberFormat="1" applyFont="1" applyFill="1" applyBorder="1" applyAlignment="1">
      <alignment horizontal="center" vertical="center"/>
    </xf>
    <xf numFmtId="49" fontId="23" fillId="2" borderId="2" xfId="10" applyNumberFormat="1" applyFont="1" applyFill="1" applyBorder="1" applyAlignment="1">
      <alignment horizontal="center" vertical="center"/>
    </xf>
    <xf numFmtId="49" fontId="23" fillId="2" borderId="13" xfId="10" applyNumberFormat="1" applyFont="1" applyFill="1" applyBorder="1" applyAlignment="1">
      <alignment horizontal="center" vertical="center"/>
    </xf>
    <xf numFmtId="49" fontId="16" fillId="0" borderId="3" xfId="10" applyNumberFormat="1" applyFont="1" applyBorder="1" applyAlignment="1">
      <alignment horizontal="center" vertical="center" wrapText="1"/>
    </xf>
    <xf numFmtId="49" fontId="15" fillId="2" borderId="14" xfId="10" applyNumberFormat="1" applyFont="1" applyFill="1" applyBorder="1" applyAlignment="1">
      <alignment horizontal="center" vertical="center" wrapText="1"/>
    </xf>
    <xf numFmtId="49" fontId="15" fillId="2" borderId="1" xfId="10" applyNumberFormat="1" applyFont="1" applyFill="1" applyBorder="1" applyAlignment="1">
      <alignment horizontal="center" vertical="center" wrapText="1"/>
    </xf>
    <xf numFmtId="49" fontId="15" fillId="2" borderId="2" xfId="10" applyNumberFormat="1" applyFont="1" applyFill="1" applyBorder="1" applyAlignment="1">
      <alignment horizontal="center" vertical="center" wrapText="1"/>
    </xf>
    <xf numFmtId="3" fontId="21" fillId="2" borderId="15" xfId="10" applyNumberFormat="1" applyFont="1" applyFill="1" applyBorder="1" applyAlignment="1">
      <alignment horizontal="left" vertical="center" wrapText="1"/>
    </xf>
    <xf numFmtId="3" fontId="21" fillId="2" borderId="9" xfId="10" applyNumberFormat="1" applyFont="1" applyFill="1" applyBorder="1" applyAlignment="1">
      <alignment horizontal="left" vertical="center" wrapText="1"/>
    </xf>
    <xf numFmtId="3" fontId="21" fillId="2" borderId="13" xfId="10" applyNumberFormat="1" applyFont="1" applyFill="1" applyBorder="1" applyAlignment="1">
      <alignment horizontal="left" vertical="center" wrapText="1"/>
    </xf>
    <xf numFmtId="3" fontId="16" fillId="0" borderId="3" xfId="10" applyNumberFormat="1" applyFont="1" applyBorder="1" applyAlignment="1">
      <alignment horizontal="left" vertical="center" wrapText="1"/>
    </xf>
    <xf numFmtId="0" fontId="16" fillId="0" borderId="0" xfId="1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49" fontId="25" fillId="0" borderId="7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left" vertical="center" wrapText="1"/>
    </xf>
    <xf numFmtId="4" fontId="25" fillId="0" borderId="8" xfId="0" applyNumberFormat="1" applyFont="1" applyBorder="1" applyAlignment="1">
      <alignment horizontal="left" vertical="center" wrapText="1"/>
    </xf>
    <xf numFmtId="4" fontId="25" fillId="0" borderId="11" xfId="0" applyNumberFormat="1" applyFont="1" applyBorder="1" applyAlignment="1">
      <alignment horizontal="left" vertical="center" wrapText="1"/>
    </xf>
    <xf numFmtId="49" fontId="34" fillId="3" borderId="7" xfId="0" applyNumberFormat="1" applyFont="1" applyFill="1" applyBorder="1" applyAlignment="1">
      <alignment horizontal="center" vertical="center"/>
    </xf>
    <xf numFmtId="49" fontId="34" fillId="3" borderId="8" xfId="0" applyNumberFormat="1" applyFont="1" applyFill="1" applyBorder="1" applyAlignment="1">
      <alignment horizontal="center" vertical="center"/>
    </xf>
    <xf numFmtId="49" fontId="34" fillId="3" borderId="11" xfId="0" applyNumberFormat="1" applyFont="1" applyFill="1" applyBorder="1" applyAlignment="1">
      <alignment horizontal="center" vertical="center"/>
    </xf>
    <xf numFmtId="4" fontId="34" fillId="3" borderId="7" xfId="0" applyNumberFormat="1" applyFont="1" applyFill="1" applyBorder="1" applyAlignment="1">
      <alignment horizontal="center" vertical="center"/>
    </xf>
    <xf numFmtId="4" fontId="34" fillId="3" borderId="8" xfId="0" applyNumberFormat="1" applyFont="1" applyFill="1" applyBorder="1" applyAlignment="1">
      <alignment horizontal="center" vertical="center"/>
    </xf>
    <xf numFmtId="4" fontId="34" fillId="3" borderId="11" xfId="0" applyNumberFormat="1" applyFont="1" applyFill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" fontId="35" fillId="0" borderId="7" xfId="0" applyNumberFormat="1" applyFont="1" applyBorder="1" applyAlignment="1">
      <alignment horizontal="left" vertical="center" wrapText="1"/>
    </xf>
    <xf numFmtId="4" fontId="35" fillId="0" borderId="8" xfId="0" applyNumberFormat="1" applyFont="1" applyBorder="1" applyAlignment="1">
      <alignment horizontal="left" vertical="center" wrapText="1"/>
    </xf>
    <xf numFmtId="4" fontId="35" fillId="0" borderId="11" xfId="0" applyNumberFormat="1" applyFont="1" applyBorder="1" applyAlignment="1">
      <alignment horizontal="left" vertical="center" wrapText="1"/>
    </xf>
    <xf numFmtId="4" fontId="25" fillId="0" borderId="7" xfId="0" applyNumberFormat="1" applyFont="1" applyBorder="1" applyAlignment="1">
      <alignment horizontal="left" vertical="center"/>
    </xf>
    <xf numFmtId="4" fontId="25" fillId="0" borderId="8" xfId="0" applyNumberFormat="1" applyFont="1" applyBorder="1" applyAlignment="1">
      <alignment horizontal="left" vertical="center"/>
    </xf>
    <xf numFmtId="4" fontId="25" fillId="0" borderId="11" xfId="0" applyNumberFormat="1" applyFont="1" applyBorder="1" applyAlignment="1">
      <alignment horizontal="left" vertical="center"/>
    </xf>
    <xf numFmtId="3" fontId="24" fillId="0" borderId="3" xfId="0" applyNumberFormat="1" applyFont="1" applyBorder="1" applyAlignment="1">
      <alignment horizontal="center" vertical="center" wrapText="1"/>
    </xf>
    <xf numFmtId="4" fontId="34" fillId="3" borderId="7" xfId="0" applyNumberFormat="1" applyFont="1" applyFill="1" applyBorder="1" applyAlignment="1">
      <alignment horizontal="center" vertical="center" wrapText="1"/>
    </xf>
    <xf numFmtId="4" fontId="34" fillId="3" borderId="8" xfId="0" applyNumberFormat="1" applyFont="1" applyFill="1" applyBorder="1" applyAlignment="1">
      <alignment horizontal="center" vertical="center" wrapText="1"/>
    </xf>
    <xf numFmtId="4" fontId="34" fillId="3" borderId="11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justify" wrapTex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" fontId="24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3" fontId="15" fillId="0" borderId="7" xfId="0" applyNumberFormat="1" applyFont="1" applyBorder="1" applyAlignment="1">
      <alignment horizontal="center" vertical="top" wrapText="1"/>
    </xf>
    <xf numFmtId="3" fontId="15" fillId="0" borderId="11" xfId="0" applyNumberFormat="1" applyFont="1" applyBorder="1" applyAlignment="1">
      <alignment horizontal="center" vertical="top" wrapText="1"/>
    </xf>
    <xf numFmtId="3" fontId="15" fillId="0" borderId="6" xfId="0" applyNumberFormat="1" applyFont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 vertical="top" wrapText="1"/>
    </xf>
    <xf numFmtId="0" fontId="16" fillId="0" borderId="8" xfId="23" applyFont="1" applyBorder="1" applyAlignment="1">
      <alignment horizontal="center" wrapText="1"/>
    </xf>
    <xf numFmtId="0" fontId="15" fillId="0" borderId="11" xfId="23" applyFont="1" applyBorder="1" applyAlignment="1">
      <alignment horizontal="center" wrapText="1"/>
    </xf>
    <xf numFmtId="0" fontId="15" fillId="0" borderId="8" xfId="23" applyFont="1" applyBorder="1" applyAlignment="1">
      <alignment horizontal="center" wrapText="1"/>
    </xf>
    <xf numFmtId="0" fontId="16" fillId="0" borderId="0" xfId="26" applyFont="1" applyAlignment="1">
      <alignment horizontal="left" vertical="center" wrapText="1"/>
    </xf>
    <xf numFmtId="0" fontId="16" fillId="0" borderId="0" xfId="24" applyFont="1" applyAlignment="1">
      <alignment horizontal="left" wrapText="1"/>
    </xf>
    <xf numFmtId="0" fontId="15" fillId="0" borderId="3" xfId="23" applyFont="1" applyBorder="1" applyAlignment="1">
      <alignment horizontal="center" vertical="center" wrapText="1"/>
    </xf>
    <xf numFmtId="0" fontId="15" fillId="0" borderId="5" xfId="23" applyFont="1" applyBorder="1" applyAlignment="1">
      <alignment horizontal="center" vertical="center" wrapText="1"/>
    </xf>
    <xf numFmtId="0" fontId="55" fillId="0" borderId="8" xfId="23" applyFont="1" applyBorder="1" applyAlignment="1">
      <alignment horizontal="left" wrapText="1"/>
    </xf>
    <xf numFmtId="0" fontId="22" fillId="0" borderId="8" xfId="23" applyFont="1" applyBorder="1" applyAlignment="1">
      <alignment horizontal="center" wrapText="1"/>
    </xf>
    <xf numFmtId="3" fontId="34" fillId="0" borderId="7" xfId="32" applyNumberFormat="1" applyFont="1" applyBorder="1" applyAlignment="1">
      <alignment horizontal="right" vertical="center"/>
    </xf>
    <xf numFmtId="3" fontId="34" fillId="0" borderId="11" xfId="32" applyNumberFormat="1" applyFont="1" applyBorder="1" applyAlignment="1">
      <alignment horizontal="right" vertical="center"/>
    </xf>
    <xf numFmtId="3" fontId="23" fillId="0" borderId="7" xfId="30" applyNumberFormat="1" applyFont="1" applyBorder="1" applyAlignment="1">
      <alignment horizontal="center" vertical="center" wrapText="1"/>
    </xf>
    <xf numFmtId="3" fontId="23" fillId="0" borderId="11" xfId="30" applyNumberFormat="1" applyFont="1" applyBorder="1" applyAlignment="1">
      <alignment horizontal="center" vertical="center" wrapText="1"/>
    </xf>
    <xf numFmtId="0" fontId="74" fillId="0" borderId="14" xfId="30" applyFont="1" applyBorder="1" applyAlignment="1">
      <alignment horizontal="center" vertical="center" wrapText="1"/>
    </xf>
    <xf numFmtId="0" fontId="74" fillId="0" borderId="6" xfId="30" applyFont="1" applyBorder="1" applyAlignment="1">
      <alignment horizontal="center" vertical="center" wrapText="1"/>
    </xf>
    <xf numFmtId="0" fontId="74" fillId="0" borderId="15" xfId="30" applyFont="1" applyBorder="1" applyAlignment="1">
      <alignment horizontal="center" vertical="center" wrapText="1"/>
    </xf>
    <xf numFmtId="0" fontId="74" fillId="0" borderId="1" xfId="30" applyFont="1" applyBorder="1" applyAlignment="1">
      <alignment horizontal="center" vertical="center" wrapText="1"/>
    </xf>
    <xf numFmtId="0" fontId="74" fillId="0" borderId="0" xfId="30" applyFont="1" applyAlignment="1">
      <alignment horizontal="center" vertical="center" wrapText="1"/>
    </xf>
    <xf numFmtId="0" fontId="74" fillId="0" borderId="9" xfId="30" applyFont="1" applyBorder="1" applyAlignment="1">
      <alignment horizontal="center" vertical="center" wrapText="1"/>
    </xf>
    <xf numFmtId="0" fontId="74" fillId="0" borderId="2" xfId="30" applyFont="1" applyBorder="1" applyAlignment="1">
      <alignment horizontal="center" vertical="center" wrapText="1"/>
    </xf>
    <xf numFmtId="0" fontId="74" fillId="0" borderId="12" xfId="30" applyFont="1" applyBorder="1" applyAlignment="1">
      <alignment horizontal="center" vertical="center" wrapText="1"/>
    </xf>
    <xf numFmtId="0" fontId="74" fillId="0" borderId="13" xfId="30" applyFont="1" applyBorder="1" applyAlignment="1">
      <alignment horizontal="center" vertical="center" wrapText="1"/>
    </xf>
    <xf numFmtId="3" fontId="35" fillId="0" borderId="7" xfId="32" applyNumberFormat="1" applyFont="1" applyBorder="1" applyAlignment="1">
      <alignment horizontal="right" vertical="center"/>
    </xf>
    <xf numFmtId="3" fontId="35" fillId="0" borderId="11" xfId="32" applyNumberFormat="1" applyFont="1" applyBorder="1" applyAlignment="1">
      <alignment horizontal="right" vertical="center"/>
    </xf>
    <xf numFmtId="3" fontId="15" fillId="0" borderId="7" xfId="30" applyNumberFormat="1" applyFont="1" applyBorder="1" applyAlignment="1">
      <alignment horizontal="center" vertical="center" wrapText="1"/>
    </xf>
    <xf numFmtId="3" fontId="15" fillId="0" borderId="11" xfId="30" applyNumberFormat="1" applyFont="1" applyBorder="1" applyAlignment="1">
      <alignment horizontal="center" vertical="center" wrapText="1"/>
    </xf>
    <xf numFmtId="3" fontId="60" fillId="0" borderId="7" xfId="32" applyNumberFormat="1" applyFont="1" applyBorder="1" applyAlignment="1">
      <alignment horizontal="right" vertical="center"/>
    </xf>
    <xf numFmtId="3" fontId="60" fillId="0" borderId="11" xfId="32" applyNumberFormat="1" applyFont="1" applyBorder="1" applyAlignment="1">
      <alignment horizontal="right" vertical="center"/>
    </xf>
    <xf numFmtId="0" fontId="27" fillId="0" borderId="14" xfId="30" applyFont="1" applyBorder="1" applyAlignment="1">
      <alignment horizontal="center" vertical="center" wrapText="1"/>
    </xf>
    <xf numFmtId="0" fontId="27" fillId="0" borderId="6" xfId="30" applyFont="1" applyBorder="1" applyAlignment="1">
      <alignment horizontal="center" vertical="center" wrapText="1"/>
    </xf>
    <xf numFmtId="0" fontId="27" fillId="0" borderId="15" xfId="30" applyFont="1" applyBorder="1" applyAlignment="1">
      <alignment horizontal="center" vertical="center" wrapText="1"/>
    </xf>
    <xf numFmtId="0" fontId="27" fillId="0" borderId="1" xfId="30" applyFont="1" applyBorder="1" applyAlignment="1">
      <alignment horizontal="center" vertical="center" wrapText="1"/>
    </xf>
    <xf numFmtId="0" fontId="27" fillId="0" borderId="0" xfId="30" applyFont="1" applyAlignment="1">
      <alignment horizontal="center" vertical="center" wrapText="1"/>
    </xf>
    <xf numFmtId="0" fontId="27" fillId="0" borderId="9" xfId="30" applyFont="1" applyBorder="1" applyAlignment="1">
      <alignment horizontal="center" vertical="center" wrapText="1"/>
    </xf>
    <xf numFmtId="0" fontId="27" fillId="0" borderId="2" xfId="30" applyFont="1" applyBorder="1" applyAlignment="1">
      <alignment horizontal="center" vertical="center" wrapText="1"/>
    </xf>
    <xf numFmtId="0" fontId="27" fillId="0" borderId="12" xfId="30" applyFont="1" applyBorder="1" applyAlignment="1">
      <alignment horizontal="center" vertical="center" wrapText="1"/>
    </xf>
    <xf numFmtId="0" fontId="27" fillId="0" borderId="13" xfId="30" applyFont="1" applyBorder="1" applyAlignment="1">
      <alignment horizontal="center" vertical="center" wrapText="1"/>
    </xf>
    <xf numFmtId="3" fontId="16" fillId="0" borderId="7" xfId="30" applyNumberFormat="1" applyFont="1" applyBorder="1" applyAlignment="1">
      <alignment horizontal="center" vertical="center" wrapText="1"/>
    </xf>
    <xf numFmtId="3" fontId="16" fillId="0" borderId="11" xfId="30" applyNumberFormat="1" applyFont="1" applyBorder="1" applyAlignment="1">
      <alignment horizontal="center" vertical="center" wrapText="1"/>
    </xf>
    <xf numFmtId="0" fontId="16" fillId="0" borderId="3" xfId="30" applyFont="1" applyBorder="1" applyAlignment="1">
      <alignment horizontal="center" vertical="center"/>
    </xf>
    <xf numFmtId="49" fontId="16" fillId="0" borderId="3" xfId="30" applyNumberFormat="1" applyFont="1" applyBorder="1" applyAlignment="1">
      <alignment horizontal="center" vertical="center" wrapText="1"/>
    </xf>
    <xf numFmtId="0" fontId="73" fillId="0" borderId="3" xfId="30" applyFont="1" applyBorder="1" applyAlignment="1">
      <alignment horizontal="left" vertical="center" wrapText="1"/>
    </xf>
    <xf numFmtId="0" fontId="16" fillId="0" borderId="3" xfId="30" applyFont="1" applyBorder="1" applyAlignment="1">
      <alignment horizontal="center" vertical="center" wrapText="1"/>
    </xf>
    <xf numFmtId="0" fontId="20" fillId="0" borderId="5" xfId="30" applyFont="1" applyBorder="1" applyAlignment="1">
      <alignment horizontal="center"/>
    </xf>
    <xf numFmtId="0" fontId="20" fillId="0" borderId="10" xfId="30" applyFont="1" applyBorder="1" applyAlignment="1">
      <alignment horizontal="center"/>
    </xf>
    <xf numFmtId="0" fontId="20" fillId="0" borderId="4" xfId="30" applyFont="1" applyBorder="1" applyAlignment="1">
      <alignment horizontal="center"/>
    </xf>
    <xf numFmtId="0" fontId="27" fillId="4" borderId="5" xfId="30" applyFont="1" applyFill="1" applyBorder="1" applyAlignment="1">
      <alignment horizontal="center" vertical="center"/>
    </xf>
    <xf numFmtId="0" fontId="27" fillId="4" borderId="10" xfId="30" applyFont="1" applyFill="1" applyBorder="1" applyAlignment="1">
      <alignment horizontal="center" vertical="center"/>
    </xf>
    <xf numFmtId="0" fontId="27" fillId="4" borderId="4" xfId="30" applyFont="1" applyFill="1" applyBorder="1" applyAlignment="1">
      <alignment horizontal="center" vertical="center"/>
    </xf>
    <xf numFmtId="0" fontId="16" fillId="0" borderId="7" xfId="31" applyFont="1" applyBorder="1" applyAlignment="1">
      <alignment horizontal="left" vertical="center" wrapText="1"/>
    </xf>
    <xf numFmtId="0" fontId="16" fillId="0" borderId="8" xfId="31" applyFont="1" applyBorder="1" applyAlignment="1">
      <alignment horizontal="left" vertical="center" wrapText="1"/>
    </xf>
    <xf numFmtId="0" fontId="16" fillId="0" borderId="11" xfId="31" applyFont="1" applyBorder="1" applyAlignment="1">
      <alignment horizontal="left" vertical="center" wrapText="1"/>
    </xf>
    <xf numFmtId="0" fontId="15" fillId="0" borderId="3" xfId="30" applyFont="1" applyBorder="1" applyAlignment="1">
      <alignment horizontal="center" vertical="center" wrapText="1"/>
    </xf>
    <xf numFmtId="0" fontId="15" fillId="0" borderId="3" xfId="30" applyFont="1" applyBorder="1" applyAlignment="1">
      <alignment horizontal="center" vertical="center"/>
    </xf>
    <xf numFmtId="0" fontId="70" fillId="0" borderId="3" xfId="30" applyFont="1" applyBorder="1" applyAlignment="1">
      <alignment horizontal="center" vertical="center"/>
    </xf>
    <xf numFmtId="0" fontId="16" fillId="0" borderId="0" xfId="30" applyFont="1" applyAlignment="1">
      <alignment horizontal="left"/>
    </xf>
    <xf numFmtId="0" fontId="16" fillId="0" borderId="0" xfId="30" applyFont="1" applyAlignment="1">
      <alignment horizontal="left" vertical="center" wrapText="1"/>
    </xf>
    <xf numFmtId="0" fontId="15" fillId="0" borderId="7" xfId="30" applyFont="1" applyBorder="1" applyAlignment="1">
      <alignment horizontal="center" vertical="center"/>
    </xf>
    <xf numFmtId="0" fontId="15" fillId="0" borderId="8" xfId="30" applyFont="1" applyBorder="1" applyAlignment="1">
      <alignment horizontal="center" vertical="center"/>
    </xf>
    <xf numFmtId="0" fontId="15" fillId="0" borderId="11" xfId="30" applyFont="1" applyBorder="1" applyAlignment="1">
      <alignment horizontal="center" vertical="center"/>
    </xf>
    <xf numFmtId="0" fontId="69" fillId="0" borderId="7" xfId="30" applyFont="1" applyBorder="1" applyAlignment="1">
      <alignment horizontal="center" vertical="center" wrapText="1"/>
    </xf>
    <xf numFmtId="0" fontId="69" fillId="0" borderId="8" xfId="30" applyFont="1" applyBorder="1" applyAlignment="1">
      <alignment horizontal="center" vertical="center" wrapText="1"/>
    </xf>
    <xf numFmtId="0" fontId="69" fillId="0" borderId="11" xfId="30" applyFont="1" applyBorder="1" applyAlignment="1">
      <alignment horizontal="center" vertical="center" wrapText="1"/>
    </xf>
    <xf numFmtId="0" fontId="70" fillId="0" borderId="7" xfId="30" applyFont="1" applyBorder="1" applyAlignment="1">
      <alignment horizontal="center" vertical="center" wrapText="1"/>
    </xf>
    <xf numFmtId="0" fontId="70" fillId="0" borderId="8" xfId="30" applyFont="1" applyBorder="1" applyAlignment="1">
      <alignment horizontal="center" vertical="center" wrapText="1"/>
    </xf>
    <xf numFmtId="0" fontId="70" fillId="0" borderId="11" xfId="30" applyFont="1" applyBorder="1" applyAlignment="1">
      <alignment horizontal="center" vertical="center" wrapText="1"/>
    </xf>
    <xf numFmtId="0" fontId="70" fillId="0" borderId="3" xfId="30" applyFont="1" applyBorder="1" applyAlignment="1">
      <alignment horizontal="center" vertical="center" wrapText="1"/>
    </xf>
    <xf numFmtId="0" fontId="23" fillId="0" borderId="3" xfId="30" applyFont="1" applyBorder="1" applyAlignment="1">
      <alignment horizontal="center" vertical="center" wrapText="1"/>
    </xf>
    <xf numFmtId="0" fontId="23" fillId="0" borderId="3" xfId="30" applyFont="1" applyBorder="1" applyAlignment="1">
      <alignment horizontal="center" vertical="center"/>
    </xf>
    <xf numFmtId="0" fontId="16" fillId="0" borderId="7" xfId="30" applyFont="1" applyBorder="1" applyAlignment="1">
      <alignment horizontal="center" vertical="center" wrapText="1"/>
    </xf>
    <xf numFmtId="0" fontId="16" fillId="0" borderId="8" xfId="30" applyFont="1" applyBorder="1" applyAlignment="1">
      <alignment horizontal="center" vertical="center" wrapText="1"/>
    </xf>
    <xf numFmtId="0" fontId="16" fillId="0" borderId="11" xfId="30" applyFont="1" applyBorder="1" applyAlignment="1">
      <alignment horizontal="center" vertical="center" wrapText="1"/>
    </xf>
    <xf numFmtId="0" fontId="23" fillId="0" borderId="14" xfId="30" applyFont="1" applyBorder="1" applyAlignment="1">
      <alignment horizontal="center" vertical="center" wrapText="1"/>
    </xf>
    <xf numFmtId="0" fontId="23" fillId="0" borderId="6" xfId="30" applyFont="1" applyBorder="1" applyAlignment="1">
      <alignment horizontal="center" vertical="center" wrapText="1"/>
    </xf>
    <xf numFmtId="0" fontId="23" fillId="0" borderId="15" xfId="30" applyFont="1" applyBorder="1" applyAlignment="1">
      <alignment horizontal="center" vertical="center" wrapText="1"/>
    </xf>
    <xf numFmtId="0" fontId="23" fillId="0" borderId="1" xfId="30" applyFont="1" applyBorder="1" applyAlignment="1">
      <alignment horizontal="center" vertical="center" wrapText="1"/>
    </xf>
    <xf numFmtId="0" fontId="23" fillId="0" borderId="0" xfId="30" applyFont="1" applyAlignment="1">
      <alignment horizontal="center" vertical="center" wrapText="1"/>
    </xf>
    <xf numFmtId="0" fontId="23" fillId="0" borderId="9" xfId="30" applyFont="1" applyBorder="1" applyAlignment="1">
      <alignment horizontal="center" vertical="center" wrapText="1"/>
    </xf>
    <xf numFmtId="0" fontId="23" fillId="0" borderId="2" xfId="30" applyFont="1" applyBorder="1" applyAlignment="1">
      <alignment horizontal="center" vertical="center" wrapText="1"/>
    </xf>
    <xf numFmtId="0" fontId="23" fillId="0" borderId="12" xfId="30" applyFont="1" applyBorder="1" applyAlignment="1">
      <alignment horizontal="center" vertical="center" wrapText="1"/>
    </xf>
    <xf numFmtId="0" fontId="23" fillId="0" borderId="13" xfId="30" applyFont="1" applyBorder="1" applyAlignment="1">
      <alignment horizontal="center" vertical="center" wrapText="1"/>
    </xf>
    <xf numFmtId="0" fontId="16" fillId="2" borderId="3" xfId="30" applyFont="1" applyFill="1" applyBorder="1" applyAlignment="1">
      <alignment horizontal="center" vertical="center"/>
    </xf>
    <xf numFmtId="0" fontId="73" fillId="0" borderId="7" xfId="30" applyFont="1" applyBorder="1" applyAlignment="1">
      <alignment horizontal="center" vertical="center" wrapText="1"/>
    </xf>
    <xf numFmtId="0" fontId="73" fillId="0" borderId="8" xfId="30" applyFont="1" applyBorder="1" applyAlignment="1">
      <alignment horizontal="center" vertical="center" wrapText="1"/>
    </xf>
    <xf numFmtId="0" fontId="73" fillId="0" borderId="11" xfId="30" applyFont="1" applyBorder="1" applyAlignment="1">
      <alignment horizontal="center" vertical="center" wrapText="1"/>
    </xf>
    <xf numFmtId="0" fontId="16" fillId="0" borderId="3" xfId="31" applyFont="1" applyBorder="1" applyAlignment="1">
      <alignment horizontal="left" vertical="center" wrapText="1"/>
    </xf>
    <xf numFmtId="0" fontId="73" fillId="0" borderId="3" xfId="30" applyFont="1" applyBorder="1" applyAlignment="1">
      <alignment horizontal="center" vertical="center" wrapText="1"/>
    </xf>
    <xf numFmtId="0" fontId="20" fillId="0" borderId="3" xfId="30" applyFont="1" applyBorder="1" applyAlignment="1">
      <alignment horizontal="center"/>
    </xf>
    <xf numFmtId="0" fontId="27" fillId="5" borderId="3" xfId="30" applyFont="1" applyFill="1" applyBorder="1" applyAlignment="1">
      <alignment horizontal="center" vertical="center"/>
    </xf>
    <xf numFmtId="0" fontId="27" fillId="0" borderId="3" xfId="30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5" fillId="0" borderId="3" xfId="0" applyFont="1" applyBorder="1" applyAlignment="1">
      <alignment horizontal="center" vertical="center"/>
    </xf>
    <xf numFmtId="0" fontId="37" fillId="0" borderId="14" xfId="27" applyFont="1" applyBorder="1" applyAlignment="1">
      <alignment horizontal="center" vertical="center" wrapText="1"/>
    </xf>
    <xf numFmtId="0" fontId="37" fillId="0" borderId="6" xfId="27" applyFont="1" applyBorder="1" applyAlignment="1">
      <alignment horizontal="center" vertical="center" wrapText="1"/>
    </xf>
    <xf numFmtId="0" fontId="37" fillId="0" borderId="15" xfId="2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5" fillId="0" borderId="1" xfId="27" applyNumberFormat="1" applyFont="1" applyBorder="1" applyAlignment="1">
      <alignment horizontal="center" vertical="top"/>
    </xf>
    <xf numFmtId="49" fontId="25" fillId="0" borderId="9" xfId="27" applyNumberFormat="1" applyFont="1" applyBorder="1" applyAlignment="1">
      <alignment horizontal="center" vertical="top"/>
    </xf>
    <xf numFmtId="0" fontId="25" fillId="0" borderId="14" xfId="27" applyFont="1" applyBorder="1" applyAlignment="1">
      <alignment horizontal="left" vertical="top" wrapText="1"/>
    </xf>
    <xf numFmtId="0" fontId="25" fillId="0" borderId="15" xfId="27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49" fontId="25" fillId="0" borderId="2" xfId="27" applyNumberFormat="1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49" fontId="25" fillId="0" borderId="1" xfId="27" applyNumberFormat="1" applyFont="1" applyBorder="1" applyAlignment="1">
      <alignment horizontal="center" vertical="center"/>
    </xf>
    <xf numFmtId="49" fontId="25" fillId="0" borderId="9" xfId="27" applyNumberFormat="1" applyFont="1" applyBorder="1" applyAlignment="1">
      <alignment horizontal="center" vertical="center"/>
    </xf>
    <xf numFmtId="49" fontId="25" fillId="0" borderId="14" xfId="27" applyNumberFormat="1" applyFont="1" applyBorder="1" applyAlignment="1">
      <alignment horizontal="center" vertical="center"/>
    </xf>
    <xf numFmtId="49" fontId="25" fillId="0" borderId="15" xfId="27" applyNumberFormat="1" applyFont="1" applyBorder="1" applyAlignment="1">
      <alignment horizontal="center" vertical="center"/>
    </xf>
    <xf numFmtId="49" fontId="25" fillId="0" borderId="14" xfId="27" applyNumberFormat="1" applyFont="1" applyBorder="1" applyAlignment="1">
      <alignment horizontal="center" vertical="top"/>
    </xf>
    <xf numFmtId="49" fontId="25" fillId="0" borderId="15" xfId="27" applyNumberFormat="1" applyFont="1" applyBorder="1" applyAlignment="1">
      <alignment horizontal="center" vertical="top"/>
    </xf>
    <xf numFmtId="49" fontId="25" fillId="0" borderId="2" xfId="27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25" fillId="0" borderId="1" xfId="27" applyFont="1" applyBorder="1" applyAlignment="1">
      <alignment horizontal="left" vertical="top" wrapText="1"/>
    </xf>
    <xf numFmtId="0" fontId="25" fillId="0" borderId="9" xfId="27" applyFont="1" applyBorder="1" applyAlignment="1">
      <alignment horizontal="left" vertical="top" wrapText="1"/>
    </xf>
    <xf numFmtId="0" fontId="25" fillId="0" borderId="2" xfId="27" applyFont="1" applyBorder="1" applyAlignment="1">
      <alignment horizontal="left" vertical="top" wrapText="1"/>
    </xf>
    <xf numFmtId="0" fontId="25" fillId="0" borderId="13" xfId="27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26" fillId="0" borderId="14" xfId="27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/>
    </xf>
    <xf numFmtId="49" fontId="58" fillId="0" borderId="14" xfId="27" applyNumberFormat="1" applyFont="1" applyBorder="1" applyAlignment="1">
      <alignment horizontal="left" vertical="center"/>
    </xf>
    <xf numFmtId="49" fontId="58" fillId="0" borderId="6" xfId="27" applyNumberFormat="1" applyFont="1" applyBorder="1" applyAlignment="1">
      <alignment horizontal="left" vertical="center"/>
    </xf>
    <xf numFmtId="49" fontId="58" fillId="0" borderId="15" xfId="27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5" fillId="0" borderId="7" xfId="27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5" fillId="0" borderId="15" xfId="27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49" fontId="58" fillId="0" borderId="14" xfId="27" applyNumberFormat="1" applyFont="1" applyBorder="1" applyAlignment="1">
      <alignment horizontal="left" vertical="center" wrapText="1"/>
    </xf>
    <xf numFmtId="49" fontId="58" fillId="0" borderId="6" xfId="27" applyNumberFormat="1" applyFont="1" applyBorder="1" applyAlignment="1">
      <alignment horizontal="left" vertical="center" wrapText="1"/>
    </xf>
    <xf numFmtId="49" fontId="58" fillId="0" borderId="15" xfId="27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63" fillId="0" borderId="9" xfId="0" applyFont="1" applyBorder="1" applyAlignment="1">
      <alignment horizontal="left" vertical="center" wrapText="1"/>
    </xf>
    <xf numFmtId="0" fontId="63" fillId="0" borderId="2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63" fillId="0" borderId="13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37" fillId="0" borderId="14" xfId="27" applyFont="1" applyBorder="1" applyAlignment="1">
      <alignment horizontal="left" vertical="center"/>
    </xf>
    <xf numFmtId="0" fontId="37" fillId="0" borderId="6" xfId="27" applyFont="1" applyBorder="1" applyAlignment="1">
      <alignment horizontal="left" vertical="center"/>
    </xf>
    <xf numFmtId="0" fontId="37" fillId="0" borderId="15" xfId="27" applyFont="1" applyBorder="1" applyAlignment="1">
      <alignment horizontal="left" vertical="center"/>
    </xf>
    <xf numFmtId="49" fontId="62" fillId="0" borderId="14" xfId="27" applyNumberFormat="1" applyFont="1" applyBorder="1" applyAlignment="1">
      <alignment horizontal="left" vertical="center"/>
    </xf>
    <xf numFmtId="49" fontId="62" fillId="0" borderId="6" xfId="27" applyNumberFormat="1" applyFont="1" applyBorder="1" applyAlignment="1">
      <alignment horizontal="left" vertical="center"/>
    </xf>
    <xf numFmtId="49" fontId="62" fillId="0" borderId="15" xfId="27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9" fontId="25" fillId="0" borderId="13" xfId="27" applyNumberFormat="1" applyFont="1" applyBorder="1" applyAlignment="1">
      <alignment horizontal="center" vertical="center"/>
    </xf>
    <xf numFmtId="49" fontId="26" fillId="0" borderId="1" xfId="27" applyNumberFormat="1" applyFont="1" applyBorder="1" applyAlignment="1">
      <alignment horizontal="center" vertical="center"/>
    </xf>
    <xf numFmtId="49" fontId="26" fillId="0" borderId="9" xfId="27" applyNumberFormat="1" applyFont="1" applyBorder="1" applyAlignment="1">
      <alignment horizontal="center" vertical="center"/>
    </xf>
    <xf numFmtId="0" fontId="26" fillId="0" borderId="15" xfId="27" applyFont="1" applyBorder="1" applyAlignment="1">
      <alignment horizontal="left" vertical="top" wrapText="1"/>
    </xf>
    <xf numFmtId="49" fontId="26" fillId="0" borderId="2" xfId="27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16" fillId="0" borderId="0" xfId="27" applyNumberFormat="1" applyFont="1" applyAlignment="1">
      <alignment horizontal="left" vertical="center"/>
    </xf>
    <xf numFmtId="0" fontId="16" fillId="0" borderId="0" xfId="27" applyFont="1" applyAlignment="1">
      <alignment horizontal="left" vertical="center" wrapText="1"/>
    </xf>
    <xf numFmtId="0" fontId="15" fillId="0" borderId="0" xfId="27" applyFont="1" applyAlignment="1">
      <alignment horizontal="left" vertical="center" wrapText="1"/>
    </xf>
    <xf numFmtId="0" fontId="21" fillId="0" borderId="14" xfId="27" applyFont="1" applyBorder="1" applyAlignment="1">
      <alignment horizontal="center" vertical="top" wrapText="1"/>
    </xf>
    <xf numFmtId="0" fontId="21" fillId="0" borderId="15" xfId="27" applyFont="1" applyBorder="1" applyAlignment="1">
      <alignment horizontal="center" vertical="top" wrapText="1"/>
    </xf>
    <xf numFmtId="0" fontId="21" fillId="0" borderId="1" xfId="27" applyFont="1" applyBorder="1" applyAlignment="1">
      <alignment horizontal="center" vertical="top" wrapText="1"/>
    </xf>
    <xf numFmtId="0" fontId="21" fillId="0" borderId="9" xfId="27" applyFont="1" applyBorder="1" applyAlignment="1">
      <alignment horizontal="center" vertical="top" wrapText="1"/>
    </xf>
    <xf numFmtId="0" fontId="21" fillId="0" borderId="2" xfId="27" applyFont="1" applyBorder="1" applyAlignment="1">
      <alignment horizontal="center" vertical="top" wrapText="1"/>
    </xf>
    <xf numFmtId="0" fontId="21" fillId="0" borderId="13" xfId="27" applyFont="1" applyBorder="1" applyAlignment="1">
      <alignment horizontal="center" vertical="top" wrapText="1"/>
    </xf>
    <xf numFmtId="0" fontId="16" fillId="0" borderId="15" xfId="28" applyFont="1" applyBorder="1" applyAlignment="1">
      <alignment vertical="top"/>
    </xf>
    <xf numFmtId="0" fontId="16" fillId="0" borderId="1" xfId="28" applyFont="1" applyBorder="1" applyAlignment="1">
      <alignment vertical="top"/>
    </xf>
    <xf numFmtId="0" fontId="16" fillId="0" borderId="9" xfId="28" applyFont="1" applyBorder="1" applyAlignment="1">
      <alignment vertical="top"/>
    </xf>
    <xf numFmtId="0" fontId="16" fillId="0" borderId="7" xfId="28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4" fontId="21" fillId="0" borderId="7" xfId="28" applyNumberFormat="1" applyFont="1" applyBorder="1" applyAlignment="1">
      <alignment horizontal="center" vertical="top"/>
    </xf>
    <xf numFmtId="4" fontId="21" fillId="0" borderId="8" xfId="28" applyNumberFormat="1" applyFont="1" applyBorder="1" applyAlignment="1">
      <alignment horizontal="center" vertical="top"/>
    </xf>
    <xf numFmtId="4" fontId="21" fillId="0" borderId="11" xfId="28" applyNumberFormat="1" applyFont="1" applyBorder="1" applyAlignment="1">
      <alignment horizontal="center" vertical="top"/>
    </xf>
    <xf numFmtId="4" fontId="21" fillId="0" borderId="5" xfId="27" applyNumberFormat="1" applyFont="1" applyBorder="1" applyAlignment="1">
      <alignment horizontal="center" vertical="top" wrapText="1"/>
    </xf>
    <xf numFmtId="4" fontId="21" fillId="0" borderId="10" xfId="27" applyNumberFormat="1" applyFont="1" applyBorder="1" applyAlignment="1">
      <alignment horizontal="center" vertical="top" wrapText="1"/>
    </xf>
    <xf numFmtId="4" fontId="21" fillId="0" borderId="4" xfId="27" applyNumberFormat="1" applyFont="1" applyBorder="1" applyAlignment="1">
      <alignment horizontal="center" vertical="top" wrapText="1"/>
    </xf>
    <xf numFmtId="4" fontId="21" fillId="0" borderId="7" xfId="27" applyNumberFormat="1" applyFont="1" applyBorder="1" applyAlignment="1">
      <alignment horizontal="center" vertical="top" wrapText="1"/>
    </xf>
    <xf numFmtId="4" fontId="21" fillId="0" borderId="11" xfId="27" applyNumberFormat="1" applyFont="1" applyBorder="1" applyAlignment="1">
      <alignment horizontal="center" vertical="top" wrapText="1"/>
    </xf>
    <xf numFmtId="0" fontId="17" fillId="0" borderId="5" xfId="27" applyFont="1" applyBorder="1" applyAlignment="1">
      <alignment horizontal="center" vertical="center"/>
    </xf>
    <xf numFmtId="0" fontId="17" fillId="0" borderId="4" xfId="28" applyFont="1" applyBorder="1" applyAlignment="1">
      <alignment horizontal="center" vertical="center"/>
    </xf>
    <xf numFmtId="0" fontId="33" fillId="0" borderId="5" xfId="34" applyFont="1" applyBorder="1" applyAlignment="1">
      <alignment horizontal="center" vertical="top"/>
    </xf>
    <xf numFmtId="0" fontId="33" fillId="0" borderId="10" xfId="34" applyFont="1" applyBorder="1" applyAlignment="1">
      <alignment horizontal="center" vertical="top"/>
    </xf>
    <xf numFmtId="0" fontId="33" fillId="0" borderId="4" xfId="34" applyFont="1" applyBorder="1" applyAlignment="1">
      <alignment horizontal="center" vertical="top"/>
    </xf>
    <xf numFmtId="0" fontId="29" fillId="0" borderId="0" xfId="34" applyFont="1" applyAlignment="1">
      <alignment horizontal="center" vertical="top"/>
    </xf>
    <xf numFmtId="0" fontId="33" fillId="0" borderId="7" xfId="34" applyFont="1" applyBorder="1" applyAlignment="1">
      <alignment horizontal="center" vertical="center"/>
    </xf>
    <xf numFmtId="0" fontId="33" fillId="0" borderId="11" xfId="34" applyFont="1" applyBorder="1" applyAlignment="1">
      <alignment horizontal="center" vertical="center"/>
    </xf>
    <xf numFmtId="0" fontId="33" fillId="0" borderId="7" xfId="34" applyFont="1" applyBorder="1" applyAlignment="1">
      <alignment horizontal="center" vertical="center" wrapText="1"/>
    </xf>
    <xf numFmtId="0" fontId="33" fillId="0" borderId="11" xfId="34" applyFont="1" applyBorder="1" applyAlignment="1">
      <alignment horizontal="center" vertical="center" wrapText="1"/>
    </xf>
    <xf numFmtId="0" fontId="33" fillId="0" borderId="6" xfId="34" applyFont="1" applyBorder="1" applyAlignment="1">
      <alignment horizontal="center" vertical="center"/>
    </xf>
    <xf numFmtId="0" fontId="33" fillId="0" borderId="12" xfId="34" applyFont="1" applyBorder="1" applyAlignment="1">
      <alignment horizontal="center" vertical="center"/>
    </xf>
    <xf numFmtId="0" fontId="33" fillId="0" borderId="5" xfId="34" applyFont="1" applyBorder="1" applyAlignment="1">
      <alignment horizontal="center"/>
    </xf>
    <xf numFmtId="0" fontId="33" fillId="0" borderId="10" xfId="34" applyFont="1" applyBorder="1" applyAlignment="1">
      <alignment horizontal="center"/>
    </xf>
    <xf numFmtId="0" fontId="33" fillId="0" borderId="4" xfId="34" applyFont="1" applyBorder="1" applyAlignment="1">
      <alignment horizontal="center"/>
    </xf>
    <xf numFmtId="0" fontId="21" fillId="0" borderId="10" xfId="35" applyFont="1" applyBorder="1" applyAlignment="1">
      <alignment horizontal="center"/>
    </xf>
    <xf numFmtId="0" fontId="21" fillId="0" borderId="4" xfId="35" applyFont="1" applyBorder="1" applyAlignment="1">
      <alignment horizontal="center"/>
    </xf>
    <xf numFmtId="0" fontId="16" fillId="0" borderId="7" xfId="27" applyFont="1" applyBorder="1" applyAlignment="1">
      <alignment vertical="top" wrapText="1"/>
    </xf>
    <xf numFmtId="0" fontId="16" fillId="0" borderId="7" xfId="27" applyFont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16" fillId="0" borderId="8" xfId="27" applyFont="1" applyBorder="1" applyAlignment="1">
      <alignment vertical="top" wrapText="1"/>
    </xf>
    <xf numFmtId="3" fontId="16" fillId="0" borderId="0" xfId="27" applyNumberFormat="1" applyFont="1" applyAlignment="1">
      <alignment horizontal="left"/>
    </xf>
    <xf numFmtId="3" fontId="16" fillId="0" borderId="0" xfId="27" applyNumberFormat="1" applyFont="1" applyAlignment="1">
      <alignment horizontal="left" wrapText="1"/>
    </xf>
    <xf numFmtId="0" fontId="16" fillId="0" borderId="0" xfId="27" applyFont="1" applyAlignment="1">
      <alignment horizontal="justify" wrapText="1"/>
    </xf>
    <xf numFmtId="0" fontId="15" fillId="0" borderId="7" xfId="27" applyFont="1" applyBorder="1" applyAlignment="1">
      <alignment horizontal="center" vertical="top"/>
    </xf>
    <xf numFmtId="0" fontId="15" fillId="0" borderId="11" xfId="27" applyFont="1" applyBorder="1" applyAlignment="1">
      <alignment horizontal="center" vertical="top"/>
    </xf>
    <xf numFmtId="0" fontId="15" fillId="0" borderId="5" xfId="27" applyFont="1" applyBorder="1" applyAlignment="1">
      <alignment horizontal="center" vertical="top" wrapText="1"/>
    </xf>
    <xf numFmtId="0" fontId="15" fillId="0" borderId="4" xfId="27" applyFont="1" applyBorder="1" applyAlignment="1">
      <alignment horizontal="center" vertical="top" wrapText="1"/>
    </xf>
    <xf numFmtId="0" fontId="15" fillId="0" borderId="7" xfId="27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5" fillId="0" borderId="7" xfId="27" applyNumberFormat="1" applyFont="1" applyBorder="1" applyAlignment="1">
      <alignment horizontal="center" vertical="top" wrapText="1"/>
    </xf>
    <xf numFmtId="3" fontId="15" fillId="0" borderId="11" xfId="27" applyNumberFormat="1" applyFont="1" applyBorder="1" applyAlignment="1">
      <alignment horizontal="center" vertical="top" wrapText="1"/>
    </xf>
    <xf numFmtId="0" fontId="15" fillId="0" borderId="11" xfId="27" applyFont="1" applyBorder="1" applyAlignment="1">
      <alignment horizontal="center" vertical="top" wrapText="1"/>
    </xf>
    <xf numFmtId="0" fontId="23" fillId="0" borderId="14" xfId="27" applyFont="1" applyBorder="1" applyAlignment="1">
      <alignment horizontal="center" vertical="center" wrapText="1"/>
    </xf>
    <xf numFmtId="0" fontId="23" fillId="0" borderId="6" xfId="27" applyFont="1" applyBorder="1" applyAlignment="1">
      <alignment horizontal="center" vertical="center" wrapText="1"/>
    </xf>
    <xf numFmtId="0" fontId="23" fillId="0" borderId="15" xfId="27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49" fontId="16" fillId="0" borderId="7" xfId="27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9" fontId="16" fillId="0" borderId="7" xfId="27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9" fontId="16" fillId="0" borderId="7" xfId="29" applyFont="1" applyFill="1" applyBorder="1" applyAlignment="1">
      <alignment vertical="top" wrapText="1"/>
    </xf>
    <xf numFmtId="9" fontId="16" fillId="0" borderId="8" xfId="29" applyFont="1" applyFill="1" applyBorder="1" applyAlignment="1">
      <alignment vertical="top" wrapText="1"/>
    </xf>
    <xf numFmtId="9" fontId="16" fillId="0" borderId="11" xfId="29" applyFont="1" applyFill="1" applyBorder="1" applyAlignment="1">
      <alignment vertical="top" wrapText="1"/>
    </xf>
    <xf numFmtId="9" fontId="16" fillId="0" borderId="7" xfId="29" applyFont="1" applyFill="1" applyBorder="1" applyAlignment="1">
      <alignment horizontal="justify" vertical="top" wrapText="1"/>
    </xf>
    <xf numFmtId="9" fontId="16" fillId="0" borderId="8" xfId="29" applyFont="1" applyFill="1" applyBorder="1" applyAlignment="1">
      <alignment horizontal="justify" vertical="top" wrapText="1"/>
    </xf>
    <xf numFmtId="9" fontId="16" fillId="0" borderId="11" xfId="29" applyFont="1" applyFill="1" applyBorder="1" applyAlignment="1">
      <alignment horizontal="justify"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9" fontId="16" fillId="0" borderId="8" xfId="27" applyNumberFormat="1" applyFont="1" applyBorder="1" applyAlignment="1">
      <alignment horizontal="center" vertical="top"/>
    </xf>
    <xf numFmtId="0" fontId="23" fillId="0" borderId="5" xfId="27" applyFont="1" applyBorder="1" applyAlignment="1">
      <alignment horizontal="center" vertical="center" wrapText="1"/>
    </xf>
    <xf numFmtId="0" fontId="23" fillId="0" borderId="10" xfId="27" applyFont="1" applyBorder="1" applyAlignment="1">
      <alignment horizontal="center" vertical="center" wrapText="1"/>
    </xf>
    <xf numFmtId="0" fontId="23" fillId="0" borderId="4" xfId="27" applyFont="1" applyBorder="1" applyAlignment="1">
      <alignment horizontal="center" vertical="center" wrapText="1"/>
    </xf>
    <xf numFmtId="3" fontId="16" fillId="0" borderId="0" xfId="27" applyNumberFormat="1" applyFont="1" applyAlignment="1">
      <alignment horizontal="left" vertical="center"/>
    </xf>
    <xf numFmtId="3" fontId="16" fillId="0" borderId="0" xfId="27" applyNumberFormat="1" applyFont="1" applyAlignment="1">
      <alignment horizontal="left" vertical="center" wrapText="1"/>
    </xf>
  </cellXfs>
  <cellStyles count="36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8" xr:uid="{C2A34B38-A901-45FB-BBE2-C2CB78EFB01A}"/>
    <cellStyle name="Normalny 10 2" xfId="22" xr:uid="{A9B29EA7-6122-44C1-9200-55181DD3B2F8}"/>
    <cellStyle name="Normalny 11" xfId="19" xr:uid="{2891FAA3-F7C8-4867-9590-548962984989}"/>
    <cellStyle name="Normalny 12" xfId="20" xr:uid="{C6B4F9BA-E7EA-4AF2-91D8-003DA6960C29}"/>
    <cellStyle name="Normalny 12 2" xfId="25" xr:uid="{EF6F625F-E4C1-4D7F-AA28-4608A903B5D9}"/>
    <cellStyle name="Normalny 13" xfId="21" xr:uid="{45BAEBC7-733E-4CC1-9721-40008CDE2CDE}"/>
    <cellStyle name="Normalny 2" xfId="5" xr:uid="{00000000-0005-0000-0000-000005000000}"/>
    <cellStyle name="Normalny 2 2" xfId="6" xr:uid="{00000000-0005-0000-0000-000006000000}"/>
    <cellStyle name="Normalny 2_RDW" xfId="7" xr:uid="{00000000-0005-0000-0000-000007000000}"/>
    <cellStyle name="Normalny 3" xfId="8" xr:uid="{00000000-0005-0000-0000-000008000000}"/>
    <cellStyle name="Normalny 4" xfId="12" xr:uid="{764539A9-5376-40AF-B5CB-2E6B3C63DAFD}"/>
    <cellStyle name="Normalny 5" xfId="13" xr:uid="{85F56805-303B-428D-A2B8-5AD08CAEA551}"/>
    <cellStyle name="Normalny 6" xfId="14" xr:uid="{CDA3D0BC-63D3-4F13-A7A9-2176134A6849}"/>
    <cellStyle name="Normalny 7" xfId="15" xr:uid="{157F720D-99D1-4F86-BE6A-F9F132D80146}"/>
    <cellStyle name="Normalny 7 2 2" xfId="9" xr:uid="{00000000-0005-0000-0000-000009000000}"/>
    <cellStyle name="Normalny 7 2 2 2" xfId="34" xr:uid="{FCBDB769-FB10-4649-9579-708FE2F1E961}"/>
    <cellStyle name="Normalny 8" xfId="16" xr:uid="{E1C67418-E691-47B9-9EB2-5AB6808C854E}"/>
    <cellStyle name="Normalny 9" xfId="17" xr:uid="{58839244-BF1D-470E-B959-5206A9D68087}"/>
    <cellStyle name="Normalny_IZ 2011" xfId="32" xr:uid="{EBB0D67E-B62C-4E33-846B-C626D4FA9150}"/>
    <cellStyle name="Normalny_RDW 2014" xfId="35" xr:uid="{274F4B09-6A2C-45BA-A817-73D83F44DF66}"/>
    <cellStyle name="Normalny_RPO 2011" xfId="33" xr:uid="{DDBA7664-1866-4A4B-BDAE-3FD56129719F}"/>
    <cellStyle name="Normalny_Załącznik  nr 7  RPO na 2010" xfId="30" xr:uid="{2044165E-5FB0-499C-9995-AB96EB039B9D}"/>
    <cellStyle name="Normalny_załącznik nr 1" xfId="10" xr:uid="{00000000-0005-0000-0000-00000A000000}"/>
    <cellStyle name="Normalny_Załącznik nr 3  do proj. budżetu na 2006r._Zał. Nr 3 i Nr 21 do proj.budż.po Autopoprawce" xfId="24" xr:uid="{018777C5-C9F6-48F6-9CA1-20B1BEF0993B}"/>
    <cellStyle name="Normalny_Załącznik nr 3  do proj. budżetu na 2006r._Załączniki Nr 3 do US z dnia 22.12.2008 r." xfId="26" xr:uid="{1512DAEC-927F-47B2-9160-D90A1DA8265D}"/>
    <cellStyle name="Normalny_Załącznik nr 9  PROW na 2010" xfId="31" xr:uid="{39E2B15A-62F6-4CF8-BE01-5F604BEA2DA4}"/>
    <cellStyle name="Normalny_Załączniki do  budżetu na 2005 r" xfId="27" xr:uid="{E2BBCB82-404A-427F-AF51-345F07CE0D9C}"/>
    <cellStyle name="Normalny_Załączniki do budżetu na 2006 r._Zał. Nr 3 i Nr 21 do proj.budż.po Autopoprawce" xfId="23" xr:uid="{5456C723-4633-4B55-B96D-2A026C4B02CD}"/>
    <cellStyle name="Normalny_Załączniki do projektu budżetu na 2009 r." xfId="28" xr:uid="{81DCB5BD-5AE6-42E0-8479-67D0F86F70F5}"/>
    <cellStyle name="Procentowy 2" xfId="29" xr:uid="{8BCA6C90-D5C3-4953-A01E-D4B11FAF70A7}"/>
    <cellStyle name="Styl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1"/>
  <sheetViews>
    <sheetView view="pageBreakPreview" topLeftCell="A108" zoomScaleNormal="100" zoomScaleSheetLayoutView="100" workbookViewId="0">
      <selection activeCell="E171" sqref="E171"/>
    </sheetView>
  </sheetViews>
  <sheetFormatPr defaultColWidth="8" defaultRowHeight="12.75"/>
  <cols>
    <col min="1" max="1" width="5" style="1" customWidth="1"/>
    <col min="2" max="2" width="26.375" style="2" customWidth="1"/>
    <col min="3" max="3" width="3.125" style="2" customWidth="1"/>
    <col min="4" max="4" width="14.875" style="3" customWidth="1"/>
    <col min="5" max="5" width="14.5" style="4" customWidth="1"/>
    <col min="6" max="6" width="12" style="4" customWidth="1"/>
    <col min="7" max="7" width="13.125" style="4" customWidth="1"/>
    <col min="8" max="9" width="12" style="4" customWidth="1"/>
    <col min="10" max="10" width="10.75" style="4" customWidth="1"/>
    <col min="11" max="11" width="9.125" style="4" customWidth="1"/>
    <col min="12" max="12" width="12" style="4" customWidth="1"/>
    <col min="13" max="13" width="9.125" style="4" customWidth="1"/>
    <col min="14" max="16" width="12" style="4" customWidth="1"/>
    <col min="17" max="17" width="9.375" style="4" customWidth="1"/>
    <col min="18" max="16384" width="8" style="4"/>
  </cols>
  <sheetData>
    <row r="1" spans="1:17">
      <c r="O1" s="4" t="s">
        <v>133</v>
      </c>
    </row>
    <row r="2" spans="1:17">
      <c r="O2" s="4" t="s">
        <v>132</v>
      </c>
    </row>
    <row r="3" spans="1:17">
      <c r="O3" s="4" t="s">
        <v>131</v>
      </c>
    </row>
    <row r="4" spans="1:17" ht="20.25" customHeight="1">
      <c r="A4" s="777"/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</row>
    <row r="5" spans="1:17" ht="27.75" customHeight="1">
      <c r="A5" s="821" t="s">
        <v>102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</row>
    <row r="6" spans="1:17">
      <c r="G6" s="5"/>
      <c r="H6" s="5"/>
      <c r="I6" s="5"/>
      <c r="J6" s="5"/>
      <c r="K6" s="5"/>
      <c r="L6" s="5"/>
      <c r="M6" s="5"/>
      <c r="P6" s="6"/>
      <c r="Q6" s="6" t="s">
        <v>35</v>
      </c>
    </row>
    <row r="7" spans="1:17" s="7" customFormat="1" ht="21" customHeight="1">
      <c r="A7" s="778" t="s">
        <v>36</v>
      </c>
      <c r="B7" s="781" t="s">
        <v>37</v>
      </c>
      <c r="C7" s="778" t="s">
        <v>94</v>
      </c>
      <c r="D7" s="784" t="s">
        <v>38</v>
      </c>
      <c r="E7" s="787" t="s">
        <v>3</v>
      </c>
      <c r="F7" s="784" t="s">
        <v>4</v>
      </c>
      <c r="G7" s="787" t="s">
        <v>5</v>
      </c>
      <c r="H7" s="790"/>
      <c r="I7" s="790"/>
      <c r="J7" s="790"/>
      <c r="K7" s="790"/>
      <c r="L7" s="790"/>
      <c r="M7" s="790"/>
      <c r="N7" s="790"/>
      <c r="O7" s="790"/>
      <c r="P7" s="790"/>
      <c r="Q7" s="791"/>
    </row>
    <row r="8" spans="1:17" s="7" customFormat="1" ht="21" customHeight="1">
      <c r="A8" s="779"/>
      <c r="B8" s="782"/>
      <c r="C8" s="779"/>
      <c r="D8" s="785"/>
      <c r="E8" s="788"/>
      <c r="F8" s="785"/>
      <c r="G8" s="792" t="s">
        <v>87</v>
      </c>
      <c r="H8" s="793"/>
      <c r="I8" s="793"/>
      <c r="J8" s="793"/>
      <c r="K8" s="793"/>
      <c r="L8" s="793"/>
      <c r="M8" s="794"/>
      <c r="N8" s="792" t="s">
        <v>6</v>
      </c>
      <c r="O8" s="793"/>
      <c r="P8" s="793"/>
      <c r="Q8" s="794"/>
    </row>
    <row r="9" spans="1:17" s="7" customFormat="1" ht="29.25" customHeight="1">
      <c r="A9" s="779"/>
      <c r="B9" s="782"/>
      <c r="C9" s="779"/>
      <c r="D9" s="785"/>
      <c r="E9" s="788"/>
      <c r="F9" s="785"/>
      <c r="G9" s="784" t="s">
        <v>90</v>
      </c>
      <c r="H9" s="787" t="s">
        <v>91</v>
      </c>
      <c r="I9" s="791"/>
      <c r="J9" s="784" t="s">
        <v>7</v>
      </c>
      <c r="K9" s="784" t="s">
        <v>8</v>
      </c>
      <c r="L9" s="784" t="s">
        <v>9</v>
      </c>
      <c r="M9" s="787" t="s">
        <v>93</v>
      </c>
      <c r="N9" s="784" t="s">
        <v>10</v>
      </c>
      <c r="O9" s="784" t="s">
        <v>7</v>
      </c>
      <c r="P9" s="787" t="s">
        <v>8</v>
      </c>
      <c r="Q9" s="784" t="s">
        <v>93</v>
      </c>
    </row>
    <row r="10" spans="1:17" s="7" customFormat="1" ht="42" customHeight="1">
      <c r="A10" s="780"/>
      <c r="B10" s="783"/>
      <c r="C10" s="780"/>
      <c r="D10" s="786"/>
      <c r="E10" s="789"/>
      <c r="F10" s="786"/>
      <c r="G10" s="789"/>
      <c r="H10" s="8" t="s">
        <v>11</v>
      </c>
      <c r="I10" s="9" t="s">
        <v>12</v>
      </c>
      <c r="J10" s="786"/>
      <c r="K10" s="786"/>
      <c r="L10" s="786"/>
      <c r="M10" s="789"/>
      <c r="N10" s="786"/>
      <c r="O10" s="786"/>
      <c r="P10" s="789"/>
      <c r="Q10" s="786"/>
    </row>
    <row r="11" spans="1:17" s="14" customFormat="1" ht="12" customHeight="1">
      <c r="A11" s="11" t="s">
        <v>39</v>
      </c>
      <c r="B11" s="10" t="s">
        <v>40</v>
      </c>
      <c r="C11" s="10"/>
      <c r="D11" s="11" t="s">
        <v>41</v>
      </c>
      <c r="E11" s="11" t="s">
        <v>24</v>
      </c>
      <c r="F11" s="11" t="s">
        <v>29</v>
      </c>
      <c r="G11" s="12" t="s">
        <v>30</v>
      </c>
      <c r="H11" s="11" t="s">
        <v>31</v>
      </c>
      <c r="I11" s="13" t="s">
        <v>32</v>
      </c>
      <c r="J11" s="11" t="s">
        <v>33</v>
      </c>
      <c r="K11" s="11" t="s">
        <v>34</v>
      </c>
      <c r="L11" s="11" t="s">
        <v>13</v>
      </c>
      <c r="M11" s="11" t="s">
        <v>14</v>
      </c>
      <c r="N11" s="11" t="s">
        <v>15</v>
      </c>
      <c r="O11" s="11" t="s">
        <v>16</v>
      </c>
      <c r="P11" s="12" t="s">
        <v>88</v>
      </c>
      <c r="Q11" s="11" t="s">
        <v>89</v>
      </c>
    </row>
    <row r="12" spans="1:17" s="14" customFormat="1" ht="5.0999999999999996" customHeight="1">
      <c r="A12" s="43"/>
      <c r="B12" s="15"/>
      <c r="C12" s="15"/>
      <c r="D12" s="16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8"/>
    </row>
    <row r="13" spans="1:17" s="20" customFormat="1" ht="20.100000000000001" customHeight="1">
      <c r="A13" s="804"/>
      <c r="B13" s="801" t="s">
        <v>17</v>
      </c>
      <c r="C13" s="87" t="s">
        <v>0</v>
      </c>
      <c r="D13" s="88">
        <f>SUM(E13:Q13)</f>
        <v>1765937381.6799998</v>
      </c>
      <c r="E13" s="89">
        <f>E17+E21+E33+E37+E45+E49+E53+E57+E61+E69+E73+E77+E81+E85+E89+E93+E101+E105+E109+E29+E97+E41+E25+E65</f>
        <v>1396995780.6399999</v>
      </c>
      <c r="F13" s="89">
        <f t="shared" ref="F13:Q13" si="0">F17+F21+F33+F37+F45+F49+F53+F57+F61+F69+F73+F77+F81+F85+F89+F93+F101+F105+F109+F29+F97+F41+F25+F65</f>
        <v>25424908</v>
      </c>
      <c r="G13" s="89">
        <f t="shared" si="0"/>
        <v>117641920.8</v>
      </c>
      <c r="H13" s="89">
        <f t="shared" si="0"/>
        <v>74153461</v>
      </c>
      <c r="I13" s="89">
        <f t="shared" si="0"/>
        <v>29316754</v>
      </c>
      <c r="J13" s="89">
        <f t="shared" si="0"/>
        <v>0</v>
      </c>
      <c r="K13" s="89">
        <f t="shared" si="0"/>
        <v>277972</v>
      </c>
      <c r="L13" s="89">
        <f t="shared" si="0"/>
        <v>3684442</v>
      </c>
      <c r="M13" s="89">
        <f t="shared" si="0"/>
        <v>0</v>
      </c>
      <c r="N13" s="89">
        <f t="shared" si="0"/>
        <v>83941517.24000001</v>
      </c>
      <c r="O13" s="89">
        <f t="shared" si="0"/>
        <v>7727194</v>
      </c>
      <c r="P13" s="89">
        <f t="shared" si="0"/>
        <v>26773432</v>
      </c>
      <c r="Q13" s="89">
        <f t="shared" si="0"/>
        <v>0</v>
      </c>
    </row>
    <row r="14" spans="1:17" s="20" customFormat="1" ht="20.100000000000001" customHeight="1">
      <c r="A14" s="805"/>
      <c r="B14" s="802"/>
      <c r="C14" s="87" t="s">
        <v>1</v>
      </c>
      <c r="D14" s="89">
        <f>SUM(E14:Q14)</f>
        <v>14055989</v>
      </c>
      <c r="E14" s="89">
        <f t="shared" ref="E14:Q15" si="1">E18+E22+E34+E38+E46+E50+E54+E58+E62+E70+E74+E78+E82+E86+E90+E94+E102+E106+E110+E30+E98+E42+E26+E66</f>
        <v>1201827</v>
      </c>
      <c r="F14" s="89">
        <f t="shared" si="1"/>
        <v>58233</v>
      </c>
      <c r="G14" s="89">
        <f t="shared" si="1"/>
        <v>10690961</v>
      </c>
      <c r="H14" s="89">
        <f t="shared" si="1"/>
        <v>181660</v>
      </c>
      <c r="I14" s="89">
        <f t="shared" si="1"/>
        <v>1282972</v>
      </c>
      <c r="J14" s="89">
        <f t="shared" si="1"/>
        <v>0</v>
      </c>
      <c r="K14" s="89">
        <f t="shared" si="1"/>
        <v>0</v>
      </c>
      <c r="L14" s="89">
        <f t="shared" si="1"/>
        <v>0</v>
      </c>
      <c r="M14" s="89">
        <f t="shared" si="1"/>
        <v>0</v>
      </c>
      <c r="N14" s="89">
        <f t="shared" si="1"/>
        <v>0</v>
      </c>
      <c r="O14" s="89">
        <f t="shared" si="1"/>
        <v>640000</v>
      </c>
      <c r="P14" s="89">
        <f t="shared" si="1"/>
        <v>336</v>
      </c>
      <c r="Q14" s="89">
        <f t="shared" si="1"/>
        <v>0</v>
      </c>
    </row>
    <row r="15" spans="1:17" s="20" customFormat="1" ht="20.100000000000001" customHeight="1">
      <c r="A15" s="806"/>
      <c r="B15" s="803"/>
      <c r="C15" s="87" t="s">
        <v>2</v>
      </c>
      <c r="D15" s="89">
        <f>SUM(E15:Q15)</f>
        <v>1779993370.6799998</v>
      </c>
      <c r="E15" s="89">
        <f t="shared" si="1"/>
        <v>1398197607.6399999</v>
      </c>
      <c r="F15" s="89">
        <f t="shared" si="1"/>
        <v>25483141</v>
      </c>
      <c r="G15" s="89">
        <f t="shared" si="1"/>
        <v>128332881.8</v>
      </c>
      <c r="H15" s="89">
        <f t="shared" si="1"/>
        <v>74335121</v>
      </c>
      <c r="I15" s="89">
        <f t="shared" si="1"/>
        <v>30599726</v>
      </c>
      <c r="J15" s="89">
        <f t="shared" si="1"/>
        <v>0</v>
      </c>
      <c r="K15" s="89">
        <f t="shared" si="1"/>
        <v>277972</v>
      </c>
      <c r="L15" s="89">
        <f t="shared" si="1"/>
        <v>3684442</v>
      </c>
      <c r="M15" s="89">
        <f t="shared" si="1"/>
        <v>0</v>
      </c>
      <c r="N15" s="89">
        <f t="shared" si="1"/>
        <v>83941517.24000001</v>
      </c>
      <c r="O15" s="89">
        <f t="shared" si="1"/>
        <v>8367194</v>
      </c>
      <c r="P15" s="89">
        <f t="shared" si="1"/>
        <v>26773768</v>
      </c>
      <c r="Q15" s="89">
        <f t="shared" si="1"/>
        <v>0</v>
      </c>
    </row>
    <row r="16" spans="1:17" s="79" customFormat="1" ht="5.0999999999999996" customHeight="1">
      <c r="A16" s="48"/>
      <c r="B16" s="74"/>
      <c r="C16" s="74"/>
      <c r="D16" s="49"/>
      <c r="E16" s="75"/>
      <c r="F16" s="76"/>
      <c r="G16" s="76"/>
      <c r="H16" s="77"/>
      <c r="I16" s="76"/>
      <c r="J16" s="76"/>
      <c r="K16" s="78"/>
      <c r="L16" s="76"/>
      <c r="M16" s="76"/>
      <c r="N16" s="76"/>
      <c r="O16" s="76"/>
      <c r="P16" s="76"/>
      <c r="Q16" s="77"/>
    </row>
    <row r="17" spans="1:17" s="20" customFormat="1" ht="20.25" hidden="1" customHeight="1">
      <c r="A17" s="795" t="s">
        <v>42</v>
      </c>
      <c r="B17" s="798" t="s">
        <v>98</v>
      </c>
      <c r="C17" s="19" t="s">
        <v>0</v>
      </c>
      <c r="D17" s="50">
        <f>SUM(E17:Q17)</f>
        <v>20546214.84</v>
      </c>
      <c r="E17" s="51">
        <v>0</v>
      </c>
      <c r="F17" s="51">
        <v>9500000</v>
      </c>
      <c r="G17" s="52">
        <v>0</v>
      </c>
      <c r="H17" s="51">
        <v>6360000</v>
      </c>
      <c r="I17" s="53">
        <v>4625000</v>
      </c>
      <c r="J17" s="51">
        <v>0</v>
      </c>
      <c r="K17" s="54">
        <v>0</v>
      </c>
      <c r="L17" s="52">
        <v>0</v>
      </c>
      <c r="M17" s="52">
        <v>0</v>
      </c>
      <c r="N17" s="51">
        <v>61214.84</v>
      </c>
      <c r="O17" s="51">
        <v>0</v>
      </c>
      <c r="P17" s="53">
        <v>0</v>
      </c>
      <c r="Q17" s="51">
        <v>0</v>
      </c>
    </row>
    <row r="18" spans="1:17" s="20" customFormat="1" ht="20.25" hidden="1" customHeight="1">
      <c r="A18" s="796"/>
      <c r="B18" s="799"/>
      <c r="C18" s="19" t="s">
        <v>1</v>
      </c>
      <c r="D18" s="50">
        <f>SUM(E18:Q18)</f>
        <v>0</v>
      </c>
      <c r="E18" s="55">
        <v>0</v>
      </c>
      <c r="F18" s="55">
        <v>0</v>
      </c>
      <c r="G18" s="56">
        <v>0</v>
      </c>
      <c r="H18" s="55">
        <v>0</v>
      </c>
      <c r="I18" s="56">
        <v>0</v>
      </c>
      <c r="J18" s="55">
        <v>0</v>
      </c>
      <c r="K18" s="57">
        <v>0</v>
      </c>
      <c r="L18" s="58">
        <v>0</v>
      </c>
      <c r="M18" s="58">
        <v>0</v>
      </c>
      <c r="N18" s="55">
        <v>0</v>
      </c>
      <c r="O18" s="55">
        <v>0</v>
      </c>
      <c r="P18" s="56">
        <v>0</v>
      </c>
      <c r="Q18" s="55">
        <v>0</v>
      </c>
    </row>
    <row r="19" spans="1:17" s="20" customFormat="1" ht="20.25" hidden="1" customHeight="1">
      <c r="A19" s="797"/>
      <c r="B19" s="800"/>
      <c r="C19" s="19" t="s">
        <v>2</v>
      </c>
      <c r="D19" s="50">
        <f>SUM(E19:Q19)</f>
        <v>20546214.84</v>
      </c>
      <c r="E19" s="55">
        <f>E17+E18</f>
        <v>0</v>
      </c>
      <c r="F19" s="55">
        <f t="shared" ref="F19:P19" si="2">F17+F18</f>
        <v>9500000</v>
      </c>
      <c r="G19" s="55">
        <f t="shared" si="2"/>
        <v>0</v>
      </c>
      <c r="H19" s="55">
        <f t="shared" si="2"/>
        <v>6360000</v>
      </c>
      <c r="I19" s="55">
        <f t="shared" si="2"/>
        <v>4625000</v>
      </c>
      <c r="J19" s="55">
        <f t="shared" si="2"/>
        <v>0</v>
      </c>
      <c r="K19" s="55">
        <f t="shared" si="2"/>
        <v>0</v>
      </c>
      <c r="L19" s="55">
        <f t="shared" si="2"/>
        <v>0</v>
      </c>
      <c r="M19" s="55">
        <f>M17+M18</f>
        <v>0</v>
      </c>
      <c r="N19" s="55">
        <f t="shared" si="2"/>
        <v>61214.84</v>
      </c>
      <c r="O19" s="55">
        <f t="shared" si="2"/>
        <v>0</v>
      </c>
      <c r="P19" s="58">
        <f t="shared" si="2"/>
        <v>0</v>
      </c>
      <c r="Q19" s="55">
        <f>Q17+Q18</f>
        <v>0</v>
      </c>
    </row>
    <row r="20" spans="1:17" s="20" customFormat="1" ht="12" hidden="1" customHeight="1">
      <c r="A20" s="44"/>
      <c r="B20" s="21"/>
      <c r="C20" s="22"/>
      <c r="D20" s="59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1"/>
    </row>
    <row r="21" spans="1:17" s="20" customFormat="1" ht="20.25" hidden="1" customHeight="1">
      <c r="A21" s="795" t="s">
        <v>43</v>
      </c>
      <c r="B21" s="798" t="s">
        <v>44</v>
      </c>
      <c r="C21" s="19" t="s">
        <v>0</v>
      </c>
      <c r="D21" s="50">
        <f>SUM(E21:Q21)</f>
        <v>245000</v>
      </c>
      <c r="E21" s="55">
        <v>0</v>
      </c>
      <c r="F21" s="55">
        <v>0</v>
      </c>
      <c r="G21" s="56">
        <v>0</v>
      </c>
      <c r="H21" s="55">
        <v>98000</v>
      </c>
      <c r="I21" s="56">
        <v>42000</v>
      </c>
      <c r="J21" s="55">
        <v>0</v>
      </c>
      <c r="K21" s="57">
        <v>0</v>
      </c>
      <c r="L21" s="58">
        <v>0</v>
      </c>
      <c r="M21" s="58">
        <v>0</v>
      </c>
      <c r="N21" s="55">
        <v>105000</v>
      </c>
      <c r="O21" s="55">
        <v>0</v>
      </c>
      <c r="P21" s="56">
        <v>0</v>
      </c>
      <c r="Q21" s="55">
        <v>0</v>
      </c>
    </row>
    <row r="22" spans="1:17" s="20" customFormat="1" ht="20.25" hidden="1" customHeight="1">
      <c r="A22" s="796"/>
      <c r="B22" s="799"/>
      <c r="C22" s="19" t="s">
        <v>1</v>
      </c>
      <c r="D22" s="50">
        <f>SUM(E22:Q22)</f>
        <v>0</v>
      </c>
      <c r="E22" s="55">
        <v>0</v>
      </c>
      <c r="F22" s="55">
        <v>0</v>
      </c>
      <c r="G22" s="56">
        <v>0</v>
      </c>
      <c r="H22" s="55">
        <v>0</v>
      </c>
      <c r="I22" s="56">
        <v>0</v>
      </c>
      <c r="J22" s="55">
        <v>0</v>
      </c>
      <c r="K22" s="57">
        <v>0</v>
      </c>
      <c r="L22" s="58">
        <v>0</v>
      </c>
      <c r="M22" s="58">
        <v>0</v>
      </c>
      <c r="N22" s="55">
        <v>0</v>
      </c>
      <c r="O22" s="55">
        <v>0</v>
      </c>
      <c r="P22" s="56">
        <v>0</v>
      </c>
      <c r="Q22" s="55">
        <v>0</v>
      </c>
    </row>
    <row r="23" spans="1:17" s="20" customFormat="1" ht="20.25" hidden="1" customHeight="1">
      <c r="A23" s="797"/>
      <c r="B23" s="800"/>
      <c r="C23" s="19" t="s">
        <v>2</v>
      </c>
      <c r="D23" s="50">
        <f>SUM(E23:Q23)</f>
        <v>245000</v>
      </c>
      <c r="E23" s="55">
        <f t="shared" ref="E23:P23" si="3">E21+E22</f>
        <v>0</v>
      </c>
      <c r="F23" s="55">
        <f t="shared" si="3"/>
        <v>0</v>
      </c>
      <c r="G23" s="55">
        <f t="shared" si="3"/>
        <v>0</v>
      </c>
      <c r="H23" s="55">
        <f t="shared" si="3"/>
        <v>98000</v>
      </c>
      <c r="I23" s="55">
        <f t="shared" si="3"/>
        <v>42000</v>
      </c>
      <c r="J23" s="55">
        <f t="shared" si="3"/>
        <v>0</v>
      </c>
      <c r="K23" s="55">
        <f t="shared" si="3"/>
        <v>0</v>
      </c>
      <c r="L23" s="55">
        <f t="shared" si="3"/>
        <v>0</v>
      </c>
      <c r="M23" s="55">
        <f>M21+M22</f>
        <v>0</v>
      </c>
      <c r="N23" s="55">
        <f t="shared" si="3"/>
        <v>105000</v>
      </c>
      <c r="O23" s="55">
        <f t="shared" si="3"/>
        <v>0</v>
      </c>
      <c r="P23" s="58">
        <f t="shared" si="3"/>
        <v>0</v>
      </c>
      <c r="Q23" s="55">
        <f>Q21+Q22</f>
        <v>0</v>
      </c>
    </row>
    <row r="24" spans="1:17" s="20" customFormat="1" ht="5.25" hidden="1" customHeight="1">
      <c r="A24" s="44"/>
      <c r="B24" s="21"/>
      <c r="C24" s="21"/>
      <c r="D24" s="59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1"/>
    </row>
    <row r="25" spans="1:17" s="20" customFormat="1" ht="20.25" hidden="1" customHeight="1">
      <c r="A25" s="795" t="s">
        <v>95</v>
      </c>
      <c r="B25" s="798" t="s">
        <v>96</v>
      </c>
      <c r="C25" s="19" t="s">
        <v>0</v>
      </c>
      <c r="D25" s="50">
        <f>SUM(E25:Q25)</f>
        <v>376000</v>
      </c>
      <c r="E25" s="55">
        <v>0</v>
      </c>
      <c r="F25" s="55">
        <v>0</v>
      </c>
      <c r="G25" s="56">
        <v>0</v>
      </c>
      <c r="H25" s="55">
        <v>0</v>
      </c>
      <c r="I25" s="56">
        <v>0</v>
      </c>
      <c r="J25" s="55">
        <v>0</v>
      </c>
      <c r="K25" s="57">
        <v>0</v>
      </c>
      <c r="L25" s="58">
        <v>0</v>
      </c>
      <c r="M25" s="58">
        <v>0</v>
      </c>
      <c r="N25" s="55">
        <v>376000</v>
      </c>
      <c r="O25" s="55">
        <v>0</v>
      </c>
      <c r="P25" s="56">
        <v>0</v>
      </c>
      <c r="Q25" s="55">
        <v>0</v>
      </c>
    </row>
    <row r="26" spans="1:17" s="20" customFormat="1" ht="20.25" hidden="1" customHeight="1">
      <c r="A26" s="796"/>
      <c r="B26" s="799"/>
      <c r="C26" s="19" t="s">
        <v>1</v>
      </c>
      <c r="D26" s="50">
        <f>SUM(E26:Q26)</f>
        <v>0</v>
      </c>
      <c r="E26" s="55">
        <v>0</v>
      </c>
      <c r="F26" s="55">
        <v>0</v>
      </c>
      <c r="G26" s="56">
        <v>0</v>
      </c>
      <c r="H26" s="55">
        <v>0</v>
      </c>
      <c r="I26" s="56">
        <v>0</v>
      </c>
      <c r="J26" s="55">
        <v>0</v>
      </c>
      <c r="K26" s="57">
        <v>0</v>
      </c>
      <c r="L26" s="58">
        <v>0</v>
      </c>
      <c r="M26" s="58">
        <v>0</v>
      </c>
      <c r="N26" s="55">
        <v>0</v>
      </c>
      <c r="O26" s="55">
        <v>0</v>
      </c>
      <c r="P26" s="56">
        <v>0</v>
      </c>
      <c r="Q26" s="55">
        <v>0</v>
      </c>
    </row>
    <row r="27" spans="1:17" s="20" customFormat="1" ht="20.25" hidden="1" customHeight="1">
      <c r="A27" s="797"/>
      <c r="B27" s="800"/>
      <c r="C27" s="19" t="s">
        <v>2</v>
      </c>
      <c r="D27" s="50">
        <f>SUM(E27:Q27)</f>
        <v>376000</v>
      </c>
      <c r="E27" s="55">
        <f t="shared" ref="E27:L27" si="4">E25+E26</f>
        <v>0</v>
      </c>
      <c r="F27" s="55">
        <f t="shared" si="4"/>
        <v>0</v>
      </c>
      <c r="G27" s="55">
        <f t="shared" si="4"/>
        <v>0</v>
      </c>
      <c r="H27" s="55">
        <f t="shared" si="4"/>
        <v>0</v>
      </c>
      <c r="I27" s="55">
        <f t="shared" si="4"/>
        <v>0</v>
      </c>
      <c r="J27" s="55">
        <f t="shared" si="4"/>
        <v>0</v>
      </c>
      <c r="K27" s="55">
        <f t="shared" si="4"/>
        <v>0</v>
      </c>
      <c r="L27" s="55">
        <f t="shared" si="4"/>
        <v>0</v>
      </c>
      <c r="M27" s="55">
        <f>M25+M26</f>
        <v>0</v>
      </c>
      <c r="N27" s="55">
        <f>N25+N26</f>
        <v>376000</v>
      </c>
      <c r="O27" s="55">
        <f>O25+O26</f>
        <v>0</v>
      </c>
      <c r="P27" s="58">
        <f>P25+P26</f>
        <v>0</v>
      </c>
      <c r="Q27" s="55">
        <f>Q25+Q26</f>
        <v>0</v>
      </c>
    </row>
    <row r="28" spans="1:17" s="20" customFormat="1" ht="5.25" hidden="1" customHeight="1">
      <c r="A28" s="45"/>
      <c r="B28" s="22"/>
      <c r="C28" s="21"/>
      <c r="D28" s="5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1"/>
    </row>
    <row r="29" spans="1:17" s="20" customFormat="1" ht="18" hidden="1" customHeight="1">
      <c r="A29" s="795" t="s">
        <v>81</v>
      </c>
      <c r="B29" s="798" t="s">
        <v>82</v>
      </c>
      <c r="C29" s="19" t="s">
        <v>0</v>
      </c>
      <c r="D29" s="50">
        <f>SUM(E29:Q29)</f>
        <v>142592</v>
      </c>
      <c r="E29" s="51">
        <v>0</v>
      </c>
      <c r="F29" s="51">
        <v>29</v>
      </c>
      <c r="G29" s="53">
        <v>0</v>
      </c>
      <c r="H29" s="51">
        <v>0</v>
      </c>
      <c r="I29" s="53">
        <v>0</v>
      </c>
      <c r="J29" s="51">
        <v>0</v>
      </c>
      <c r="K29" s="54">
        <v>0</v>
      </c>
      <c r="L29" s="52">
        <v>142563</v>
      </c>
      <c r="M29" s="51">
        <v>0</v>
      </c>
      <c r="N29" s="51">
        <v>0</v>
      </c>
      <c r="O29" s="51">
        <v>0</v>
      </c>
      <c r="P29" s="53">
        <v>0</v>
      </c>
      <c r="Q29" s="51">
        <v>0</v>
      </c>
    </row>
    <row r="30" spans="1:17" s="20" customFormat="1" ht="18" hidden="1" customHeight="1">
      <c r="A30" s="796"/>
      <c r="B30" s="799"/>
      <c r="C30" s="19" t="s">
        <v>1</v>
      </c>
      <c r="D30" s="50">
        <f>SUM(E30:Q30)</f>
        <v>0</v>
      </c>
      <c r="E30" s="55">
        <v>0</v>
      </c>
      <c r="F30" s="55">
        <v>0</v>
      </c>
      <c r="G30" s="56">
        <v>0</v>
      </c>
      <c r="H30" s="55">
        <v>0</v>
      </c>
      <c r="I30" s="56">
        <v>0</v>
      </c>
      <c r="J30" s="55">
        <v>0</v>
      </c>
      <c r="K30" s="57">
        <v>0</v>
      </c>
      <c r="L30" s="58">
        <v>0</v>
      </c>
      <c r="M30" s="55">
        <v>0</v>
      </c>
      <c r="N30" s="55">
        <v>0</v>
      </c>
      <c r="O30" s="55">
        <v>0</v>
      </c>
      <c r="P30" s="56">
        <v>0</v>
      </c>
      <c r="Q30" s="55">
        <v>0</v>
      </c>
    </row>
    <row r="31" spans="1:17" s="20" customFormat="1" ht="18" hidden="1" customHeight="1">
      <c r="A31" s="797"/>
      <c r="B31" s="800"/>
      <c r="C31" s="19" t="s">
        <v>2</v>
      </c>
      <c r="D31" s="50">
        <f>SUM(E31:Q31)</f>
        <v>142592</v>
      </c>
      <c r="E31" s="55">
        <f t="shared" ref="E31:P31" si="5">E29+E30</f>
        <v>0</v>
      </c>
      <c r="F31" s="55">
        <f t="shared" si="5"/>
        <v>29</v>
      </c>
      <c r="G31" s="55">
        <f t="shared" si="5"/>
        <v>0</v>
      </c>
      <c r="H31" s="55">
        <f t="shared" si="5"/>
        <v>0</v>
      </c>
      <c r="I31" s="55">
        <f t="shared" si="5"/>
        <v>0</v>
      </c>
      <c r="J31" s="55">
        <f t="shared" si="5"/>
        <v>0</v>
      </c>
      <c r="K31" s="55">
        <f t="shared" si="5"/>
        <v>0</v>
      </c>
      <c r="L31" s="55">
        <f t="shared" si="5"/>
        <v>142563</v>
      </c>
      <c r="M31" s="55">
        <f>M29+M30</f>
        <v>0</v>
      </c>
      <c r="N31" s="55">
        <f t="shared" si="5"/>
        <v>0</v>
      </c>
      <c r="O31" s="55">
        <f t="shared" si="5"/>
        <v>0</v>
      </c>
      <c r="P31" s="58">
        <f t="shared" si="5"/>
        <v>0</v>
      </c>
      <c r="Q31" s="55">
        <f>Q29+Q30</f>
        <v>0</v>
      </c>
    </row>
    <row r="32" spans="1:17" s="20" customFormat="1" ht="4.5" hidden="1" customHeight="1">
      <c r="A32" s="45"/>
      <c r="B32" s="22"/>
      <c r="C32" s="21"/>
      <c r="D32" s="5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1"/>
    </row>
    <row r="33" spans="1:17" s="3" customFormat="1" ht="18" hidden="1" customHeight="1">
      <c r="A33" s="771" t="s">
        <v>70</v>
      </c>
      <c r="B33" s="774" t="s">
        <v>71</v>
      </c>
      <c r="C33" s="19" t="s">
        <v>0</v>
      </c>
      <c r="D33" s="50">
        <f>SUM(E33:Q33)</f>
        <v>0</v>
      </c>
      <c r="E33" s="60">
        <v>0</v>
      </c>
      <c r="F33" s="60">
        <v>0</v>
      </c>
      <c r="G33" s="61">
        <v>0</v>
      </c>
      <c r="H33" s="60">
        <v>0</v>
      </c>
      <c r="I33" s="62">
        <v>0</v>
      </c>
      <c r="J33" s="60">
        <v>0</v>
      </c>
      <c r="K33" s="62">
        <v>0</v>
      </c>
      <c r="L33" s="60">
        <v>0</v>
      </c>
      <c r="M33" s="60">
        <v>0</v>
      </c>
      <c r="N33" s="60">
        <v>0</v>
      </c>
      <c r="O33" s="60">
        <v>0</v>
      </c>
      <c r="P33" s="61">
        <v>0</v>
      </c>
      <c r="Q33" s="60">
        <v>0</v>
      </c>
    </row>
    <row r="34" spans="1:17" s="3" customFormat="1" ht="18" hidden="1" customHeight="1">
      <c r="A34" s="772"/>
      <c r="B34" s="775"/>
      <c r="C34" s="19" t="s">
        <v>1</v>
      </c>
      <c r="D34" s="50">
        <f>SUM(E34:Q34)</f>
        <v>0</v>
      </c>
      <c r="E34" s="55">
        <v>0</v>
      </c>
      <c r="F34" s="55">
        <v>0</v>
      </c>
      <c r="G34" s="56">
        <v>0</v>
      </c>
      <c r="H34" s="55">
        <v>0</v>
      </c>
      <c r="I34" s="56">
        <v>0</v>
      </c>
      <c r="J34" s="55">
        <v>0</v>
      </c>
      <c r="K34" s="57">
        <v>0</v>
      </c>
      <c r="L34" s="58">
        <v>0</v>
      </c>
      <c r="M34" s="58">
        <v>0</v>
      </c>
      <c r="N34" s="55">
        <v>0</v>
      </c>
      <c r="O34" s="55">
        <v>0</v>
      </c>
      <c r="P34" s="56">
        <v>0</v>
      </c>
      <c r="Q34" s="55">
        <v>0</v>
      </c>
    </row>
    <row r="35" spans="1:17" s="3" customFormat="1" ht="18" hidden="1" customHeight="1">
      <c r="A35" s="773"/>
      <c r="B35" s="776"/>
      <c r="C35" s="19" t="s">
        <v>2</v>
      </c>
      <c r="D35" s="50">
        <f>SUM(E35:Q35)</f>
        <v>0</v>
      </c>
      <c r="E35" s="55">
        <f t="shared" ref="E35:P35" si="6">E33+E34</f>
        <v>0</v>
      </c>
      <c r="F35" s="55">
        <f t="shared" si="6"/>
        <v>0</v>
      </c>
      <c r="G35" s="55">
        <f t="shared" si="6"/>
        <v>0</v>
      </c>
      <c r="H35" s="55">
        <f t="shared" si="6"/>
        <v>0</v>
      </c>
      <c r="I35" s="55">
        <f t="shared" si="6"/>
        <v>0</v>
      </c>
      <c r="J35" s="55">
        <f t="shared" si="6"/>
        <v>0</v>
      </c>
      <c r="K35" s="55">
        <f t="shared" si="6"/>
        <v>0</v>
      </c>
      <c r="L35" s="55">
        <f t="shared" si="6"/>
        <v>0</v>
      </c>
      <c r="M35" s="55">
        <f>M33+M34</f>
        <v>0</v>
      </c>
      <c r="N35" s="55">
        <f t="shared" si="6"/>
        <v>0</v>
      </c>
      <c r="O35" s="55">
        <f t="shared" si="6"/>
        <v>0</v>
      </c>
      <c r="P35" s="58">
        <f t="shared" si="6"/>
        <v>0</v>
      </c>
      <c r="Q35" s="55">
        <f>Q33+Q34</f>
        <v>0</v>
      </c>
    </row>
    <row r="36" spans="1:17" s="3" customFormat="1" ht="6" hidden="1" customHeight="1">
      <c r="A36" s="29"/>
      <c r="B36" s="24"/>
      <c r="C36" s="24"/>
      <c r="D36" s="59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0"/>
    </row>
    <row r="37" spans="1:17" s="3" customFormat="1" ht="18" hidden="1" customHeight="1">
      <c r="A37" s="771" t="s">
        <v>45</v>
      </c>
      <c r="B37" s="774" t="s">
        <v>46</v>
      </c>
      <c r="C37" s="19" t="s">
        <v>0</v>
      </c>
      <c r="D37" s="50">
        <f>SUM(E37:Q37)</f>
        <v>75520259</v>
      </c>
      <c r="E37" s="60">
        <v>0</v>
      </c>
      <c r="F37" s="60">
        <v>8148176</v>
      </c>
      <c r="G37" s="61">
        <v>0</v>
      </c>
      <c r="H37" s="60">
        <v>0</v>
      </c>
      <c r="I37" s="62">
        <v>0</v>
      </c>
      <c r="J37" s="60">
        <v>0</v>
      </c>
      <c r="K37" s="62">
        <v>0</v>
      </c>
      <c r="L37" s="60">
        <v>0</v>
      </c>
      <c r="M37" s="60">
        <v>0</v>
      </c>
      <c r="N37" s="60">
        <v>43604000</v>
      </c>
      <c r="O37" s="60">
        <v>1804450</v>
      </c>
      <c r="P37" s="61">
        <v>21963633</v>
      </c>
      <c r="Q37" s="60">
        <v>0</v>
      </c>
    </row>
    <row r="38" spans="1:17" s="3" customFormat="1" ht="18" hidden="1" customHeight="1">
      <c r="A38" s="772"/>
      <c r="B38" s="775"/>
      <c r="C38" s="19" t="s">
        <v>1</v>
      </c>
      <c r="D38" s="50">
        <f t="shared" ref="D38:D55" si="7">SUM(E38:Q38)</f>
        <v>0</v>
      </c>
      <c r="E38" s="55">
        <v>0</v>
      </c>
      <c r="F38" s="55">
        <v>0</v>
      </c>
      <c r="G38" s="56">
        <v>0</v>
      </c>
      <c r="H38" s="55">
        <v>0</v>
      </c>
      <c r="I38" s="56">
        <v>0</v>
      </c>
      <c r="J38" s="55">
        <v>0</v>
      </c>
      <c r="K38" s="57">
        <v>0</v>
      </c>
      <c r="L38" s="58">
        <v>0</v>
      </c>
      <c r="M38" s="58">
        <v>0</v>
      </c>
      <c r="N38" s="55">
        <v>0</v>
      </c>
      <c r="O38" s="55">
        <v>0</v>
      </c>
      <c r="P38" s="56">
        <v>0</v>
      </c>
      <c r="Q38" s="55">
        <v>0</v>
      </c>
    </row>
    <row r="39" spans="1:17" s="3" customFormat="1" ht="18" hidden="1" customHeight="1">
      <c r="A39" s="773"/>
      <c r="B39" s="776"/>
      <c r="C39" s="19" t="s">
        <v>2</v>
      </c>
      <c r="D39" s="50">
        <f t="shared" si="7"/>
        <v>75520259</v>
      </c>
      <c r="E39" s="55">
        <f t="shared" ref="E39:P39" si="8">E37+E38</f>
        <v>0</v>
      </c>
      <c r="F39" s="55">
        <f t="shared" si="8"/>
        <v>8148176</v>
      </c>
      <c r="G39" s="55">
        <f t="shared" si="8"/>
        <v>0</v>
      </c>
      <c r="H39" s="55">
        <f t="shared" si="8"/>
        <v>0</v>
      </c>
      <c r="I39" s="55">
        <f t="shared" si="8"/>
        <v>0</v>
      </c>
      <c r="J39" s="55">
        <f t="shared" si="8"/>
        <v>0</v>
      </c>
      <c r="K39" s="55">
        <f t="shared" si="8"/>
        <v>0</v>
      </c>
      <c r="L39" s="55">
        <f t="shared" si="8"/>
        <v>0</v>
      </c>
      <c r="M39" s="55">
        <f t="shared" si="8"/>
        <v>0</v>
      </c>
      <c r="N39" s="55">
        <f t="shared" si="8"/>
        <v>43604000</v>
      </c>
      <c r="O39" s="55">
        <f t="shared" si="8"/>
        <v>1804450</v>
      </c>
      <c r="P39" s="58">
        <f t="shared" si="8"/>
        <v>21963633</v>
      </c>
      <c r="Q39" s="55">
        <f>Q37+Q38</f>
        <v>0</v>
      </c>
    </row>
    <row r="40" spans="1:17" s="3" customFormat="1" ht="6.75" hidden="1" customHeight="1">
      <c r="A40" s="46"/>
      <c r="B40" s="25"/>
      <c r="C40" s="25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2"/>
      <c r="Q40" s="63"/>
    </row>
    <row r="41" spans="1:17" s="3" customFormat="1" ht="20.25" hidden="1" customHeight="1">
      <c r="A41" s="771" t="s">
        <v>85</v>
      </c>
      <c r="B41" s="774" t="s">
        <v>86</v>
      </c>
      <c r="C41" s="19" t="s">
        <v>0</v>
      </c>
      <c r="D41" s="50">
        <f>SUM(E41:Q41)</f>
        <v>307115</v>
      </c>
      <c r="E41" s="60">
        <v>0</v>
      </c>
      <c r="F41" s="60">
        <v>400</v>
      </c>
      <c r="G41" s="61">
        <v>0</v>
      </c>
      <c r="H41" s="60">
        <v>0</v>
      </c>
      <c r="I41" s="62">
        <v>0</v>
      </c>
      <c r="J41" s="60">
        <v>0</v>
      </c>
      <c r="K41" s="62">
        <v>0</v>
      </c>
      <c r="L41" s="60">
        <v>55715</v>
      </c>
      <c r="M41" s="60">
        <v>0</v>
      </c>
      <c r="N41" s="60">
        <v>251000</v>
      </c>
      <c r="O41" s="60">
        <v>0</v>
      </c>
      <c r="P41" s="61">
        <v>0</v>
      </c>
      <c r="Q41" s="60">
        <v>0</v>
      </c>
    </row>
    <row r="42" spans="1:17" s="3" customFormat="1" ht="20.25" hidden="1" customHeight="1">
      <c r="A42" s="772"/>
      <c r="B42" s="775"/>
      <c r="C42" s="19" t="s">
        <v>1</v>
      </c>
      <c r="D42" s="50">
        <f t="shared" si="7"/>
        <v>0</v>
      </c>
      <c r="E42" s="55">
        <v>0</v>
      </c>
      <c r="F42" s="55">
        <v>0</v>
      </c>
      <c r="G42" s="56">
        <v>0</v>
      </c>
      <c r="H42" s="55">
        <v>0</v>
      </c>
      <c r="I42" s="56">
        <v>0</v>
      </c>
      <c r="J42" s="55">
        <v>0</v>
      </c>
      <c r="K42" s="57">
        <v>0</v>
      </c>
      <c r="L42" s="58">
        <v>0</v>
      </c>
      <c r="M42" s="58">
        <v>0</v>
      </c>
      <c r="N42" s="55">
        <v>0</v>
      </c>
      <c r="O42" s="55">
        <v>0</v>
      </c>
      <c r="P42" s="56">
        <v>0</v>
      </c>
      <c r="Q42" s="55">
        <v>0</v>
      </c>
    </row>
    <row r="43" spans="1:17" s="3" customFormat="1" ht="20.25" hidden="1" customHeight="1">
      <c r="A43" s="773"/>
      <c r="B43" s="776"/>
      <c r="C43" s="19" t="s">
        <v>2</v>
      </c>
      <c r="D43" s="50">
        <f t="shared" si="7"/>
        <v>307115</v>
      </c>
      <c r="E43" s="55">
        <f t="shared" ref="E43:P43" si="9">E41+E42</f>
        <v>0</v>
      </c>
      <c r="F43" s="55">
        <f t="shared" si="9"/>
        <v>400</v>
      </c>
      <c r="G43" s="55">
        <f t="shared" si="9"/>
        <v>0</v>
      </c>
      <c r="H43" s="55">
        <f t="shared" si="9"/>
        <v>0</v>
      </c>
      <c r="I43" s="55">
        <f t="shared" si="9"/>
        <v>0</v>
      </c>
      <c r="J43" s="55">
        <f t="shared" si="9"/>
        <v>0</v>
      </c>
      <c r="K43" s="55">
        <f t="shared" si="9"/>
        <v>0</v>
      </c>
      <c r="L43" s="55">
        <f t="shared" si="9"/>
        <v>55715</v>
      </c>
      <c r="M43" s="55">
        <f t="shared" si="9"/>
        <v>0</v>
      </c>
      <c r="N43" s="55">
        <f t="shared" si="9"/>
        <v>251000</v>
      </c>
      <c r="O43" s="55">
        <f t="shared" si="9"/>
        <v>0</v>
      </c>
      <c r="P43" s="58">
        <f t="shared" si="9"/>
        <v>0</v>
      </c>
      <c r="Q43" s="55">
        <f>Q41+Q42</f>
        <v>0</v>
      </c>
    </row>
    <row r="44" spans="1:17" s="3" customFormat="1" ht="6.75" hidden="1" customHeight="1">
      <c r="A44" s="47"/>
      <c r="B44" s="26"/>
      <c r="C44" s="27"/>
      <c r="D44" s="61"/>
      <c r="E44" s="64"/>
      <c r="F44" s="64"/>
      <c r="G44" s="64"/>
      <c r="H44" s="64"/>
      <c r="I44" s="64"/>
      <c r="J44" s="64"/>
      <c r="K44" s="64"/>
      <c r="L44" s="64"/>
      <c r="M44" s="61"/>
      <c r="N44" s="64"/>
      <c r="O44" s="64"/>
      <c r="P44" s="64"/>
      <c r="Q44" s="65"/>
    </row>
    <row r="45" spans="1:17" s="3" customFormat="1" ht="20.25" hidden="1" customHeight="1">
      <c r="A45" s="771" t="s">
        <v>47</v>
      </c>
      <c r="B45" s="774" t="s">
        <v>48</v>
      </c>
      <c r="C45" s="19" t="s">
        <v>0</v>
      </c>
      <c r="D45" s="50">
        <f>SUM(E45:Q45)</f>
        <v>1245000</v>
      </c>
      <c r="E45" s="60">
        <v>0</v>
      </c>
      <c r="F45" s="60">
        <v>1245000</v>
      </c>
      <c r="G45" s="61">
        <v>0</v>
      </c>
      <c r="H45" s="60">
        <v>0</v>
      </c>
      <c r="I45" s="62">
        <v>0</v>
      </c>
      <c r="J45" s="60">
        <v>0</v>
      </c>
      <c r="K45" s="62">
        <v>0</v>
      </c>
      <c r="L45" s="60">
        <v>0</v>
      </c>
      <c r="M45" s="60">
        <v>0</v>
      </c>
      <c r="N45" s="60">
        <v>0</v>
      </c>
      <c r="O45" s="60">
        <v>0</v>
      </c>
      <c r="P45" s="61">
        <v>0</v>
      </c>
      <c r="Q45" s="60">
        <v>0</v>
      </c>
    </row>
    <row r="46" spans="1:17" s="3" customFormat="1" ht="20.25" hidden="1" customHeight="1">
      <c r="A46" s="772"/>
      <c r="B46" s="775"/>
      <c r="C46" s="19" t="s">
        <v>1</v>
      </c>
      <c r="D46" s="50">
        <f t="shared" si="7"/>
        <v>0</v>
      </c>
      <c r="E46" s="55">
        <v>0</v>
      </c>
      <c r="F46" s="55">
        <v>0</v>
      </c>
      <c r="G46" s="56">
        <v>0</v>
      </c>
      <c r="H46" s="55">
        <v>0</v>
      </c>
      <c r="I46" s="56">
        <v>0</v>
      </c>
      <c r="J46" s="55">
        <v>0</v>
      </c>
      <c r="K46" s="57">
        <v>0</v>
      </c>
      <c r="L46" s="58">
        <v>0</v>
      </c>
      <c r="M46" s="58">
        <v>0</v>
      </c>
      <c r="N46" s="55">
        <v>0</v>
      </c>
      <c r="O46" s="55">
        <v>0</v>
      </c>
      <c r="P46" s="56">
        <v>0</v>
      </c>
      <c r="Q46" s="55">
        <v>0</v>
      </c>
    </row>
    <row r="47" spans="1:17" s="3" customFormat="1" ht="20.25" hidden="1" customHeight="1">
      <c r="A47" s="773"/>
      <c r="B47" s="776"/>
      <c r="C47" s="19" t="s">
        <v>2</v>
      </c>
      <c r="D47" s="50">
        <f t="shared" si="7"/>
        <v>1245000</v>
      </c>
      <c r="E47" s="55">
        <f t="shared" ref="E47:P47" si="10">E45+E46</f>
        <v>0</v>
      </c>
      <c r="F47" s="55">
        <f t="shared" si="10"/>
        <v>1245000</v>
      </c>
      <c r="G47" s="55">
        <f t="shared" si="10"/>
        <v>0</v>
      </c>
      <c r="H47" s="55">
        <f t="shared" si="10"/>
        <v>0</v>
      </c>
      <c r="I47" s="55">
        <f t="shared" si="10"/>
        <v>0</v>
      </c>
      <c r="J47" s="55">
        <f t="shared" si="10"/>
        <v>0</v>
      </c>
      <c r="K47" s="55">
        <f t="shared" si="10"/>
        <v>0</v>
      </c>
      <c r="L47" s="55">
        <f t="shared" si="10"/>
        <v>0</v>
      </c>
      <c r="M47" s="55">
        <f t="shared" si="10"/>
        <v>0</v>
      </c>
      <c r="N47" s="55">
        <f t="shared" si="10"/>
        <v>0</v>
      </c>
      <c r="O47" s="55">
        <f t="shared" si="10"/>
        <v>0</v>
      </c>
      <c r="P47" s="58">
        <f t="shared" si="10"/>
        <v>0</v>
      </c>
      <c r="Q47" s="55">
        <f>Q45+Q46</f>
        <v>0</v>
      </c>
    </row>
    <row r="48" spans="1:17" s="3" customFormat="1" ht="20.25" hidden="1" customHeight="1">
      <c r="A48" s="46"/>
      <c r="B48" s="25"/>
      <c r="C48" s="25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0"/>
    </row>
    <row r="49" spans="1:17" s="3" customFormat="1" ht="20.25" hidden="1" customHeight="1">
      <c r="A49" s="771" t="s">
        <v>49</v>
      </c>
      <c r="B49" s="774" t="s">
        <v>50</v>
      </c>
      <c r="C49" s="19" t="s">
        <v>0</v>
      </c>
      <c r="D49" s="50">
        <f>SUM(E49:Q49)</f>
        <v>192350</v>
      </c>
      <c r="E49" s="60">
        <v>0</v>
      </c>
      <c r="F49" s="60">
        <v>25350</v>
      </c>
      <c r="G49" s="61">
        <v>0</v>
      </c>
      <c r="H49" s="60">
        <v>0</v>
      </c>
      <c r="I49" s="62">
        <v>0</v>
      </c>
      <c r="J49" s="60">
        <v>0</v>
      </c>
      <c r="K49" s="62">
        <v>0</v>
      </c>
      <c r="L49" s="60">
        <v>0</v>
      </c>
      <c r="M49" s="60">
        <v>0</v>
      </c>
      <c r="N49" s="60">
        <v>167000</v>
      </c>
      <c r="O49" s="60">
        <v>0</v>
      </c>
      <c r="P49" s="61">
        <v>0</v>
      </c>
      <c r="Q49" s="60">
        <v>0</v>
      </c>
    </row>
    <row r="50" spans="1:17" s="3" customFormat="1" ht="20.25" hidden="1" customHeight="1">
      <c r="A50" s="772"/>
      <c r="B50" s="775"/>
      <c r="C50" s="19" t="s">
        <v>1</v>
      </c>
      <c r="D50" s="50">
        <f t="shared" si="7"/>
        <v>0</v>
      </c>
      <c r="E50" s="55">
        <v>0</v>
      </c>
      <c r="F50" s="55">
        <v>0</v>
      </c>
      <c r="G50" s="56">
        <v>0</v>
      </c>
      <c r="H50" s="55">
        <v>0</v>
      </c>
      <c r="I50" s="56">
        <v>0</v>
      </c>
      <c r="J50" s="55">
        <v>0</v>
      </c>
      <c r="K50" s="57">
        <v>0</v>
      </c>
      <c r="L50" s="58">
        <v>0</v>
      </c>
      <c r="M50" s="58">
        <v>0</v>
      </c>
      <c r="N50" s="55">
        <v>0</v>
      </c>
      <c r="O50" s="55">
        <v>0</v>
      </c>
      <c r="P50" s="56">
        <v>0</v>
      </c>
      <c r="Q50" s="55">
        <v>0</v>
      </c>
    </row>
    <row r="51" spans="1:17" s="3" customFormat="1" ht="20.25" hidden="1" customHeight="1">
      <c r="A51" s="773"/>
      <c r="B51" s="776"/>
      <c r="C51" s="19" t="s">
        <v>2</v>
      </c>
      <c r="D51" s="50">
        <f t="shared" si="7"/>
        <v>192350</v>
      </c>
      <c r="E51" s="55">
        <f t="shared" ref="E51:P51" si="11">E49+E50</f>
        <v>0</v>
      </c>
      <c r="F51" s="55">
        <f t="shared" si="11"/>
        <v>25350</v>
      </c>
      <c r="G51" s="55">
        <f t="shared" si="11"/>
        <v>0</v>
      </c>
      <c r="H51" s="55">
        <f t="shared" si="11"/>
        <v>0</v>
      </c>
      <c r="I51" s="55">
        <f t="shared" si="11"/>
        <v>0</v>
      </c>
      <c r="J51" s="55">
        <f t="shared" si="11"/>
        <v>0</v>
      </c>
      <c r="K51" s="55">
        <f t="shared" si="11"/>
        <v>0</v>
      </c>
      <c r="L51" s="55">
        <f t="shared" si="11"/>
        <v>0</v>
      </c>
      <c r="M51" s="55">
        <f t="shared" si="11"/>
        <v>0</v>
      </c>
      <c r="N51" s="55">
        <f t="shared" si="11"/>
        <v>167000</v>
      </c>
      <c r="O51" s="55">
        <f t="shared" si="11"/>
        <v>0</v>
      </c>
      <c r="P51" s="58">
        <f t="shared" si="11"/>
        <v>0</v>
      </c>
      <c r="Q51" s="55">
        <f>Q49+Q50</f>
        <v>0</v>
      </c>
    </row>
    <row r="52" spans="1:17" s="3" customFormat="1" ht="20.25" hidden="1" customHeight="1">
      <c r="A52" s="46"/>
      <c r="B52" s="25"/>
      <c r="C52" s="25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0"/>
    </row>
    <row r="53" spans="1:17" s="3" customFormat="1" ht="18.75" hidden="1" customHeight="1">
      <c r="A53" s="771" t="s">
        <v>51</v>
      </c>
      <c r="B53" s="774" t="s">
        <v>52</v>
      </c>
      <c r="C53" s="19" t="s">
        <v>0</v>
      </c>
      <c r="D53" s="50">
        <f>SUM(E53:Q53)</f>
        <v>0</v>
      </c>
      <c r="E53" s="60">
        <v>0</v>
      </c>
      <c r="F53" s="60">
        <v>0</v>
      </c>
      <c r="G53" s="61">
        <v>0</v>
      </c>
      <c r="H53" s="60">
        <v>0</v>
      </c>
      <c r="I53" s="62">
        <v>0</v>
      </c>
      <c r="J53" s="60">
        <v>0</v>
      </c>
      <c r="K53" s="62">
        <v>0</v>
      </c>
      <c r="L53" s="60">
        <v>0</v>
      </c>
      <c r="M53" s="60">
        <v>0</v>
      </c>
      <c r="N53" s="60">
        <v>0</v>
      </c>
      <c r="O53" s="60">
        <v>0</v>
      </c>
      <c r="P53" s="61">
        <v>0</v>
      </c>
      <c r="Q53" s="60">
        <v>0</v>
      </c>
    </row>
    <row r="54" spans="1:17" s="3" customFormat="1" ht="18.75" hidden="1" customHeight="1">
      <c r="A54" s="772"/>
      <c r="B54" s="775"/>
      <c r="C54" s="19" t="s">
        <v>1</v>
      </c>
      <c r="D54" s="50">
        <f t="shared" si="7"/>
        <v>0</v>
      </c>
      <c r="E54" s="55">
        <v>0</v>
      </c>
      <c r="F54" s="55">
        <v>0</v>
      </c>
      <c r="G54" s="56">
        <v>0</v>
      </c>
      <c r="H54" s="55">
        <v>0</v>
      </c>
      <c r="I54" s="56">
        <v>0</v>
      </c>
      <c r="J54" s="55">
        <v>0</v>
      </c>
      <c r="K54" s="57">
        <v>0</v>
      </c>
      <c r="L54" s="58">
        <v>0</v>
      </c>
      <c r="M54" s="58">
        <v>0</v>
      </c>
      <c r="N54" s="55">
        <v>0</v>
      </c>
      <c r="O54" s="55">
        <v>0</v>
      </c>
      <c r="P54" s="56">
        <v>0</v>
      </c>
      <c r="Q54" s="55">
        <v>0</v>
      </c>
    </row>
    <row r="55" spans="1:17" s="3" customFormat="1" ht="18.75" hidden="1" customHeight="1">
      <c r="A55" s="773"/>
      <c r="B55" s="776"/>
      <c r="C55" s="19" t="s">
        <v>2</v>
      </c>
      <c r="D55" s="50">
        <f t="shared" si="7"/>
        <v>0</v>
      </c>
      <c r="E55" s="55">
        <f t="shared" ref="E55:P55" si="12">E53+E54</f>
        <v>0</v>
      </c>
      <c r="F55" s="55">
        <f t="shared" si="12"/>
        <v>0</v>
      </c>
      <c r="G55" s="55">
        <f t="shared" si="12"/>
        <v>0</v>
      </c>
      <c r="H55" s="55">
        <f t="shared" si="12"/>
        <v>0</v>
      </c>
      <c r="I55" s="55">
        <f t="shared" si="12"/>
        <v>0</v>
      </c>
      <c r="J55" s="55">
        <f t="shared" si="12"/>
        <v>0</v>
      </c>
      <c r="K55" s="55">
        <f t="shared" si="12"/>
        <v>0</v>
      </c>
      <c r="L55" s="55">
        <f t="shared" si="12"/>
        <v>0</v>
      </c>
      <c r="M55" s="55">
        <f t="shared" si="12"/>
        <v>0</v>
      </c>
      <c r="N55" s="55">
        <f t="shared" si="12"/>
        <v>0</v>
      </c>
      <c r="O55" s="55">
        <f t="shared" si="12"/>
        <v>0</v>
      </c>
      <c r="P55" s="58">
        <f t="shared" si="12"/>
        <v>0</v>
      </c>
      <c r="Q55" s="55">
        <f>Q53+Q54</f>
        <v>0</v>
      </c>
    </row>
    <row r="56" spans="1:17" s="3" customFormat="1" ht="7.5" hidden="1" customHeight="1">
      <c r="A56" s="29"/>
      <c r="B56" s="24"/>
      <c r="C56" s="24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0"/>
    </row>
    <row r="57" spans="1:17" s="3" customFormat="1" ht="18" customHeight="1">
      <c r="A57" s="771" t="s">
        <v>53</v>
      </c>
      <c r="B57" s="774" t="s">
        <v>54</v>
      </c>
      <c r="C57" s="19" t="s">
        <v>0</v>
      </c>
      <c r="D57" s="50">
        <f t="shared" ref="D57:D111" si="13">SUM(E57:Q57)</f>
        <v>2391920</v>
      </c>
      <c r="E57" s="60">
        <v>0</v>
      </c>
      <c r="F57" s="60">
        <v>199920</v>
      </c>
      <c r="G57" s="66">
        <v>0</v>
      </c>
      <c r="H57" s="60">
        <v>1522461</v>
      </c>
      <c r="I57" s="62">
        <v>387539</v>
      </c>
      <c r="J57" s="60">
        <v>0</v>
      </c>
      <c r="K57" s="62">
        <v>0</v>
      </c>
      <c r="L57" s="60">
        <v>0</v>
      </c>
      <c r="M57" s="60">
        <v>0</v>
      </c>
      <c r="N57" s="60">
        <v>282000</v>
      </c>
      <c r="O57" s="60">
        <v>0</v>
      </c>
      <c r="P57" s="61">
        <v>0</v>
      </c>
      <c r="Q57" s="60">
        <v>0</v>
      </c>
    </row>
    <row r="58" spans="1:17" s="3" customFormat="1" ht="18" customHeight="1">
      <c r="A58" s="772"/>
      <c r="B58" s="775"/>
      <c r="C58" s="19" t="s">
        <v>1</v>
      </c>
      <c r="D58" s="50">
        <f t="shared" si="13"/>
        <v>306938</v>
      </c>
      <c r="E58" s="55">
        <v>0</v>
      </c>
      <c r="F58" s="55">
        <v>0</v>
      </c>
      <c r="G58" s="56">
        <v>0</v>
      </c>
      <c r="H58" s="55">
        <v>244660</v>
      </c>
      <c r="I58" s="56">
        <v>62278</v>
      </c>
      <c r="J58" s="55">
        <v>0</v>
      </c>
      <c r="K58" s="57">
        <v>0</v>
      </c>
      <c r="L58" s="58">
        <v>0</v>
      </c>
      <c r="M58" s="58">
        <v>0</v>
      </c>
      <c r="N58" s="55">
        <v>0</v>
      </c>
      <c r="O58" s="55">
        <v>0</v>
      </c>
      <c r="P58" s="56">
        <v>0</v>
      </c>
      <c r="Q58" s="55">
        <v>0</v>
      </c>
    </row>
    <row r="59" spans="1:17" s="3" customFormat="1" ht="18" customHeight="1">
      <c r="A59" s="773"/>
      <c r="B59" s="776"/>
      <c r="C59" s="19" t="s">
        <v>2</v>
      </c>
      <c r="D59" s="50">
        <f t="shared" si="13"/>
        <v>2698858</v>
      </c>
      <c r="E59" s="55">
        <f t="shared" ref="E59:P59" si="14">E57+E58</f>
        <v>0</v>
      </c>
      <c r="F59" s="55">
        <f t="shared" si="14"/>
        <v>199920</v>
      </c>
      <c r="G59" s="55">
        <f t="shared" si="14"/>
        <v>0</v>
      </c>
      <c r="H59" s="55">
        <f t="shared" si="14"/>
        <v>1767121</v>
      </c>
      <c r="I59" s="55">
        <f t="shared" si="14"/>
        <v>449817</v>
      </c>
      <c r="J59" s="55">
        <f t="shared" si="14"/>
        <v>0</v>
      </c>
      <c r="K59" s="55">
        <f t="shared" si="14"/>
        <v>0</v>
      </c>
      <c r="L59" s="55">
        <f t="shared" si="14"/>
        <v>0</v>
      </c>
      <c r="M59" s="55">
        <f t="shared" si="14"/>
        <v>0</v>
      </c>
      <c r="N59" s="55">
        <f t="shared" si="14"/>
        <v>282000</v>
      </c>
      <c r="O59" s="55">
        <f t="shared" si="14"/>
        <v>0</v>
      </c>
      <c r="P59" s="58">
        <f t="shared" si="14"/>
        <v>0</v>
      </c>
      <c r="Q59" s="55">
        <f>Q57+Q58</f>
        <v>0</v>
      </c>
    </row>
    <row r="60" spans="1:17" s="3" customFormat="1" ht="5.0999999999999996" customHeight="1">
      <c r="A60" s="29"/>
      <c r="B60" s="24"/>
      <c r="C60" s="24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0"/>
    </row>
    <row r="61" spans="1:17" s="3" customFormat="1" ht="20.25" hidden="1" customHeight="1">
      <c r="A61" s="771" t="s">
        <v>55</v>
      </c>
      <c r="B61" s="774" t="s">
        <v>56</v>
      </c>
      <c r="C61" s="19" t="s">
        <v>0</v>
      </c>
      <c r="D61" s="50">
        <f>SUM(E61:Q61)</f>
        <v>5000</v>
      </c>
      <c r="E61" s="60">
        <v>0</v>
      </c>
      <c r="F61" s="60">
        <v>0</v>
      </c>
      <c r="G61" s="66">
        <v>0</v>
      </c>
      <c r="H61" s="60">
        <v>0</v>
      </c>
      <c r="I61" s="62">
        <v>0</v>
      </c>
      <c r="J61" s="60">
        <v>0</v>
      </c>
      <c r="K61" s="62">
        <v>0</v>
      </c>
      <c r="L61" s="60">
        <v>0</v>
      </c>
      <c r="M61" s="60">
        <v>0</v>
      </c>
      <c r="N61" s="60">
        <v>5000</v>
      </c>
      <c r="O61" s="60">
        <v>0</v>
      </c>
      <c r="P61" s="61">
        <v>0</v>
      </c>
      <c r="Q61" s="60">
        <v>0</v>
      </c>
    </row>
    <row r="62" spans="1:17" s="3" customFormat="1" ht="20.25" hidden="1" customHeight="1">
      <c r="A62" s="772"/>
      <c r="B62" s="775"/>
      <c r="C62" s="19" t="s">
        <v>1</v>
      </c>
      <c r="D62" s="50">
        <f t="shared" si="13"/>
        <v>0</v>
      </c>
      <c r="E62" s="55">
        <v>0</v>
      </c>
      <c r="F62" s="55">
        <v>0</v>
      </c>
      <c r="G62" s="56">
        <v>0</v>
      </c>
      <c r="H62" s="55">
        <v>0</v>
      </c>
      <c r="I62" s="56">
        <v>0</v>
      </c>
      <c r="J62" s="55">
        <v>0</v>
      </c>
      <c r="K62" s="57">
        <v>0</v>
      </c>
      <c r="L62" s="58">
        <v>0</v>
      </c>
      <c r="M62" s="58">
        <v>0</v>
      </c>
      <c r="N62" s="55">
        <v>0</v>
      </c>
      <c r="O62" s="55">
        <v>0</v>
      </c>
      <c r="P62" s="56">
        <v>0</v>
      </c>
      <c r="Q62" s="55">
        <v>0</v>
      </c>
    </row>
    <row r="63" spans="1:17" s="3" customFormat="1" ht="20.25" hidden="1" customHeight="1">
      <c r="A63" s="773"/>
      <c r="B63" s="776"/>
      <c r="C63" s="19" t="s">
        <v>2</v>
      </c>
      <c r="D63" s="50">
        <f t="shared" si="13"/>
        <v>5000</v>
      </c>
      <c r="E63" s="55">
        <f t="shared" ref="E63:P63" si="15">E61+E62</f>
        <v>0</v>
      </c>
      <c r="F63" s="55">
        <f t="shared" si="15"/>
        <v>0</v>
      </c>
      <c r="G63" s="55">
        <f t="shared" si="15"/>
        <v>0</v>
      </c>
      <c r="H63" s="55">
        <f t="shared" si="15"/>
        <v>0</v>
      </c>
      <c r="I63" s="55">
        <f t="shared" si="15"/>
        <v>0</v>
      </c>
      <c r="J63" s="55">
        <f t="shared" si="15"/>
        <v>0</v>
      </c>
      <c r="K63" s="55">
        <f t="shared" si="15"/>
        <v>0</v>
      </c>
      <c r="L63" s="55">
        <f t="shared" si="15"/>
        <v>0</v>
      </c>
      <c r="M63" s="55">
        <f t="shared" si="15"/>
        <v>0</v>
      </c>
      <c r="N63" s="55">
        <f t="shared" si="15"/>
        <v>5000</v>
      </c>
      <c r="O63" s="55">
        <f t="shared" si="15"/>
        <v>0</v>
      </c>
      <c r="P63" s="58">
        <f t="shared" si="15"/>
        <v>0</v>
      </c>
      <c r="Q63" s="55">
        <f>Q61+Q62</f>
        <v>0</v>
      </c>
    </row>
    <row r="64" spans="1:17" s="3" customFormat="1" ht="5.25" hidden="1" customHeight="1">
      <c r="A64" s="29"/>
      <c r="B64" s="24"/>
      <c r="C64" s="24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0"/>
    </row>
    <row r="65" spans="1:17" s="3" customFormat="1" ht="20.25" hidden="1" customHeight="1">
      <c r="A65" s="771" t="s">
        <v>97</v>
      </c>
      <c r="B65" s="774" t="s">
        <v>99</v>
      </c>
      <c r="C65" s="19" t="s">
        <v>0</v>
      </c>
      <c r="D65" s="50">
        <f>SUM(E65:Q65)</f>
        <v>451432.5</v>
      </c>
      <c r="E65" s="60">
        <v>0</v>
      </c>
      <c r="F65" s="60">
        <v>0</v>
      </c>
      <c r="G65" s="66">
        <v>0</v>
      </c>
      <c r="H65" s="60">
        <v>0</v>
      </c>
      <c r="I65" s="62">
        <v>0</v>
      </c>
      <c r="J65" s="60">
        <v>0</v>
      </c>
      <c r="K65" s="62">
        <v>0</v>
      </c>
      <c r="L65" s="60">
        <v>0</v>
      </c>
      <c r="M65" s="60">
        <v>0</v>
      </c>
      <c r="N65" s="60">
        <v>0</v>
      </c>
      <c r="O65" s="60">
        <v>0</v>
      </c>
      <c r="P65" s="61">
        <v>451432.5</v>
      </c>
      <c r="Q65" s="60">
        <v>0</v>
      </c>
    </row>
    <row r="66" spans="1:17" s="3" customFormat="1" ht="20.25" hidden="1" customHeight="1">
      <c r="A66" s="772"/>
      <c r="B66" s="775"/>
      <c r="C66" s="19" t="s">
        <v>1</v>
      </c>
      <c r="D66" s="50">
        <f>SUM(E66:Q66)</f>
        <v>0</v>
      </c>
      <c r="E66" s="55">
        <v>0</v>
      </c>
      <c r="F66" s="55">
        <v>0</v>
      </c>
      <c r="G66" s="56">
        <v>0</v>
      </c>
      <c r="H66" s="55">
        <v>0</v>
      </c>
      <c r="I66" s="56">
        <v>0</v>
      </c>
      <c r="J66" s="55">
        <v>0</v>
      </c>
      <c r="K66" s="57">
        <v>0</v>
      </c>
      <c r="L66" s="58">
        <v>0</v>
      </c>
      <c r="M66" s="58">
        <v>0</v>
      </c>
      <c r="N66" s="55">
        <v>0</v>
      </c>
      <c r="O66" s="55">
        <v>0</v>
      </c>
      <c r="P66" s="56">
        <v>0</v>
      </c>
      <c r="Q66" s="55">
        <v>0</v>
      </c>
    </row>
    <row r="67" spans="1:17" s="3" customFormat="1" ht="20.25" hidden="1" customHeight="1">
      <c r="A67" s="773"/>
      <c r="B67" s="776"/>
      <c r="C67" s="19" t="s">
        <v>2</v>
      </c>
      <c r="D67" s="50">
        <f>SUM(E67:Q67)</f>
        <v>451432.5</v>
      </c>
      <c r="E67" s="55">
        <f t="shared" ref="E67:P67" si="16">E65+E66</f>
        <v>0</v>
      </c>
      <c r="F67" s="55">
        <f t="shared" si="16"/>
        <v>0</v>
      </c>
      <c r="G67" s="55">
        <f t="shared" si="16"/>
        <v>0</v>
      </c>
      <c r="H67" s="55">
        <f t="shared" si="16"/>
        <v>0</v>
      </c>
      <c r="I67" s="55">
        <f t="shared" si="16"/>
        <v>0</v>
      </c>
      <c r="J67" s="55">
        <f t="shared" si="16"/>
        <v>0</v>
      </c>
      <c r="K67" s="55">
        <f t="shared" si="16"/>
        <v>0</v>
      </c>
      <c r="L67" s="55">
        <f t="shared" si="16"/>
        <v>0</v>
      </c>
      <c r="M67" s="55">
        <f t="shared" si="16"/>
        <v>0</v>
      </c>
      <c r="N67" s="55">
        <f t="shared" si="16"/>
        <v>0</v>
      </c>
      <c r="O67" s="55">
        <f t="shared" si="16"/>
        <v>0</v>
      </c>
      <c r="P67" s="58">
        <f t="shared" si="16"/>
        <v>451432.5</v>
      </c>
      <c r="Q67" s="55">
        <f>Q65+Q66</f>
        <v>0</v>
      </c>
    </row>
    <row r="68" spans="1:17" s="3" customFormat="1" ht="3.75" hidden="1" customHeight="1">
      <c r="A68" s="47"/>
      <c r="B68" s="28"/>
      <c r="C68" s="24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0"/>
    </row>
    <row r="69" spans="1:17" s="3" customFormat="1" ht="26.25" hidden="1" customHeight="1">
      <c r="A69" s="771" t="s">
        <v>19</v>
      </c>
      <c r="B69" s="774" t="s">
        <v>20</v>
      </c>
      <c r="C69" s="19" t="s">
        <v>0</v>
      </c>
      <c r="D69" s="50">
        <f>SUM(E69:Q69)</f>
        <v>771493516.21000004</v>
      </c>
      <c r="E69" s="60">
        <v>770022741.21000004</v>
      </c>
      <c r="F69" s="60">
        <v>1470775</v>
      </c>
      <c r="G69" s="61">
        <v>0</v>
      </c>
      <c r="H69" s="60">
        <v>0</v>
      </c>
      <c r="I69" s="62">
        <v>0</v>
      </c>
      <c r="J69" s="60">
        <v>0</v>
      </c>
      <c r="K69" s="62">
        <v>0</v>
      </c>
      <c r="L69" s="60">
        <v>0</v>
      </c>
      <c r="M69" s="60">
        <v>0</v>
      </c>
      <c r="N69" s="60">
        <v>0</v>
      </c>
      <c r="O69" s="60">
        <v>0</v>
      </c>
      <c r="P69" s="61">
        <v>0</v>
      </c>
      <c r="Q69" s="60">
        <v>0</v>
      </c>
    </row>
    <row r="70" spans="1:17" s="3" customFormat="1" ht="26.25" hidden="1" customHeight="1">
      <c r="A70" s="772"/>
      <c r="B70" s="775"/>
      <c r="C70" s="19" t="s">
        <v>1</v>
      </c>
      <c r="D70" s="50">
        <f t="shared" si="13"/>
        <v>0</v>
      </c>
      <c r="E70" s="55">
        <v>0</v>
      </c>
      <c r="F70" s="55">
        <v>0</v>
      </c>
      <c r="G70" s="56">
        <v>0</v>
      </c>
      <c r="H70" s="55">
        <v>0</v>
      </c>
      <c r="I70" s="56">
        <v>0</v>
      </c>
      <c r="J70" s="55">
        <v>0</v>
      </c>
      <c r="K70" s="57">
        <v>0</v>
      </c>
      <c r="L70" s="58">
        <v>0</v>
      </c>
      <c r="M70" s="58">
        <v>0</v>
      </c>
      <c r="N70" s="55">
        <v>0</v>
      </c>
      <c r="O70" s="55">
        <v>0</v>
      </c>
      <c r="P70" s="56">
        <v>0</v>
      </c>
      <c r="Q70" s="55">
        <v>0</v>
      </c>
    </row>
    <row r="71" spans="1:17" s="3" customFormat="1" ht="26.25" hidden="1" customHeight="1">
      <c r="A71" s="773"/>
      <c r="B71" s="776"/>
      <c r="C71" s="19" t="s">
        <v>2</v>
      </c>
      <c r="D71" s="50">
        <f t="shared" si="13"/>
        <v>771493516.21000004</v>
      </c>
      <c r="E71" s="55">
        <f t="shared" ref="E71:P71" si="17">E69+E70</f>
        <v>770022741.21000004</v>
      </c>
      <c r="F71" s="55">
        <f t="shared" si="17"/>
        <v>1470775</v>
      </c>
      <c r="G71" s="55">
        <f t="shared" si="17"/>
        <v>0</v>
      </c>
      <c r="H71" s="55">
        <f t="shared" si="17"/>
        <v>0</v>
      </c>
      <c r="I71" s="55">
        <f t="shared" si="17"/>
        <v>0</v>
      </c>
      <c r="J71" s="55">
        <f t="shared" si="17"/>
        <v>0</v>
      </c>
      <c r="K71" s="55">
        <f t="shared" si="17"/>
        <v>0</v>
      </c>
      <c r="L71" s="55">
        <f t="shared" si="17"/>
        <v>0</v>
      </c>
      <c r="M71" s="55">
        <f t="shared" si="17"/>
        <v>0</v>
      </c>
      <c r="N71" s="55">
        <f t="shared" si="17"/>
        <v>0</v>
      </c>
      <c r="O71" s="55">
        <f t="shared" si="17"/>
        <v>0</v>
      </c>
      <c r="P71" s="58">
        <f t="shared" si="17"/>
        <v>0</v>
      </c>
      <c r="Q71" s="55">
        <f>Q69+Q70</f>
        <v>0</v>
      </c>
    </row>
    <row r="72" spans="1:17" s="3" customFormat="1" ht="4.5" hidden="1" customHeight="1">
      <c r="A72" s="29"/>
      <c r="B72" s="24"/>
      <c r="C72" s="24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0"/>
    </row>
    <row r="73" spans="1:17" s="3" customFormat="1" ht="20.25" customHeight="1">
      <c r="A73" s="771" t="s">
        <v>57</v>
      </c>
      <c r="B73" s="774" t="s">
        <v>58</v>
      </c>
      <c r="C73" s="19" t="s">
        <v>0</v>
      </c>
      <c r="D73" s="50">
        <f>SUM(E73:Q73)</f>
        <v>830302400.2299999</v>
      </c>
      <c r="E73" s="60">
        <v>626973039.42999995</v>
      </c>
      <c r="F73" s="60">
        <v>0</v>
      </c>
      <c r="G73" s="66">
        <v>113298831.8</v>
      </c>
      <c r="H73" s="60">
        <v>66173000</v>
      </c>
      <c r="I73" s="62">
        <v>23342230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6">
        <v>515299</v>
      </c>
      <c r="Q73" s="60">
        <v>0</v>
      </c>
    </row>
    <row r="74" spans="1:17" s="3" customFormat="1" ht="20.25" customHeight="1">
      <c r="A74" s="772"/>
      <c r="B74" s="775"/>
      <c r="C74" s="19" t="s">
        <v>1</v>
      </c>
      <c r="D74" s="50">
        <f t="shared" si="13"/>
        <v>13050482</v>
      </c>
      <c r="E74" s="55">
        <v>1201827</v>
      </c>
      <c r="F74" s="55">
        <v>0</v>
      </c>
      <c r="G74" s="56">
        <f>7469473-16365+3237853</f>
        <v>10690961</v>
      </c>
      <c r="H74" s="55">
        <f>2387000-2450000</f>
        <v>-63000</v>
      </c>
      <c r="I74" s="56">
        <f>973315+247379</f>
        <v>1220694</v>
      </c>
      <c r="J74" s="55">
        <v>0</v>
      </c>
      <c r="K74" s="57">
        <v>0</v>
      </c>
      <c r="L74" s="58">
        <v>0</v>
      </c>
      <c r="M74" s="58">
        <v>0</v>
      </c>
      <c r="N74" s="55">
        <v>0</v>
      </c>
      <c r="O74" s="55">
        <v>0</v>
      </c>
      <c r="P74" s="56">
        <v>0</v>
      </c>
      <c r="Q74" s="55">
        <v>0</v>
      </c>
    </row>
    <row r="75" spans="1:17" s="3" customFormat="1" ht="20.25" customHeight="1">
      <c r="A75" s="773"/>
      <c r="B75" s="776"/>
      <c r="C75" s="19" t="s">
        <v>2</v>
      </c>
      <c r="D75" s="50">
        <f t="shared" si="13"/>
        <v>843352882.2299999</v>
      </c>
      <c r="E75" s="55">
        <f t="shared" ref="E75:P75" si="18">E73+E74</f>
        <v>628174866.42999995</v>
      </c>
      <c r="F75" s="55">
        <f t="shared" si="18"/>
        <v>0</v>
      </c>
      <c r="G75" s="55">
        <f t="shared" si="18"/>
        <v>123989792.8</v>
      </c>
      <c r="H75" s="55">
        <f t="shared" si="18"/>
        <v>66110000</v>
      </c>
      <c r="I75" s="55">
        <f t="shared" si="18"/>
        <v>24562924</v>
      </c>
      <c r="J75" s="55">
        <f t="shared" si="18"/>
        <v>0</v>
      </c>
      <c r="K75" s="55">
        <f t="shared" si="18"/>
        <v>0</v>
      </c>
      <c r="L75" s="55">
        <f t="shared" si="18"/>
        <v>0</v>
      </c>
      <c r="M75" s="55">
        <f t="shared" si="18"/>
        <v>0</v>
      </c>
      <c r="N75" s="55">
        <f t="shared" si="18"/>
        <v>0</v>
      </c>
      <c r="O75" s="55">
        <f t="shared" si="18"/>
        <v>0</v>
      </c>
      <c r="P75" s="58">
        <f t="shared" si="18"/>
        <v>515299</v>
      </c>
      <c r="Q75" s="55">
        <f>Q73+Q74</f>
        <v>0</v>
      </c>
    </row>
    <row r="76" spans="1:17" s="3" customFormat="1" ht="5.0999999999999996" customHeight="1">
      <c r="A76" s="29"/>
      <c r="B76" s="24"/>
      <c r="C76" s="24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0"/>
    </row>
    <row r="77" spans="1:17" s="3" customFormat="1" ht="20.25" hidden="1" customHeight="1">
      <c r="A77" s="771" t="s">
        <v>59</v>
      </c>
      <c r="B77" s="774" t="s">
        <v>60</v>
      </c>
      <c r="C77" s="19" t="s">
        <v>0</v>
      </c>
      <c r="D77" s="50">
        <f>SUM(E77:Q77)</f>
        <v>2983310</v>
      </c>
      <c r="E77" s="60">
        <v>0</v>
      </c>
      <c r="F77" s="60">
        <v>880310</v>
      </c>
      <c r="G77" s="61">
        <v>0</v>
      </c>
      <c r="H77" s="60">
        <v>0</v>
      </c>
      <c r="I77" s="62">
        <v>0</v>
      </c>
      <c r="J77" s="60">
        <v>0</v>
      </c>
      <c r="K77" s="62">
        <v>0</v>
      </c>
      <c r="L77" s="60">
        <v>0</v>
      </c>
      <c r="M77" s="60">
        <v>0</v>
      </c>
      <c r="N77" s="60">
        <v>1253000</v>
      </c>
      <c r="O77" s="60">
        <v>850000</v>
      </c>
      <c r="P77" s="61">
        <v>0</v>
      </c>
      <c r="Q77" s="60">
        <v>0</v>
      </c>
    </row>
    <row r="78" spans="1:17" s="3" customFormat="1" ht="20.25" hidden="1" customHeight="1">
      <c r="A78" s="772"/>
      <c r="B78" s="775"/>
      <c r="C78" s="19" t="s">
        <v>1</v>
      </c>
      <c r="D78" s="50">
        <f t="shared" si="13"/>
        <v>0</v>
      </c>
      <c r="E78" s="55">
        <v>0</v>
      </c>
      <c r="F78" s="55">
        <v>0</v>
      </c>
      <c r="G78" s="56">
        <v>0</v>
      </c>
      <c r="H78" s="55">
        <v>0</v>
      </c>
      <c r="I78" s="56">
        <v>0</v>
      </c>
      <c r="J78" s="55">
        <v>0</v>
      </c>
      <c r="K78" s="57">
        <v>0</v>
      </c>
      <c r="L78" s="58">
        <v>0</v>
      </c>
      <c r="M78" s="58">
        <v>0</v>
      </c>
      <c r="N78" s="55">
        <v>0</v>
      </c>
      <c r="O78" s="55">
        <v>0</v>
      </c>
      <c r="P78" s="56">
        <v>0</v>
      </c>
      <c r="Q78" s="55">
        <v>0</v>
      </c>
    </row>
    <row r="79" spans="1:17" s="3" customFormat="1" ht="20.25" hidden="1" customHeight="1">
      <c r="A79" s="773"/>
      <c r="B79" s="776"/>
      <c r="C79" s="19" t="s">
        <v>2</v>
      </c>
      <c r="D79" s="50">
        <f t="shared" si="13"/>
        <v>2983310</v>
      </c>
      <c r="E79" s="55">
        <f t="shared" ref="E79:P79" si="19">E77+E78</f>
        <v>0</v>
      </c>
      <c r="F79" s="55">
        <f t="shared" si="19"/>
        <v>880310</v>
      </c>
      <c r="G79" s="55">
        <f t="shared" si="19"/>
        <v>0</v>
      </c>
      <c r="H79" s="55">
        <f t="shared" si="19"/>
        <v>0</v>
      </c>
      <c r="I79" s="55">
        <f t="shared" si="19"/>
        <v>0</v>
      </c>
      <c r="J79" s="55">
        <f t="shared" si="19"/>
        <v>0</v>
      </c>
      <c r="K79" s="55">
        <f t="shared" si="19"/>
        <v>0</v>
      </c>
      <c r="L79" s="55">
        <f t="shared" si="19"/>
        <v>0</v>
      </c>
      <c r="M79" s="55">
        <f t="shared" si="19"/>
        <v>0</v>
      </c>
      <c r="N79" s="55">
        <f t="shared" si="19"/>
        <v>1253000</v>
      </c>
      <c r="O79" s="55">
        <f t="shared" si="19"/>
        <v>850000</v>
      </c>
      <c r="P79" s="58">
        <f t="shared" si="19"/>
        <v>0</v>
      </c>
      <c r="Q79" s="55">
        <f>Q77+Q78</f>
        <v>0</v>
      </c>
    </row>
    <row r="80" spans="1:17" s="3" customFormat="1" ht="5.25" hidden="1" customHeight="1">
      <c r="A80" s="29"/>
      <c r="B80" s="24"/>
      <c r="C80" s="24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0"/>
    </row>
    <row r="81" spans="1:17" s="3" customFormat="1" ht="20.25" hidden="1" customHeight="1">
      <c r="A81" s="771" t="s">
        <v>61</v>
      </c>
      <c r="B81" s="774" t="s">
        <v>62</v>
      </c>
      <c r="C81" s="19" t="s">
        <v>0</v>
      </c>
      <c r="D81" s="50">
        <f>SUM(E81:Q81)</f>
        <v>31534678</v>
      </c>
      <c r="E81" s="60">
        <v>0</v>
      </c>
      <c r="F81" s="60">
        <v>6335</v>
      </c>
      <c r="G81" s="61">
        <v>0</v>
      </c>
      <c r="H81" s="60">
        <v>0</v>
      </c>
      <c r="I81" s="62">
        <v>0</v>
      </c>
      <c r="J81" s="60">
        <v>0</v>
      </c>
      <c r="K81" s="62">
        <v>0</v>
      </c>
      <c r="L81" s="60">
        <v>2349343</v>
      </c>
      <c r="M81" s="60">
        <v>0</v>
      </c>
      <c r="N81" s="60">
        <v>29179000</v>
      </c>
      <c r="O81" s="60">
        <v>0</v>
      </c>
      <c r="P81" s="61">
        <v>0</v>
      </c>
      <c r="Q81" s="60">
        <v>0</v>
      </c>
    </row>
    <row r="82" spans="1:17" s="3" customFormat="1" ht="20.25" hidden="1" customHeight="1">
      <c r="A82" s="772"/>
      <c r="B82" s="775"/>
      <c r="C82" s="19" t="s">
        <v>1</v>
      </c>
      <c r="D82" s="50">
        <f t="shared" si="13"/>
        <v>0</v>
      </c>
      <c r="E82" s="55">
        <v>0</v>
      </c>
      <c r="F82" s="55">
        <v>0</v>
      </c>
      <c r="G82" s="56">
        <v>0</v>
      </c>
      <c r="H82" s="55">
        <v>0</v>
      </c>
      <c r="I82" s="56">
        <v>0</v>
      </c>
      <c r="J82" s="55">
        <v>0</v>
      </c>
      <c r="K82" s="57">
        <v>0</v>
      </c>
      <c r="L82" s="58">
        <v>0</v>
      </c>
      <c r="M82" s="58">
        <v>0</v>
      </c>
      <c r="N82" s="55">
        <v>0</v>
      </c>
      <c r="O82" s="55">
        <v>0</v>
      </c>
      <c r="P82" s="56">
        <v>0</v>
      </c>
      <c r="Q82" s="55">
        <v>0</v>
      </c>
    </row>
    <row r="83" spans="1:17" s="3" customFormat="1" ht="20.25" hidden="1" customHeight="1">
      <c r="A83" s="773"/>
      <c r="B83" s="776"/>
      <c r="C83" s="19" t="s">
        <v>2</v>
      </c>
      <c r="D83" s="50">
        <f t="shared" si="13"/>
        <v>31534678</v>
      </c>
      <c r="E83" s="55">
        <f t="shared" ref="E83:P83" si="20">E81+E82</f>
        <v>0</v>
      </c>
      <c r="F83" s="55">
        <f t="shared" si="20"/>
        <v>6335</v>
      </c>
      <c r="G83" s="55">
        <f t="shared" si="20"/>
        <v>0</v>
      </c>
      <c r="H83" s="55">
        <f t="shared" si="20"/>
        <v>0</v>
      </c>
      <c r="I83" s="55">
        <f t="shared" si="20"/>
        <v>0</v>
      </c>
      <c r="J83" s="55">
        <f t="shared" si="20"/>
        <v>0</v>
      </c>
      <c r="K83" s="55">
        <f t="shared" si="20"/>
        <v>0</v>
      </c>
      <c r="L83" s="55">
        <f t="shared" si="20"/>
        <v>2349343</v>
      </c>
      <c r="M83" s="55">
        <f t="shared" si="20"/>
        <v>0</v>
      </c>
      <c r="N83" s="55">
        <f t="shared" si="20"/>
        <v>29179000</v>
      </c>
      <c r="O83" s="55">
        <f t="shared" si="20"/>
        <v>0</v>
      </c>
      <c r="P83" s="58">
        <f t="shared" si="20"/>
        <v>0</v>
      </c>
      <c r="Q83" s="55">
        <f>Q81+Q82</f>
        <v>0</v>
      </c>
    </row>
    <row r="84" spans="1:17" s="3" customFormat="1" ht="5.25" hidden="1" customHeight="1">
      <c r="A84" s="29"/>
      <c r="B84" s="24"/>
      <c r="C84" s="24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0"/>
    </row>
    <row r="85" spans="1:17" s="3" customFormat="1" ht="20.25" hidden="1" customHeight="1">
      <c r="A85" s="771" t="s">
        <v>25</v>
      </c>
      <c r="B85" s="774" t="s">
        <v>63</v>
      </c>
      <c r="C85" s="19" t="s">
        <v>0</v>
      </c>
      <c r="D85" s="50">
        <f>SUM(E85:Q85)</f>
        <v>384705</v>
      </c>
      <c r="E85" s="60">
        <v>0</v>
      </c>
      <c r="F85" s="60">
        <v>47916</v>
      </c>
      <c r="G85" s="61">
        <v>0</v>
      </c>
      <c r="H85" s="60">
        <v>0</v>
      </c>
      <c r="I85" s="62">
        <v>0</v>
      </c>
      <c r="J85" s="60">
        <v>0</v>
      </c>
      <c r="K85" s="62">
        <v>0</v>
      </c>
      <c r="L85" s="60">
        <v>60789</v>
      </c>
      <c r="M85" s="60">
        <v>0</v>
      </c>
      <c r="N85" s="60">
        <v>200000</v>
      </c>
      <c r="O85" s="60">
        <v>76000</v>
      </c>
      <c r="P85" s="61">
        <v>0</v>
      </c>
      <c r="Q85" s="60">
        <v>0</v>
      </c>
    </row>
    <row r="86" spans="1:17" s="3" customFormat="1" ht="20.25" hidden="1" customHeight="1">
      <c r="A86" s="772"/>
      <c r="B86" s="775"/>
      <c r="C86" s="19" t="s">
        <v>1</v>
      </c>
      <c r="D86" s="50">
        <f t="shared" si="13"/>
        <v>0</v>
      </c>
      <c r="E86" s="55">
        <v>0</v>
      </c>
      <c r="F86" s="55">
        <v>0</v>
      </c>
      <c r="G86" s="56">
        <v>0</v>
      </c>
      <c r="H86" s="55">
        <v>0</v>
      </c>
      <c r="I86" s="56">
        <v>0</v>
      </c>
      <c r="J86" s="55">
        <v>0</v>
      </c>
      <c r="K86" s="57">
        <v>0</v>
      </c>
      <c r="L86" s="58">
        <v>0</v>
      </c>
      <c r="M86" s="58">
        <v>0</v>
      </c>
      <c r="N86" s="55">
        <v>0</v>
      </c>
      <c r="O86" s="55">
        <v>0</v>
      </c>
      <c r="P86" s="56">
        <v>0</v>
      </c>
      <c r="Q86" s="55">
        <v>0</v>
      </c>
    </row>
    <row r="87" spans="1:17" s="3" customFormat="1" ht="20.25" hidden="1" customHeight="1">
      <c r="A87" s="773"/>
      <c r="B87" s="776"/>
      <c r="C87" s="19" t="s">
        <v>2</v>
      </c>
      <c r="D87" s="50">
        <f t="shared" si="13"/>
        <v>384705</v>
      </c>
      <c r="E87" s="55">
        <f t="shared" ref="E87:P87" si="21">E85+E86</f>
        <v>0</v>
      </c>
      <c r="F87" s="55">
        <f t="shared" si="21"/>
        <v>47916</v>
      </c>
      <c r="G87" s="55">
        <f t="shared" si="21"/>
        <v>0</v>
      </c>
      <c r="H87" s="55">
        <f t="shared" si="21"/>
        <v>0</v>
      </c>
      <c r="I87" s="55">
        <f t="shared" si="21"/>
        <v>0</v>
      </c>
      <c r="J87" s="55">
        <f t="shared" si="21"/>
        <v>0</v>
      </c>
      <c r="K87" s="55">
        <f t="shared" si="21"/>
        <v>0</v>
      </c>
      <c r="L87" s="55">
        <f t="shared" si="21"/>
        <v>60789</v>
      </c>
      <c r="M87" s="55">
        <f t="shared" si="21"/>
        <v>0</v>
      </c>
      <c r="N87" s="55">
        <f t="shared" si="21"/>
        <v>200000</v>
      </c>
      <c r="O87" s="55">
        <f t="shared" si="21"/>
        <v>76000</v>
      </c>
      <c r="P87" s="58">
        <f t="shared" si="21"/>
        <v>0</v>
      </c>
      <c r="Q87" s="55">
        <f>Q85+Q86</f>
        <v>0</v>
      </c>
    </row>
    <row r="88" spans="1:17" s="3" customFormat="1" ht="4.5" hidden="1" customHeight="1">
      <c r="A88" s="29"/>
      <c r="B88" s="24"/>
      <c r="C88" s="24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0"/>
    </row>
    <row r="89" spans="1:17" s="3" customFormat="1" ht="20.25" customHeight="1">
      <c r="A89" s="771" t="s">
        <v>64</v>
      </c>
      <c r="B89" s="774" t="s">
        <v>21</v>
      </c>
      <c r="C89" s="19" t="s">
        <v>0</v>
      </c>
      <c r="D89" s="50">
        <f>SUM(E89:Q89)</f>
        <v>11373019.5</v>
      </c>
      <c r="E89" s="60">
        <v>0</v>
      </c>
      <c r="F89" s="60">
        <v>2271103</v>
      </c>
      <c r="G89" s="66">
        <v>4343089</v>
      </c>
      <c r="H89" s="60">
        <v>0</v>
      </c>
      <c r="I89" s="62">
        <v>919985</v>
      </c>
      <c r="J89" s="60">
        <v>0</v>
      </c>
      <c r="K89" s="62">
        <v>0</v>
      </c>
      <c r="L89" s="60">
        <v>0</v>
      </c>
      <c r="M89" s="60">
        <v>0</v>
      </c>
      <c r="N89" s="60">
        <v>6800</v>
      </c>
      <c r="O89" s="60">
        <v>0</v>
      </c>
      <c r="P89" s="61">
        <v>3832042.5</v>
      </c>
      <c r="Q89" s="60">
        <v>0</v>
      </c>
    </row>
    <row r="90" spans="1:17" s="3" customFormat="1" ht="20.25" customHeight="1">
      <c r="A90" s="772"/>
      <c r="B90" s="775"/>
      <c r="C90" s="19" t="s">
        <v>1</v>
      </c>
      <c r="D90" s="50">
        <f t="shared" si="13"/>
        <v>42000</v>
      </c>
      <c r="E90" s="55">
        <v>0</v>
      </c>
      <c r="F90" s="55">
        <v>42000</v>
      </c>
      <c r="G90" s="56">
        <v>0</v>
      </c>
      <c r="H90" s="55">
        <v>0</v>
      </c>
      <c r="I90" s="56">
        <v>0</v>
      </c>
      <c r="J90" s="55">
        <v>0</v>
      </c>
      <c r="K90" s="57">
        <v>0</v>
      </c>
      <c r="L90" s="58">
        <v>0</v>
      </c>
      <c r="M90" s="58">
        <v>0</v>
      </c>
      <c r="N90" s="55">
        <v>0</v>
      </c>
      <c r="O90" s="55">
        <v>0</v>
      </c>
      <c r="P90" s="56">
        <v>0</v>
      </c>
      <c r="Q90" s="55">
        <v>0</v>
      </c>
    </row>
    <row r="91" spans="1:17" s="3" customFormat="1" ht="20.25" customHeight="1">
      <c r="A91" s="773"/>
      <c r="B91" s="776"/>
      <c r="C91" s="19" t="s">
        <v>2</v>
      </c>
      <c r="D91" s="50">
        <f t="shared" si="13"/>
        <v>11415019.5</v>
      </c>
      <c r="E91" s="55">
        <f t="shared" ref="E91:P91" si="22">E89+E90</f>
        <v>0</v>
      </c>
      <c r="F91" s="55">
        <f t="shared" si="22"/>
        <v>2313103</v>
      </c>
      <c r="G91" s="55">
        <f t="shared" si="22"/>
        <v>4343089</v>
      </c>
      <c r="H91" s="55">
        <f t="shared" si="22"/>
        <v>0</v>
      </c>
      <c r="I91" s="55">
        <f t="shared" si="22"/>
        <v>919985</v>
      </c>
      <c r="J91" s="55">
        <f t="shared" si="22"/>
        <v>0</v>
      </c>
      <c r="K91" s="55">
        <f t="shared" si="22"/>
        <v>0</v>
      </c>
      <c r="L91" s="55">
        <f t="shared" si="22"/>
        <v>0</v>
      </c>
      <c r="M91" s="55">
        <f t="shared" si="22"/>
        <v>0</v>
      </c>
      <c r="N91" s="55">
        <f t="shared" si="22"/>
        <v>6800</v>
      </c>
      <c r="O91" s="55">
        <f t="shared" si="22"/>
        <v>0</v>
      </c>
      <c r="P91" s="58">
        <f t="shared" si="22"/>
        <v>3832042.5</v>
      </c>
      <c r="Q91" s="55">
        <f>Q89+Q90</f>
        <v>0</v>
      </c>
    </row>
    <row r="92" spans="1:17" s="3" customFormat="1" ht="5.0999999999999996" customHeight="1">
      <c r="A92" s="29"/>
      <c r="B92" s="24"/>
      <c r="C92" s="24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0"/>
    </row>
    <row r="93" spans="1:17" s="3" customFormat="1" ht="20.25" hidden="1" customHeight="1">
      <c r="A93" s="771" t="s">
        <v>26</v>
      </c>
      <c r="B93" s="774" t="s">
        <v>28</v>
      </c>
      <c r="C93" s="19" t="s">
        <v>0</v>
      </c>
      <c r="D93" s="50">
        <f>SUM(E93:Q93)</f>
        <v>8500</v>
      </c>
      <c r="E93" s="60">
        <v>0</v>
      </c>
      <c r="F93" s="60">
        <v>8500</v>
      </c>
      <c r="G93" s="66">
        <v>0</v>
      </c>
      <c r="H93" s="60">
        <v>0</v>
      </c>
      <c r="I93" s="61">
        <v>0</v>
      </c>
      <c r="J93" s="60">
        <v>0</v>
      </c>
      <c r="K93" s="62">
        <v>0</v>
      </c>
      <c r="L93" s="66">
        <v>0</v>
      </c>
      <c r="M93" s="60">
        <v>0</v>
      </c>
      <c r="N93" s="60">
        <v>0</v>
      </c>
      <c r="O93" s="60">
        <v>0</v>
      </c>
      <c r="P93" s="61">
        <v>0</v>
      </c>
      <c r="Q93" s="60">
        <v>0</v>
      </c>
    </row>
    <row r="94" spans="1:17" s="3" customFormat="1" ht="20.25" hidden="1" customHeight="1">
      <c r="A94" s="772"/>
      <c r="B94" s="775"/>
      <c r="C94" s="19" t="s">
        <v>1</v>
      </c>
      <c r="D94" s="50">
        <f t="shared" si="13"/>
        <v>0</v>
      </c>
      <c r="E94" s="55">
        <v>0</v>
      </c>
      <c r="F94" s="55">
        <v>0</v>
      </c>
      <c r="G94" s="56">
        <v>0</v>
      </c>
      <c r="H94" s="55">
        <v>0</v>
      </c>
      <c r="I94" s="56">
        <v>0</v>
      </c>
      <c r="J94" s="55">
        <v>0</v>
      </c>
      <c r="K94" s="57">
        <v>0</v>
      </c>
      <c r="L94" s="58">
        <v>0</v>
      </c>
      <c r="M94" s="58">
        <v>0</v>
      </c>
      <c r="N94" s="55">
        <v>0</v>
      </c>
      <c r="O94" s="55">
        <v>0</v>
      </c>
      <c r="P94" s="56">
        <v>0</v>
      </c>
      <c r="Q94" s="55">
        <v>0</v>
      </c>
    </row>
    <row r="95" spans="1:17" s="3" customFormat="1" ht="20.25" hidden="1" customHeight="1">
      <c r="A95" s="773"/>
      <c r="B95" s="776"/>
      <c r="C95" s="19" t="s">
        <v>2</v>
      </c>
      <c r="D95" s="50">
        <f t="shared" si="13"/>
        <v>8500</v>
      </c>
      <c r="E95" s="55">
        <f t="shared" ref="E95:P95" si="23">E93+E94</f>
        <v>0</v>
      </c>
      <c r="F95" s="55">
        <f t="shared" si="23"/>
        <v>8500</v>
      </c>
      <c r="G95" s="55">
        <f t="shared" si="23"/>
        <v>0</v>
      </c>
      <c r="H95" s="55">
        <f t="shared" si="23"/>
        <v>0</v>
      </c>
      <c r="I95" s="55">
        <f t="shared" si="23"/>
        <v>0</v>
      </c>
      <c r="J95" s="55">
        <f t="shared" si="23"/>
        <v>0</v>
      </c>
      <c r="K95" s="55">
        <f t="shared" si="23"/>
        <v>0</v>
      </c>
      <c r="L95" s="55">
        <f t="shared" si="23"/>
        <v>0</v>
      </c>
      <c r="M95" s="55">
        <f t="shared" si="23"/>
        <v>0</v>
      </c>
      <c r="N95" s="55">
        <f t="shared" si="23"/>
        <v>0</v>
      </c>
      <c r="O95" s="55">
        <f t="shared" si="23"/>
        <v>0</v>
      </c>
      <c r="P95" s="58">
        <f t="shared" si="23"/>
        <v>0</v>
      </c>
      <c r="Q95" s="55">
        <f>Q93+Q94</f>
        <v>0</v>
      </c>
    </row>
    <row r="96" spans="1:17" s="3" customFormat="1" ht="4.5" hidden="1" customHeight="1">
      <c r="A96" s="29"/>
      <c r="B96" s="24"/>
      <c r="C96" s="24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0"/>
    </row>
    <row r="97" spans="1:17" s="3" customFormat="1" ht="20.25" hidden="1" customHeight="1">
      <c r="A97" s="771" t="s">
        <v>84</v>
      </c>
      <c r="B97" s="774" t="s">
        <v>83</v>
      </c>
      <c r="C97" s="19" t="s">
        <v>0</v>
      </c>
      <c r="D97" s="50">
        <f>SUM(E97:Q97)</f>
        <v>4860502.4000000004</v>
      </c>
      <c r="E97" s="60">
        <v>0</v>
      </c>
      <c r="F97" s="60">
        <v>0</v>
      </c>
      <c r="G97" s="66">
        <v>0</v>
      </c>
      <c r="H97" s="60">
        <v>0</v>
      </c>
      <c r="I97" s="61">
        <v>0</v>
      </c>
      <c r="J97" s="60">
        <v>0</v>
      </c>
      <c r="K97" s="62">
        <v>0</v>
      </c>
      <c r="L97" s="66">
        <v>0</v>
      </c>
      <c r="M97" s="60">
        <v>0</v>
      </c>
      <c r="N97" s="60">
        <v>4860502.4000000004</v>
      </c>
      <c r="O97" s="60">
        <v>0</v>
      </c>
      <c r="P97" s="61">
        <v>0</v>
      </c>
      <c r="Q97" s="60">
        <v>0</v>
      </c>
    </row>
    <row r="98" spans="1:17" s="3" customFormat="1" ht="20.25" hidden="1" customHeight="1">
      <c r="A98" s="772"/>
      <c r="B98" s="775"/>
      <c r="C98" s="19" t="s">
        <v>1</v>
      </c>
      <c r="D98" s="50">
        <f t="shared" si="13"/>
        <v>0</v>
      </c>
      <c r="E98" s="55">
        <v>0</v>
      </c>
      <c r="F98" s="55">
        <v>0</v>
      </c>
      <c r="G98" s="56">
        <v>0</v>
      </c>
      <c r="H98" s="55">
        <v>0</v>
      </c>
      <c r="I98" s="56">
        <v>0</v>
      </c>
      <c r="J98" s="55">
        <v>0</v>
      </c>
      <c r="K98" s="57">
        <v>0</v>
      </c>
      <c r="L98" s="58">
        <v>0</v>
      </c>
      <c r="M98" s="58">
        <v>0</v>
      </c>
      <c r="N98" s="55">
        <v>0</v>
      </c>
      <c r="O98" s="55">
        <v>0</v>
      </c>
      <c r="P98" s="56">
        <v>0</v>
      </c>
      <c r="Q98" s="55">
        <v>0</v>
      </c>
    </row>
    <row r="99" spans="1:17" s="3" customFormat="1" ht="20.25" hidden="1" customHeight="1">
      <c r="A99" s="773"/>
      <c r="B99" s="776"/>
      <c r="C99" s="19" t="s">
        <v>2</v>
      </c>
      <c r="D99" s="50">
        <f t="shared" si="13"/>
        <v>4860502.4000000004</v>
      </c>
      <c r="E99" s="55">
        <f t="shared" ref="E99:P99" si="24">E97+E98</f>
        <v>0</v>
      </c>
      <c r="F99" s="55">
        <f t="shared" si="24"/>
        <v>0</v>
      </c>
      <c r="G99" s="55">
        <f t="shared" si="24"/>
        <v>0</v>
      </c>
      <c r="H99" s="55">
        <f t="shared" si="24"/>
        <v>0</v>
      </c>
      <c r="I99" s="55">
        <f t="shared" si="24"/>
        <v>0</v>
      </c>
      <c r="J99" s="55">
        <f t="shared" si="24"/>
        <v>0</v>
      </c>
      <c r="K99" s="55">
        <f t="shared" si="24"/>
        <v>0</v>
      </c>
      <c r="L99" s="55">
        <f t="shared" si="24"/>
        <v>0</v>
      </c>
      <c r="M99" s="55">
        <f t="shared" si="24"/>
        <v>0</v>
      </c>
      <c r="N99" s="55">
        <f t="shared" si="24"/>
        <v>4860502.4000000004</v>
      </c>
      <c r="O99" s="55">
        <f t="shared" si="24"/>
        <v>0</v>
      </c>
      <c r="P99" s="58">
        <f t="shared" si="24"/>
        <v>0</v>
      </c>
      <c r="Q99" s="55">
        <f>Q97+Q98</f>
        <v>0</v>
      </c>
    </row>
    <row r="100" spans="1:17" s="3" customFormat="1" ht="6" hidden="1" customHeight="1">
      <c r="A100" s="47"/>
      <c r="B100" s="28"/>
      <c r="C100" s="24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0"/>
    </row>
    <row r="101" spans="1:17" s="3" customFormat="1" ht="20.25" hidden="1" customHeight="1">
      <c r="A101" s="771" t="s">
        <v>65</v>
      </c>
      <c r="B101" s="774" t="s">
        <v>66</v>
      </c>
      <c r="C101" s="19" t="s">
        <v>0</v>
      </c>
      <c r="D101" s="50">
        <f>SUM(E101:Q101)</f>
        <v>3871093</v>
      </c>
      <c r="E101" s="60">
        <v>0</v>
      </c>
      <c r="F101" s="60">
        <v>1557153</v>
      </c>
      <c r="G101" s="66">
        <v>0</v>
      </c>
      <c r="H101" s="60">
        <v>0</v>
      </c>
      <c r="I101" s="61">
        <v>0</v>
      </c>
      <c r="J101" s="60">
        <v>0</v>
      </c>
      <c r="K101" s="62">
        <v>0</v>
      </c>
      <c r="L101" s="66">
        <v>923940</v>
      </c>
      <c r="M101" s="60">
        <v>0</v>
      </c>
      <c r="N101" s="60">
        <v>1390000</v>
      </c>
      <c r="O101" s="60">
        <v>0</v>
      </c>
      <c r="P101" s="61">
        <v>0</v>
      </c>
      <c r="Q101" s="60">
        <v>0</v>
      </c>
    </row>
    <row r="102" spans="1:17" s="3" customFormat="1" ht="20.25" hidden="1" customHeight="1">
      <c r="A102" s="772"/>
      <c r="B102" s="775"/>
      <c r="C102" s="19" t="s">
        <v>1</v>
      </c>
      <c r="D102" s="50">
        <f t="shared" si="13"/>
        <v>0</v>
      </c>
      <c r="E102" s="55">
        <v>0</v>
      </c>
      <c r="F102" s="55">
        <v>0</v>
      </c>
      <c r="G102" s="56">
        <v>0</v>
      </c>
      <c r="H102" s="55">
        <v>0</v>
      </c>
      <c r="I102" s="56">
        <v>0</v>
      </c>
      <c r="J102" s="55">
        <v>0</v>
      </c>
      <c r="K102" s="57">
        <v>0</v>
      </c>
      <c r="L102" s="58">
        <v>0</v>
      </c>
      <c r="M102" s="58">
        <v>0</v>
      </c>
      <c r="N102" s="55">
        <v>0</v>
      </c>
      <c r="O102" s="55">
        <v>0</v>
      </c>
      <c r="P102" s="56">
        <v>0</v>
      </c>
      <c r="Q102" s="55">
        <v>0</v>
      </c>
    </row>
    <row r="103" spans="1:17" s="3" customFormat="1" ht="19.5" hidden="1" customHeight="1">
      <c r="A103" s="773"/>
      <c r="B103" s="776"/>
      <c r="C103" s="19" t="s">
        <v>2</v>
      </c>
      <c r="D103" s="50">
        <f t="shared" si="13"/>
        <v>3871093</v>
      </c>
      <c r="E103" s="55">
        <f t="shared" ref="E103:P103" si="25">E101+E102</f>
        <v>0</v>
      </c>
      <c r="F103" s="55">
        <f t="shared" si="25"/>
        <v>1557153</v>
      </c>
      <c r="G103" s="55">
        <f t="shared" si="25"/>
        <v>0</v>
      </c>
      <c r="H103" s="55">
        <f t="shared" si="25"/>
        <v>0</v>
      </c>
      <c r="I103" s="55">
        <f t="shared" si="25"/>
        <v>0</v>
      </c>
      <c r="J103" s="55">
        <f t="shared" si="25"/>
        <v>0</v>
      </c>
      <c r="K103" s="55">
        <f t="shared" si="25"/>
        <v>0</v>
      </c>
      <c r="L103" s="55">
        <f t="shared" si="25"/>
        <v>923940</v>
      </c>
      <c r="M103" s="55">
        <f t="shared" si="25"/>
        <v>0</v>
      </c>
      <c r="N103" s="55">
        <f t="shared" si="25"/>
        <v>1390000</v>
      </c>
      <c r="O103" s="55">
        <f t="shared" si="25"/>
        <v>0</v>
      </c>
      <c r="P103" s="58">
        <f t="shared" si="25"/>
        <v>0</v>
      </c>
      <c r="Q103" s="55">
        <f>Q101+Q102</f>
        <v>0</v>
      </c>
    </row>
    <row r="104" spans="1:17" s="3" customFormat="1" ht="3" hidden="1" customHeight="1">
      <c r="A104" s="29"/>
      <c r="B104" s="24"/>
      <c r="C104" s="24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0"/>
    </row>
    <row r="105" spans="1:17" s="3" customFormat="1" ht="20.25" customHeight="1">
      <c r="A105" s="771" t="s">
        <v>67</v>
      </c>
      <c r="B105" s="774" t="s">
        <v>68</v>
      </c>
      <c r="C105" s="19" t="s">
        <v>0</v>
      </c>
      <c r="D105" s="50">
        <f>SUM(E105:Q105)</f>
        <v>5148836</v>
      </c>
      <c r="E105" s="60">
        <v>0</v>
      </c>
      <c r="F105" s="60">
        <v>0</v>
      </c>
      <c r="G105" s="66">
        <v>0</v>
      </c>
      <c r="H105" s="60">
        <v>0</v>
      </c>
      <c r="I105" s="61">
        <v>0</v>
      </c>
      <c r="J105" s="60">
        <v>0</v>
      </c>
      <c r="K105" s="62">
        <v>0</v>
      </c>
      <c r="L105" s="66">
        <v>152092</v>
      </c>
      <c r="M105" s="60">
        <v>0</v>
      </c>
      <c r="N105" s="60">
        <v>0</v>
      </c>
      <c r="O105" s="60">
        <v>4996744</v>
      </c>
      <c r="P105" s="61">
        <v>0</v>
      </c>
      <c r="Q105" s="60">
        <v>0</v>
      </c>
    </row>
    <row r="106" spans="1:17" s="3" customFormat="1" ht="20.25" customHeight="1">
      <c r="A106" s="772"/>
      <c r="B106" s="775"/>
      <c r="C106" s="19" t="s">
        <v>1</v>
      </c>
      <c r="D106" s="50">
        <f t="shared" si="13"/>
        <v>640000</v>
      </c>
      <c r="E106" s="55">
        <v>0</v>
      </c>
      <c r="F106" s="55">
        <v>0</v>
      </c>
      <c r="G106" s="56">
        <v>0</v>
      </c>
      <c r="H106" s="55">
        <v>0</v>
      </c>
      <c r="I106" s="56">
        <v>0</v>
      </c>
      <c r="J106" s="55">
        <v>0</v>
      </c>
      <c r="K106" s="57">
        <v>0</v>
      </c>
      <c r="L106" s="58">
        <v>0</v>
      </c>
      <c r="M106" s="58">
        <v>0</v>
      </c>
      <c r="N106" s="55">
        <v>0</v>
      </c>
      <c r="O106" s="55">
        <v>640000</v>
      </c>
      <c r="P106" s="56">
        <v>0</v>
      </c>
      <c r="Q106" s="55">
        <v>0</v>
      </c>
    </row>
    <row r="107" spans="1:17" s="3" customFormat="1" ht="21.75" customHeight="1">
      <c r="A107" s="773"/>
      <c r="B107" s="776"/>
      <c r="C107" s="19" t="s">
        <v>2</v>
      </c>
      <c r="D107" s="50">
        <f t="shared" si="13"/>
        <v>5788836</v>
      </c>
      <c r="E107" s="55">
        <f t="shared" ref="E107:P107" si="26">E105+E106</f>
        <v>0</v>
      </c>
      <c r="F107" s="55">
        <f t="shared" si="26"/>
        <v>0</v>
      </c>
      <c r="G107" s="55">
        <f t="shared" si="26"/>
        <v>0</v>
      </c>
      <c r="H107" s="55">
        <f t="shared" si="26"/>
        <v>0</v>
      </c>
      <c r="I107" s="55">
        <f t="shared" si="26"/>
        <v>0</v>
      </c>
      <c r="J107" s="55">
        <f t="shared" si="26"/>
        <v>0</v>
      </c>
      <c r="K107" s="55">
        <f t="shared" si="26"/>
        <v>0</v>
      </c>
      <c r="L107" s="55">
        <f t="shared" si="26"/>
        <v>152092</v>
      </c>
      <c r="M107" s="55">
        <f t="shared" si="26"/>
        <v>0</v>
      </c>
      <c r="N107" s="55">
        <f t="shared" si="26"/>
        <v>0</v>
      </c>
      <c r="O107" s="55">
        <f t="shared" si="26"/>
        <v>5636744</v>
      </c>
      <c r="P107" s="58">
        <f t="shared" si="26"/>
        <v>0</v>
      </c>
      <c r="Q107" s="55">
        <f>Q105+Q106</f>
        <v>0</v>
      </c>
    </row>
    <row r="108" spans="1:17" s="3" customFormat="1" ht="5.0999999999999996" customHeight="1">
      <c r="A108" s="29"/>
      <c r="B108" s="24"/>
      <c r="C108" s="24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0"/>
    </row>
    <row r="109" spans="1:17" s="3" customFormat="1" ht="21.75" customHeight="1">
      <c r="A109" s="771" t="s">
        <v>27</v>
      </c>
      <c r="B109" s="774" t="s">
        <v>69</v>
      </c>
      <c r="C109" s="19" t="s">
        <v>0</v>
      </c>
      <c r="D109" s="50">
        <f>SUM(E109:Q109)</f>
        <v>2553938</v>
      </c>
      <c r="E109" s="60">
        <v>0</v>
      </c>
      <c r="F109" s="60">
        <v>63941</v>
      </c>
      <c r="G109" s="66">
        <v>0</v>
      </c>
      <c r="H109" s="60">
        <v>0</v>
      </c>
      <c r="I109" s="62">
        <v>0</v>
      </c>
      <c r="J109" s="60">
        <v>0</v>
      </c>
      <c r="K109" s="60">
        <v>277972</v>
      </c>
      <c r="L109" s="60">
        <v>0</v>
      </c>
      <c r="M109" s="60">
        <v>0</v>
      </c>
      <c r="N109" s="60">
        <v>2201000</v>
      </c>
      <c r="O109" s="60">
        <v>0</v>
      </c>
      <c r="P109" s="66">
        <v>11025</v>
      </c>
      <c r="Q109" s="60">
        <v>0</v>
      </c>
    </row>
    <row r="110" spans="1:17" s="3" customFormat="1" ht="21.75" customHeight="1">
      <c r="A110" s="772"/>
      <c r="B110" s="775"/>
      <c r="C110" s="19" t="s">
        <v>1</v>
      </c>
      <c r="D110" s="50">
        <f t="shared" si="13"/>
        <v>16569</v>
      </c>
      <c r="E110" s="55">
        <v>0</v>
      </c>
      <c r="F110" s="55">
        <f>9963+6270</f>
        <v>16233</v>
      </c>
      <c r="G110" s="56">
        <v>0</v>
      </c>
      <c r="H110" s="55">
        <v>0</v>
      </c>
      <c r="I110" s="56">
        <v>0</v>
      </c>
      <c r="J110" s="55">
        <v>0</v>
      </c>
      <c r="K110" s="57">
        <v>0</v>
      </c>
      <c r="L110" s="58">
        <v>0</v>
      </c>
      <c r="M110" s="58">
        <v>0</v>
      </c>
      <c r="N110" s="55">
        <v>0</v>
      </c>
      <c r="O110" s="55">
        <v>0</v>
      </c>
      <c r="P110" s="56">
        <v>336</v>
      </c>
      <c r="Q110" s="55">
        <v>0</v>
      </c>
    </row>
    <row r="111" spans="1:17" s="3" customFormat="1" ht="21.75" customHeight="1">
      <c r="A111" s="773"/>
      <c r="B111" s="776"/>
      <c r="C111" s="19" t="s">
        <v>2</v>
      </c>
      <c r="D111" s="50">
        <f t="shared" si="13"/>
        <v>2570507</v>
      </c>
      <c r="E111" s="55">
        <f t="shared" ref="E111:P111" si="27">E109+E110</f>
        <v>0</v>
      </c>
      <c r="F111" s="55">
        <f t="shared" si="27"/>
        <v>80174</v>
      </c>
      <c r="G111" s="55">
        <f t="shared" si="27"/>
        <v>0</v>
      </c>
      <c r="H111" s="55">
        <f t="shared" si="27"/>
        <v>0</v>
      </c>
      <c r="I111" s="55">
        <f t="shared" si="27"/>
        <v>0</v>
      </c>
      <c r="J111" s="55">
        <f t="shared" si="27"/>
        <v>0</v>
      </c>
      <c r="K111" s="55">
        <f t="shared" si="27"/>
        <v>277972</v>
      </c>
      <c r="L111" s="55">
        <f t="shared" si="27"/>
        <v>0</v>
      </c>
      <c r="M111" s="55">
        <f t="shared" si="27"/>
        <v>0</v>
      </c>
      <c r="N111" s="55">
        <f t="shared" si="27"/>
        <v>2201000</v>
      </c>
      <c r="O111" s="55">
        <f t="shared" si="27"/>
        <v>0</v>
      </c>
      <c r="P111" s="58">
        <f t="shared" si="27"/>
        <v>11361</v>
      </c>
      <c r="Q111" s="55">
        <f>Q109+Q110</f>
        <v>0</v>
      </c>
    </row>
    <row r="112" spans="1:17" s="79" customFormat="1" ht="5.0999999999999996" customHeight="1">
      <c r="A112" s="48"/>
      <c r="B112" s="74"/>
      <c r="C112" s="28"/>
      <c r="D112" s="49"/>
      <c r="E112" s="75"/>
      <c r="F112" s="76"/>
      <c r="G112" s="76"/>
      <c r="H112" s="77"/>
      <c r="I112" s="76"/>
      <c r="J112" s="76"/>
      <c r="K112" s="78"/>
      <c r="L112" s="76"/>
      <c r="M112" s="76"/>
      <c r="N112" s="76"/>
      <c r="O112" s="76"/>
      <c r="P112" s="76"/>
      <c r="Q112" s="77"/>
    </row>
    <row r="113" spans="1:17" s="20" customFormat="1" ht="20.25" customHeight="1">
      <c r="A113" s="814"/>
      <c r="B113" s="817" t="s">
        <v>22</v>
      </c>
      <c r="C113" s="90" t="s">
        <v>0</v>
      </c>
      <c r="D113" s="89">
        <f>SUM(E113:Q113)</f>
        <v>228318708</v>
      </c>
      <c r="E113" s="91">
        <f>E117+E121+E125+E129+E133+E137+E149+E153+E161+E157+E141+E145</f>
        <v>0</v>
      </c>
      <c r="F113" s="91">
        <f t="shared" ref="F113:Q113" si="28">F117+F121+F125+F129+F133+F137+F149+F153+F161+F157+F141+F145</f>
        <v>288726</v>
      </c>
      <c r="G113" s="91">
        <f t="shared" si="28"/>
        <v>94444680</v>
      </c>
      <c r="H113" s="91">
        <f t="shared" si="28"/>
        <v>350000</v>
      </c>
      <c r="I113" s="91">
        <f t="shared" si="28"/>
        <v>30281770</v>
      </c>
      <c r="J113" s="91">
        <f t="shared" si="28"/>
        <v>0</v>
      </c>
      <c r="K113" s="91">
        <f t="shared" si="28"/>
        <v>0</v>
      </c>
      <c r="L113" s="91">
        <f t="shared" si="28"/>
        <v>0</v>
      </c>
      <c r="M113" s="91">
        <f t="shared" si="28"/>
        <v>0</v>
      </c>
      <c r="N113" s="91">
        <f t="shared" si="28"/>
        <v>0</v>
      </c>
      <c r="O113" s="91">
        <f t="shared" si="28"/>
        <v>49938143</v>
      </c>
      <c r="P113" s="91">
        <f t="shared" si="28"/>
        <v>53015389</v>
      </c>
      <c r="Q113" s="91">
        <f t="shared" si="28"/>
        <v>0</v>
      </c>
    </row>
    <row r="114" spans="1:17" s="20" customFormat="1" ht="20.25" customHeight="1">
      <c r="A114" s="815"/>
      <c r="B114" s="818"/>
      <c r="C114" s="90" t="s">
        <v>1</v>
      </c>
      <c r="D114" s="89">
        <f>SUM(E114:Q114)</f>
        <v>581709</v>
      </c>
      <c r="E114" s="91">
        <f t="shared" ref="E114:Q115" si="29">E118+E122+E126+E130+E134+E138+E150+E154+E162+E158+E142+E146</f>
        <v>0</v>
      </c>
      <c r="F114" s="91">
        <f t="shared" si="29"/>
        <v>0</v>
      </c>
      <c r="G114" s="91">
        <f t="shared" si="29"/>
        <v>-805263</v>
      </c>
      <c r="H114" s="91">
        <f t="shared" si="29"/>
        <v>63000</v>
      </c>
      <c r="I114" s="91">
        <f t="shared" si="29"/>
        <v>-1220694</v>
      </c>
      <c r="J114" s="91">
        <f t="shared" si="29"/>
        <v>0</v>
      </c>
      <c r="K114" s="91">
        <f t="shared" si="29"/>
        <v>0</v>
      </c>
      <c r="L114" s="91">
        <f t="shared" si="29"/>
        <v>0</v>
      </c>
      <c r="M114" s="91">
        <f t="shared" si="29"/>
        <v>0</v>
      </c>
      <c r="N114" s="91">
        <f t="shared" si="29"/>
        <v>0</v>
      </c>
      <c r="O114" s="91">
        <f t="shared" si="29"/>
        <v>460356</v>
      </c>
      <c r="P114" s="91">
        <f t="shared" si="29"/>
        <v>2084310</v>
      </c>
      <c r="Q114" s="91">
        <f t="shared" si="29"/>
        <v>0</v>
      </c>
    </row>
    <row r="115" spans="1:17" s="20" customFormat="1" ht="20.25" customHeight="1">
      <c r="A115" s="816"/>
      <c r="B115" s="819"/>
      <c r="C115" s="90" t="s">
        <v>2</v>
      </c>
      <c r="D115" s="89">
        <f>SUM(E115:Q115)</f>
        <v>228900417</v>
      </c>
      <c r="E115" s="89">
        <f t="shared" si="29"/>
        <v>0</v>
      </c>
      <c r="F115" s="89">
        <f t="shared" si="29"/>
        <v>288726</v>
      </c>
      <c r="G115" s="89">
        <f t="shared" si="29"/>
        <v>93639417</v>
      </c>
      <c r="H115" s="89">
        <f t="shared" si="29"/>
        <v>413000</v>
      </c>
      <c r="I115" s="89">
        <f t="shared" si="29"/>
        <v>29061076</v>
      </c>
      <c r="J115" s="89">
        <f t="shared" si="29"/>
        <v>0</v>
      </c>
      <c r="K115" s="89">
        <f t="shared" si="29"/>
        <v>0</v>
      </c>
      <c r="L115" s="89">
        <f t="shared" si="29"/>
        <v>0</v>
      </c>
      <c r="M115" s="89">
        <f t="shared" si="29"/>
        <v>0</v>
      </c>
      <c r="N115" s="89">
        <f t="shared" si="29"/>
        <v>0</v>
      </c>
      <c r="O115" s="89">
        <f t="shared" si="29"/>
        <v>50398499</v>
      </c>
      <c r="P115" s="89">
        <f t="shared" si="29"/>
        <v>55099699</v>
      </c>
      <c r="Q115" s="89">
        <f t="shared" si="29"/>
        <v>0</v>
      </c>
    </row>
    <row r="116" spans="1:17" s="79" customFormat="1" ht="5.0999999999999996" customHeight="1">
      <c r="A116" s="48"/>
      <c r="B116" s="74"/>
      <c r="C116" s="74"/>
      <c r="D116" s="49"/>
      <c r="E116" s="75"/>
      <c r="F116" s="76"/>
      <c r="G116" s="76"/>
      <c r="H116" s="77"/>
      <c r="I116" s="76"/>
      <c r="J116" s="76"/>
      <c r="K116" s="78"/>
      <c r="L116" s="76"/>
      <c r="M116" s="76"/>
      <c r="N116" s="76"/>
      <c r="O116" s="76"/>
      <c r="P116" s="76"/>
      <c r="Q116" s="77"/>
    </row>
    <row r="117" spans="1:17" s="20" customFormat="1" ht="20.25" hidden="1" customHeight="1">
      <c r="A117" s="813" t="s">
        <v>42</v>
      </c>
      <c r="B117" s="820" t="s">
        <v>18</v>
      </c>
      <c r="C117" s="19" t="s">
        <v>0</v>
      </c>
      <c r="D117" s="50">
        <f t="shared" ref="D117:D163" si="30">SUM(E117:Q117)</f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60">
        <v>0</v>
      </c>
      <c r="N117" s="51">
        <v>0</v>
      </c>
      <c r="O117" s="51">
        <v>0</v>
      </c>
      <c r="P117" s="52">
        <v>0</v>
      </c>
      <c r="Q117" s="51">
        <v>0</v>
      </c>
    </row>
    <row r="118" spans="1:17" s="20" customFormat="1" ht="20.25" hidden="1" customHeight="1">
      <c r="A118" s="813"/>
      <c r="B118" s="820"/>
      <c r="C118" s="19" t="s">
        <v>1</v>
      </c>
      <c r="D118" s="50">
        <f t="shared" si="30"/>
        <v>0</v>
      </c>
      <c r="E118" s="55">
        <v>0</v>
      </c>
      <c r="F118" s="55">
        <v>0</v>
      </c>
      <c r="G118" s="56">
        <v>0</v>
      </c>
      <c r="H118" s="55">
        <v>0</v>
      </c>
      <c r="I118" s="56"/>
      <c r="J118" s="55">
        <v>0</v>
      </c>
      <c r="K118" s="57">
        <v>0</v>
      </c>
      <c r="L118" s="58">
        <v>0</v>
      </c>
      <c r="M118" s="58">
        <v>0</v>
      </c>
      <c r="N118" s="55">
        <v>0</v>
      </c>
      <c r="O118" s="55">
        <v>0</v>
      </c>
      <c r="P118" s="56">
        <v>0</v>
      </c>
      <c r="Q118" s="55">
        <v>0</v>
      </c>
    </row>
    <row r="119" spans="1:17" s="20" customFormat="1" ht="20.25" hidden="1" customHeight="1">
      <c r="A119" s="813"/>
      <c r="B119" s="820"/>
      <c r="C119" s="19" t="s">
        <v>2</v>
      </c>
      <c r="D119" s="50">
        <f t="shared" si="30"/>
        <v>0</v>
      </c>
      <c r="E119" s="55">
        <f t="shared" ref="E119:P119" si="31">E117+E118</f>
        <v>0</v>
      </c>
      <c r="F119" s="55">
        <f t="shared" si="31"/>
        <v>0</v>
      </c>
      <c r="G119" s="55">
        <f t="shared" si="31"/>
        <v>0</v>
      </c>
      <c r="H119" s="55">
        <f t="shared" si="31"/>
        <v>0</v>
      </c>
      <c r="I119" s="55">
        <f t="shared" si="31"/>
        <v>0</v>
      </c>
      <c r="J119" s="55">
        <f t="shared" si="31"/>
        <v>0</v>
      </c>
      <c r="K119" s="55">
        <f t="shared" si="31"/>
        <v>0</v>
      </c>
      <c r="L119" s="55">
        <f t="shared" si="31"/>
        <v>0</v>
      </c>
      <c r="M119" s="55">
        <f t="shared" si="31"/>
        <v>0</v>
      </c>
      <c r="N119" s="55">
        <f t="shared" si="31"/>
        <v>0</v>
      </c>
      <c r="O119" s="55">
        <f t="shared" si="31"/>
        <v>0</v>
      </c>
      <c r="P119" s="58">
        <f t="shared" si="31"/>
        <v>0</v>
      </c>
      <c r="Q119" s="55">
        <f>Q117+Q118</f>
        <v>0</v>
      </c>
    </row>
    <row r="120" spans="1:17" s="20" customFormat="1" ht="7.5" hidden="1" customHeight="1">
      <c r="A120" s="44"/>
      <c r="B120" s="21"/>
      <c r="C120" s="21"/>
      <c r="D120" s="49"/>
      <c r="E120" s="53"/>
      <c r="F120" s="53"/>
      <c r="G120" s="53"/>
      <c r="H120" s="53"/>
      <c r="I120" s="53"/>
      <c r="J120" s="53"/>
      <c r="K120" s="53"/>
      <c r="L120" s="53"/>
      <c r="M120" s="76"/>
      <c r="N120" s="53"/>
      <c r="O120" s="53"/>
      <c r="P120" s="53"/>
      <c r="Q120" s="51"/>
    </row>
    <row r="121" spans="1:17" s="3" customFormat="1" ht="20.25" customHeight="1">
      <c r="A121" s="771" t="s">
        <v>45</v>
      </c>
      <c r="B121" s="774" t="s">
        <v>46</v>
      </c>
      <c r="C121" s="19" t="s">
        <v>0</v>
      </c>
      <c r="D121" s="50">
        <f t="shared" si="30"/>
        <v>58748923</v>
      </c>
      <c r="E121" s="60">
        <v>0</v>
      </c>
      <c r="F121" s="60">
        <v>237060</v>
      </c>
      <c r="G121" s="66">
        <v>0</v>
      </c>
      <c r="H121" s="60">
        <v>0</v>
      </c>
      <c r="I121" s="61">
        <v>0</v>
      </c>
      <c r="J121" s="60">
        <v>0</v>
      </c>
      <c r="K121" s="61">
        <v>0</v>
      </c>
      <c r="L121" s="66">
        <v>0</v>
      </c>
      <c r="M121" s="60">
        <v>0</v>
      </c>
      <c r="N121" s="60">
        <v>0</v>
      </c>
      <c r="O121" s="60">
        <v>5496474</v>
      </c>
      <c r="P121" s="61">
        <v>53015389</v>
      </c>
      <c r="Q121" s="60">
        <v>0</v>
      </c>
    </row>
    <row r="122" spans="1:17" s="3" customFormat="1" ht="20.25" customHeight="1">
      <c r="A122" s="772"/>
      <c r="B122" s="775"/>
      <c r="C122" s="19" t="s">
        <v>1</v>
      </c>
      <c r="D122" s="50">
        <f t="shared" si="30"/>
        <v>1146483</v>
      </c>
      <c r="E122" s="55">
        <v>0</v>
      </c>
      <c r="F122" s="55">
        <v>0</v>
      </c>
      <c r="G122" s="56">
        <v>0</v>
      </c>
      <c r="H122" s="55">
        <v>0</v>
      </c>
      <c r="I122" s="56">
        <v>0</v>
      </c>
      <c r="J122" s="55">
        <v>0</v>
      </c>
      <c r="K122" s="57">
        <v>0</v>
      </c>
      <c r="L122" s="58">
        <v>0</v>
      </c>
      <c r="M122" s="58">
        <v>0</v>
      </c>
      <c r="N122" s="55">
        <v>0</v>
      </c>
      <c r="O122" s="55">
        <v>460356</v>
      </c>
      <c r="P122" s="56">
        <v>686127</v>
      </c>
      <c r="Q122" s="55">
        <v>0</v>
      </c>
    </row>
    <row r="123" spans="1:17" s="3" customFormat="1" ht="20.25" customHeight="1">
      <c r="A123" s="773"/>
      <c r="B123" s="776"/>
      <c r="C123" s="19" t="s">
        <v>2</v>
      </c>
      <c r="D123" s="50">
        <f t="shared" si="30"/>
        <v>59895406</v>
      </c>
      <c r="E123" s="55">
        <f t="shared" ref="E123:P123" si="32">E121+E122</f>
        <v>0</v>
      </c>
      <c r="F123" s="55">
        <f t="shared" si="32"/>
        <v>237060</v>
      </c>
      <c r="G123" s="55">
        <f t="shared" si="32"/>
        <v>0</v>
      </c>
      <c r="H123" s="55">
        <f t="shared" si="32"/>
        <v>0</v>
      </c>
      <c r="I123" s="55">
        <f t="shared" si="32"/>
        <v>0</v>
      </c>
      <c r="J123" s="55">
        <f t="shared" si="32"/>
        <v>0</v>
      </c>
      <c r="K123" s="55">
        <f t="shared" si="32"/>
        <v>0</v>
      </c>
      <c r="L123" s="55">
        <f t="shared" si="32"/>
        <v>0</v>
      </c>
      <c r="M123" s="55">
        <f t="shared" si="32"/>
        <v>0</v>
      </c>
      <c r="N123" s="55">
        <f t="shared" si="32"/>
        <v>0</v>
      </c>
      <c r="O123" s="55">
        <f t="shared" si="32"/>
        <v>5956830</v>
      </c>
      <c r="P123" s="58">
        <f t="shared" si="32"/>
        <v>53701516</v>
      </c>
      <c r="Q123" s="55">
        <f>Q121+Q122</f>
        <v>0</v>
      </c>
    </row>
    <row r="124" spans="1:17" s="3" customFormat="1" ht="5.0999999999999996" customHeight="1">
      <c r="A124" s="29"/>
      <c r="B124" s="24"/>
      <c r="C124" s="21"/>
      <c r="D124" s="49"/>
      <c r="E124" s="61"/>
      <c r="F124" s="61"/>
      <c r="G124" s="61"/>
      <c r="H124" s="61"/>
      <c r="I124" s="61"/>
      <c r="J124" s="61"/>
      <c r="K124" s="61"/>
      <c r="L124" s="61"/>
      <c r="M124" s="76"/>
      <c r="N124" s="61"/>
      <c r="O124" s="61"/>
      <c r="P124" s="61"/>
      <c r="Q124" s="60"/>
    </row>
    <row r="125" spans="1:17" s="3" customFormat="1" ht="20.25" hidden="1" customHeight="1">
      <c r="A125" s="771" t="s">
        <v>47</v>
      </c>
      <c r="B125" s="774" t="s">
        <v>48</v>
      </c>
      <c r="C125" s="19" t="s">
        <v>0</v>
      </c>
      <c r="D125" s="50">
        <f t="shared" si="30"/>
        <v>5000</v>
      </c>
      <c r="E125" s="60">
        <v>0</v>
      </c>
      <c r="F125" s="60">
        <v>5000</v>
      </c>
      <c r="G125" s="66">
        <v>0</v>
      </c>
      <c r="H125" s="60">
        <v>0</v>
      </c>
      <c r="I125" s="62">
        <v>0</v>
      </c>
      <c r="J125" s="60">
        <v>0</v>
      </c>
      <c r="K125" s="62">
        <v>0</v>
      </c>
      <c r="L125" s="60">
        <v>0</v>
      </c>
      <c r="M125" s="60">
        <v>0</v>
      </c>
      <c r="N125" s="60">
        <v>0</v>
      </c>
      <c r="O125" s="60">
        <v>0</v>
      </c>
      <c r="P125" s="61">
        <v>0</v>
      </c>
      <c r="Q125" s="60">
        <v>0</v>
      </c>
    </row>
    <row r="126" spans="1:17" s="3" customFormat="1" ht="20.25" hidden="1" customHeight="1">
      <c r="A126" s="772"/>
      <c r="B126" s="775"/>
      <c r="C126" s="19" t="s">
        <v>1</v>
      </c>
      <c r="D126" s="50">
        <f t="shared" si="30"/>
        <v>0</v>
      </c>
      <c r="E126" s="55">
        <v>0</v>
      </c>
      <c r="F126" s="55">
        <v>0</v>
      </c>
      <c r="G126" s="56">
        <v>0</v>
      </c>
      <c r="H126" s="55">
        <v>0</v>
      </c>
      <c r="I126" s="56">
        <v>0</v>
      </c>
      <c r="J126" s="55">
        <v>0</v>
      </c>
      <c r="K126" s="57">
        <v>0</v>
      </c>
      <c r="L126" s="58">
        <v>0</v>
      </c>
      <c r="M126" s="58">
        <v>0</v>
      </c>
      <c r="N126" s="55">
        <v>0</v>
      </c>
      <c r="O126" s="55">
        <v>0</v>
      </c>
      <c r="P126" s="56">
        <v>0</v>
      </c>
      <c r="Q126" s="55">
        <v>0</v>
      </c>
    </row>
    <row r="127" spans="1:17" s="3" customFormat="1" ht="20.25" hidden="1" customHeight="1">
      <c r="A127" s="773"/>
      <c r="B127" s="776"/>
      <c r="C127" s="19" t="s">
        <v>2</v>
      </c>
      <c r="D127" s="50">
        <f t="shared" si="30"/>
        <v>5000</v>
      </c>
      <c r="E127" s="55">
        <f t="shared" ref="E127:P127" si="33">E125+E126</f>
        <v>0</v>
      </c>
      <c r="F127" s="55">
        <f t="shared" si="33"/>
        <v>5000</v>
      </c>
      <c r="G127" s="55">
        <f t="shared" si="33"/>
        <v>0</v>
      </c>
      <c r="H127" s="55">
        <f t="shared" si="33"/>
        <v>0</v>
      </c>
      <c r="I127" s="55">
        <f t="shared" si="33"/>
        <v>0</v>
      </c>
      <c r="J127" s="55">
        <f t="shared" si="33"/>
        <v>0</v>
      </c>
      <c r="K127" s="55">
        <f t="shared" si="33"/>
        <v>0</v>
      </c>
      <c r="L127" s="55">
        <f t="shared" si="33"/>
        <v>0</v>
      </c>
      <c r="M127" s="55">
        <f t="shared" si="33"/>
        <v>0</v>
      </c>
      <c r="N127" s="55">
        <f t="shared" si="33"/>
        <v>0</v>
      </c>
      <c r="O127" s="55">
        <f t="shared" si="33"/>
        <v>0</v>
      </c>
      <c r="P127" s="58">
        <f t="shared" si="33"/>
        <v>0</v>
      </c>
      <c r="Q127" s="55">
        <f>Q125+Q126</f>
        <v>0</v>
      </c>
    </row>
    <row r="128" spans="1:17" s="3" customFormat="1" ht="9" hidden="1" customHeight="1">
      <c r="A128" s="29"/>
      <c r="B128" s="24"/>
      <c r="C128" s="21"/>
      <c r="D128" s="49"/>
      <c r="E128" s="61"/>
      <c r="F128" s="61"/>
      <c r="G128" s="61"/>
      <c r="H128" s="61"/>
      <c r="I128" s="61"/>
      <c r="J128" s="61"/>
      <c r="K128" s="61"/>
      <c r="L128" s="61"/>
      <c r="M128" s="76"/>
      <c r="N128" s="61"/>
      <c r="O128" s="61"/>
      <c r="P128" s="61"/>
      <c r="Q128" s="60"/>
    </row>
    <row r="129" spans="1:17" s="3" customFormat="1" ht="20.25" hidden="1" customHeight="1">
      <c r="A129" s="771" t="s">
        <v>51</v>
      </c>
      <c r="B129" s="774" t="s">
        <v>52</v>
      </c>
      <c r="C129" s="19" t="s">
        <v>0</v>
      </c>
      <c r="D129" s="50">
        <f t="shared" si="30"/>
        <v>0</v>
      </c>
      <c r="E129" s="60">
        <v>0</v>
      </c>
      <c r="F129" s="60">
        <v>0</v>
      </c>
      <c r="G129" s="66">
        <v>0</v>
      </c>
      <c r="H129" s="60">
        <v>0</v>
      </c>
      <c r="I129" s="61">
        <v>0</v>
      </c>
      <c r="J129" s="60">
        <v>0</v>
      </c>
      <c r="K129" s="62">
        <v>0</v>
      </c>
      <c r="L129" s="66">
        <v>0</v>
      </c>
      <c r="M129" s="60">
        <v>0</v>
      </c>
      <c r="N129" s="60">
        <v>0</v>
      </c>
      <c r="O129" s="60">
        <v>0</v>
      </c>
      <c r="P129" s="61">
        <v>0</v>
      </c>
      <c r="Q129" s="60">
        <v>0</v>
      </c>
    </row>
    <row r="130" spans="1:17" s="3" customFormat="1" ht="20.25" hidden="1" customHeight="1">
      <c r="A130" s="772"/>
      <c r="B130" s="775"/>
      <c r="C130" s="19" t="s">
        <v>1</v>
      </c>
      <c r="D130" s="50">
        <f t="shared" si="30"/>
        <v>0</v>
      </c>
      <c r="E130" s="55">
        <v>0</v>
      </c>
      <c r="F130" s="55">
        <v>0</v>
      </c>
      <c r="G130" s="56">
        <v>0</v>
      </c>
      <c r="H130" s="55">
        <v>0</v>
      </c>
      <c r="I130" s="56">
        <v>0</v>
      </c>
      <c r="J130" s="55">
        <v>0</v>
      </c>
      <c r="K130" s="57">
        <v>0</v>
      </c>
      <c r="L130" s="58">
        <v>0</v>
      </c>
      <c r="M130" s="58">
        <v>0</v>
      </c>
      <c r="N130" s="55">
        <v>0</v>
      </c>
      <c r="O130" s="55">
        <v>0</v>
      </c>
      <c r="P130" s="56">
        <v>0</v>
      </c>
      <c r="Q130" s="55">
        <v>0</v>
      </c>
    </row>
    <row r="131" spans="1:17" s="3" customFormat="1" ht="20.25" hidden="1" customHeight="1">
      <c r="A131" s="773"/>
      <c r="B131" s="776"/>
      <c r="C131" s="19" t="s">
        <v>2</v>
      </c>
      <c r="D131" s="50">
        <f t="shared" si="30"/>
        <v>0</v>
      </c>
      <c r="E131" s="55">
        <f t="shared" ref="E131:P131" si="34">E129+E130</f>
        <v>0</v>
      </c>
      <c r="F131" s="55">
        <f t="shared" si="34"/>
        <v>0</v>
      </c>
      <c r="G131" s="55">
        <f t="shared" si="34"/>
        <v>0</v>
      </c>
      <c r="H131" s="55">
        <f t="shared" si="34"/>
        <v>0</v>
      </c>
      <c r="I131" s="55">
        <f t="shared" si="34"/>
        <v>0</v>
      </c>
      <c r="J131" s="55">
        <f t="shared" si="34"/>
        <v>0</v>
      </c>
      <c r="K131" s="55">
        <f t="shared" si="34"/>
        <v>0</v>
      </c>
      <c r="L131" s="55">
        <f t="shared" si="34"/>
        <v>0</v>
      </c>
      <c r="M131" s="55">
        <f t="shared" si="34"/>
        <v>0</v>
      </c>
      <c r="N131" s="55">
        <f t="shared" si="34"/>
        <v>0</v>
      </c>
      <c r="O131" s="55">
        <f t="shared" si="34"/>
        <v>0</v>
      </c>
      <c r="P131" s="58">
        <f t="shared" si="34"/>
        <v>0</v>
      </c>
      <c r="Q131" s="55">
        <f>Q129+Q130</f>
        <v>0</v>
      </c>
    </row>
    <row r="132" spans="1:17" s="3" customFormat="1" ht="9" hidden="1" customHeight="1">
      <c r="A132" s="29"/>
      <c r="B132" s="24"/>
      <c r="C132" s="21"/>
      <c r="D132" s="49"/>
      <c r="E132" s="61"/>
      <c r="F132" s="61"/>
      <c r="G132" s="61"/>
      <c r="H132" s="61"/>
      <c r="I132" s="61"/>
      <c r="J132" s="61"/>
      <c r="K132" s="61"/>
      <c r="L132" s="61"/>
      <c r="M132" s="76"/>
      <c r="N132" s="61"/>
      <c r="O132" s="61"/>
      <c r="P132" s="61"/>
      <c r="Q132" s="60"/>
    </row>
    <row r="133" spans="1:17" s="3" customFormat="1" ht="20.25" hidden="1" customHeight="1">
      <c r="A133" s="771" t="s">
        <v>53</v>
      </c>
      <c r="B133" s="774" t="s">
        <v>54</v>
      </c>
      <c r="C133" s="19" t="s">
        <v>0</v>
      </c>
      <c r="D133" s="50">
        <f t="shared" si="30"/>
        <v>87</v>
      </c>
      <c r="E133" s="60">
        <v>0</v>
      </c>
      <c r="F133" s="60">
        <v>87</v>
      </c>
      <c r="G133" s="66">
        <v>0</v>
      </c>
      <c r="H133" s="60">
        <v>0</v>
      </c>
      <c r="I133" s="62">
        <v>0</v>
      </c>
      <c r="J133" s="60">
        <v>0</v>
      </c>
      <c r="K133" s="62">
        <v>0</v>
      </c>
      <c r="L133" s="60">
        <v>0</v>
      </c>
      <c r="M133" s="60">
        <v>0</v>
      </c>
      <c r="N133" s="60">
        <v>0</v>
      </c>
      <c r="O133" s="60">
        <v>0</v>
      </c>
      <c r="P133" s="61">
        <v>0</v>
      </c>
      <c r="Q133" s="60">
        <v>0</v>
      </c>
    </row>
    <row r="134" spans="1:17" s="3" customFormat="1" ht="20.25" hidden="1" customHeight="1">
      <c r="A134" s="772"/>
      <c r="B134" s="775"/>
      <c r="C134" s="19" t="s">
        <v>1</v>
      </c>
      <c r="D134" s="50">
        <f t="shared" si="30"/>
        <v>0</v>
      </c>
      <c r="E134" s="55">
        <v>0</v>
      </c>
      <c r="F134" s="55">
        <v>0</v>
      </c>
      <c r="G134" s="56">
        <v>0</v>
      </c>
      <c r="H134" s="55">
        <v>0</v>
      </c>
      <c r="I134" s="56">
        <v>0</v>
      </c>
      <c r="J134" s="55">
        <v>0</v>
      </c>
      <c r="K134" s="57">
        <v>0</v>
      </c>
      <c r="L134" s="58">
        <v>0</v>
      </c>
      <c r="M134" s="58">
        <v>0</v>
      </c>
      <c r="N134" s="55">
        <v>0</v>
      </c>
      <c r="O134" s="55">
        <v>0</v>
      </c>
      <c r="P134" s="56">
        <v>0</v>
      </c>
      <c r="Q134" s="55">
        <v>0</v>
      </c>
    </row>
    <row r="135" spans="1:17" s="3" customFormat="1" ht="20.25" hidden="1" customHeight="1">
      <c r="A135" s="773"/>
      <c r="B135" s="776"/>
      <c r="C135" s="19" t="s">
        <v>2</v>
      </c>
      <c r="D135" s="50">
        <f t="shared" si="30"/>
        <v>87</v>
      </c>
      <c r="E135" s="55">
        <f t="shared" ref="E135:P135" si="35">E133+E134</f>
        <v>0</v>
      </c>
      <c r="F135" s="55">
        <f t="shared" si="35"/>
        <v>87</v>
      </c>
      <c r="G135" s="55">
        <f t="shared" si="35"/>
        <v>0</v>
      </c>
      <c r="H135" s="55">
        <f t="shared" si="35"/>
        <v>0</v>
      </c>
      <c r="I135" s="55">
        <f t="shared" si="35"/>
        <v>0</v>
      </c>
      <c r="J135" s="55">
        <f t="shared" si="35"/>
        <v>0</v>
      </c>
      <c r="K135" s="55">
        <f t="shared" si="35"/>
        <v>0</v>
      </c>
      <c r="L135" s="55">
        <f t="shared" si="35"/>
        <v>0</v>
      </c>
      <c r="M135" s="55">
        <f t="shared" si="35"/>
        <v>0</v>
      </c>
      <c r="N135" s="55">
        <f t="shared" si="35"/>
        <v>0</v>
      </c>
      <c r="O135" s="55">
        <f t="shared" si="35"/>
        <v>0</v>
      </c>
      <c r="P135" s="58">
        <f t="shared" si="35"/>
        <v>0</v>
      </c>
      <c r="Q135" s="55">
        <f>Q133+Q134</f>
        <v>0</v>
      </c>
    </row>
    <row r="136" spans="1:17" s="3" customFormat="1" ht="20.25" hidden="1" customHeight="1">
      <c r="A136" s="29"/>
      <c r="B136" s="24"/>
      <c r="C136" s="21"/>
      <c r="D136" s="49"/>
      <c r="E136" s="61"/>
      <c r="F136" s="61"/>
      <c r="G136" s="61"/>
      <c r="H136" s="61"/>
      <c r="I136" s="61"/>
      <c r="J136" s="61"/>
      <c r="K136" s="61"/>
      <c r="L136" s="61"/>
      <c r="M136" s="76"/>
      <c r="N136" s="61"/>
      <c r="O136" s="61"/>
      <c r="P136" s="61"/>
      <c r="Q136" s="60"/>
    </row>
    <row r="137" spans="1:17" s="3" customFormat="1" ht="20.25" customHeight="1">
      <c r="A137" s="771" t="s">
        <v>57</v>
      </c>
      <c r="B137" s="774" t="s">
        <v>58</v>
      </c>
      <c r="C137" s="19" t="s">
        <v>0</v>
      </c>
      <c r="D137" s="50">
        <f t="shared" si="30"/>
        <v>125076450</v>
      </c>
      <c r="E137" s="60">
        <v>0</v>
      </c>
      <c r="F137" s="60">
        <v>0</v>
      </c>
      <c r="G137" s="60">
        <v>94444680</v>
      </c>
      <c r="H137" s="66">
        <v>350000</v>
      </c>
      <c r="I137" s="60">
        <v>30281770</v>
      </c>
      <c r="J137" s="60">
        <v>0</v>
      </c>
      <c r="K137" s="62">
        <v>0</v>
      </c>
      <c r="L137" s="66">
        <v>0</v>
      </c>
      <c r="M137" s="60">
        <v>0</v>
      </c>
      <c r="N137" s="60">
        <v>0</v>
      </c>
      <c r="O137" s="60">
        <v>0</v>
      </c>
      <c r="P137" s="66">
        <v>0</v>
      </c>
      <c r="Q137" s="60">
        <v>0</v>
      </c>
    </row>
    <row r="138" spans="1:17" s="3" customFormat="1" ht="20.25" customHeight="1">
      <c r="A138" s="772"/>
      <c r="B138" s="775"/>
      <c r="C138" s="19" t="s">
        <v>1</v>
      </c>
      <c r="D138" s="50">
        <f t="shared" si="30"/>
        <v>-1962957</v>
      </c>
      <c r="E138" s="55">
        <v>0</v>
      </c>
      <c r="F138" s="55">
        <v>0</v>
      </c>
      <c r="G138" s="56">
        <f>-805263</f>
        <v>-805263</v>
      </c>
      <c r="H138" s="55">
        <v>63000</v>
      </c>
      <c r="I138" s="56">
        <f>-909665+783708-1000000-94737</f>
        <v>-1220694</v>
      </c>
      <c r="J138" s="55">
        <v>0</v>
      </c>
      <c r="K138" s="57">
        <v>0</v>
      </c>
      <c r="L138" s="58">
        <v>0</v>
      </c>
      <c r="M138" s="58">
        <v>0</v>
      </c>
      <c r="N138" s="55">
        <v>0</v>
      </c>
      <c r="O138" s="55">
        <v>0</v>
      </c>
      <c r="P138" s="56">
        <v>0</v>
      </c>
      <c r="Q138" s="55">
        <v>0</v>
      </c>
    </row>
    <row r="139" spans="1:17" s="3" customFormat="1" ht="20.25" customHeight="1">
      <c r="A139" s="773"/>
      <c r="B139" s="776"/>
      <c r="C139" s="19" t="s">
        <v>2</v>
      </c>
      <c r="D139" s="50">
        <f t="shared" si="30"/>
        <v>123113493</v>
      </c>
      <c r="E139" s="55">
        <f t="shared" ref="E139:P139" si="36">E137+E138</f>
        <v>0</v>
      </c>
      <c r="F139" s="55">
        <f t="shared" si="36"/>
        <v>0</v>
      </c>
      <c r="G139" s="55">
        <f t="shared" si="36"/>
        <v>93639417</v>
      </c>
      <c r="H139" s="55">
        <f t="shared" si="36"/>
        <v>413000</v>
      </c>
      <c r="I139" s="55">
        <f t="shared" si="36"/>
        <v>29061076</v>
      </c>
      <c r="J139" s="55">
        <f t="shared" si="36"/>
        <v>0</v>
      </c>
      <c r="K139" s="55">
        <f t="shared" si="36"/>
        <v>0</v>
      </c>
      <c r="L139" s="55">
        <f t="shared" si="36"/>
        <v>0</v>
      </c>
      <c r="M139" s="55">
        <f t="shared" si="36"/>
        <v>0</v>
      </c>
      <c r="N139" s="55">
        <f t="shared" si="36"/>
        <v>0</v>
      </c>
      <c r="O139" s="55">
        <f t="shared" si="36"/>
        <v>0</v>
      </c>
      <c r="P139" s="58">
        <f t="shared" si="36"/>
        <v>0</v>
      </c>
      <c r="Q139" s="55">
        <f>Q137+Q138</f>
        <v>0</v>
      </c>
    </row>
    <row r="140" spans="1:17" s="3" customFormat="1" ht="5.0999999999999996" customHeight="1">
      <c r="A140" s="29"/>
      <c r="B140" s="24"/>
      <c r="C140" s="21"/>
      <c r="D140" s="110"/>
      <c r="E140" s="61"/>
      <c r="F140" s="61"/>
      <c r="G140" s="61"/>
      <c r="H140" s="61"/>
      <c r="I140" s="61"/>
      <c r="J140" s="61"/>
      <c r="K140" s="61"/>
      <c r="L140" s="61"/>
      <c r="M140" s="111"/>
      <c r="N140" s="61"/>
      <c r="O140" s="61"/>
      <c r="P140" s="61"/>
      <c r="Q140" s="60"/>
    </row>
    <row r="141" spans="1:17" s="3" customFormat="1" ht="20.25" hidden="1" customHeight="1">
      <c r="A141" s="771" t="s">
        <v>59</v>
      </c>
      <c r="B141" s="774" t="s">
        <v>60</v>
      </c>
      <c r="C141" s="19" t="s">
        <v>0</v>
      </c>
      <c r="D141" s="50">
        <f>SUM(E141:Q141)</f>
        <v>46579</v>
      </c>
      <c r="E141" s="60">
        <v>0</v>
      </c>
      <c r="F141" s="60">
        <v>46579</v>
      </c>
      <c r="G141" s="66">
        <v>0</v>
      </c>
      <c r="H141" s="60">
        <v>0</v>
      </c>
      <c r="I141" s="61">
        <v>0</v>
      </c>
      <c r="J141" s="60">
        <v>0</v>
      </c>
      <c r="K141" s="62">
        <v>0</v>
      </c>
      <c r="L141" s="66">
        <v>0</v>
      </c>
      <c r="M141" s="60">
        <v>0</v>
      </c>
      <c r="N141" s="60">
        <v>0</v>
      </c>
      <c r="O141" s="60">
        <v>0</v>
      </c>
      <c r="P141" s="61">
        <v>0</v>
      </c>
      <c r="Q141" s="60">
        <v>0</v>
      </c>
    </row>
    <row r="142" spans="1:17" s="3" customFormat="1" ht="20.25" hidden="1" customHeight="1">
      <c r="A142" s="772"/>
      <c r="B142" s="775"/>
      <c r="C142" s="19" t="s">
        <v>1</v>
      </c>
      <c r="D142" s="50">
        <f>SUM(E142:Q142)</f>
        <v>0</v>
      </c>
      <c r="E142" s="55">
        <v>0</v>
      </c>
      <c r="F142" s="55">
        <v>0</v>
      </c>
      <c r="G142" s="56">
        <v>0</v>
      </c>
      <c r="H142" s="55">
        <v>0</v>
      </c>
      <c r="I142" s="56">
        <v>0</v>
      </c>
      <c r="J142" s="51">
        <v>0</v>
      </c>
      <c r="K142" s="57">
        <v>0</v>
      </c>
      <c r="L142" s="58">
        <v>0</v>
      </c>
      <c r="M142" s="58">
        <v>0</v>
      </c>
      <c r="N142" s="55">
        <v>0</v>
      </c>
      <c r="O142" s="55">
        <v>0</v>
      </c>
      <c r="P142" s="56">
        <v>0</v>
      </c>
      <c r="Q142" s="55">
        <v>0</v>
      </c>
    </row>
    <row r="143" spans="1:17" s="3" customFormat="1" ht="20.25" hidden="1" customHeight="1">
      <c r="A143" s="773"/>
      <c r="B143" s="776"/>
      <c r="C143" s="19" t="s">
        <v>2</v>
      </c>
      <c r="D143" s="50">
        <f>SUM(E143:Q143)</f>
        <v>46579</v>
      </c>
      <c r="E143" s="55">
        <f t="shared" ref="E143:P143" si="37">E141+E142</f>
        <v>0</v>
      </c>
      <c r="F143" s="55">
        <f t="shared" si="37"/>
        <v>46579</v>
      </c>
      <c r="G143" s="55">
        <f t="shared" si="37"/>
        <v>0</v>
      </c>
      <c r="H143" s="55">
        <f t="shared" si="37"/>
        <v>0</v>
      </c>
      <c r="I143" s="55">
        <f t="shared" si="37"/>
        <v>0</v>
      </c>
      <c r="J143" s="55">
        <f t="shared" si="37"/>
        <v>0</v>
      </c>
      <c r="K143" s="55">
        <f t="shared" si="37"/>
        <v>0</v>
      </c>
      <c r="L143" s="55">
        <f t="shared" si="37"/>
        <v>0</v>
      </c>
      <c r="M143" s="55">
        <f t="shared" si="37"/>
        <v>0</v>
      </c>
      <c r="N143" s="55">
        <f t="shared" si="37"/>
        <v>0</v>
      </c>
      <c r="O143" s="55">
        <f t="shared" si="37"/>
        <v>0</v>
      </c>
      <c r="P143" s="58">
        <f t="shared" si="37"/>
        <v>0</v>
      </c>
      <c r="Q143" s="55">
        <f>Q141+Q142</f>
        <v>0</v>
      </c>
    </row>
    <row r="144" spans="1:17" s="3" customFormat="1" ht="6" hidden="1" customHeight="1">
      <c r="A144" s="29"/>
      <c r="B144" s="24"/>
      <c r="C144" s="21"/>
      <c r="D144" s="49"/>
      <c r="E144" s="61"/>
      <c r="F144" s="61"/>
      <c r="G144" s="61"/>
      <c r="H144" s="61"/>
      <c r="I144" s="61"/>
      <c r="J144" s="61"/>
      <c r="K144" s="61"/>
      <c r="L144" s="61"/>
      <c r="M144" s="76"/>
      <c r="N144" s="61"/>
      <c r="O144" s="61"/>
      <c r="P144" s="61"/>
      <c r="Q144" s="60"/>
    </row>
    <row r="145" spans="1:17" s="3" customFormat="1" ht="20.25" customHeight="1">
      <c r="A145" s="771" t="s">
        <v>61</v>
      </c>
      <c r="B145" s="774" t="s">
        <v>62</v>
      </c>
      <c r="C145" s="19" t="s">
        <v>0</v>
      </c>
      <c r="D145" s="50">
        <f>SUM(E145:Q145)</f>
        <v>0</v>
      </c>
      <c r="E145" s="60">
        <v>0</v>
      </c>
      <c r="F145" s="60">
        <v>0</v>
      </c>
      <c r="G145" s="61">
        <v>0</v>
      </c>
      <c r="H145" s="60">
        <v>0</v>
      </c>
      <c r="I145" s="62">
        <v>0</v>
      </c>
      <c r="J145" s="60">
        <v>0</v>
      </c>
      <c r="K145" s="62">
        <v>0</v>
      </c>
      <c r="L145" s="60">
        <v>0</v>
      </c>
      <c r="M145" s="60">
        <v>0</v>
      </c>
      <c r="N145" s="60">
        <v>0</v>
      </c>
      <c r="O145" s="60">
        <v>0</v>
      </c>
      <c r="P145" s="61">
        <v>0</v>
      </c>
      <c r="Q145" s="60">
        <v>0</v>
      </c>
    </row>
    <row r="146" spans="1:17" s="3" customFormat="1" ht="20.25" customHeight="1">
      <c r="A146" s="772"/>
      <c r="B146" s="775"/>
      <c r="C146" s="19" t="s">
        <v>1</v>
      </c>
      <c r="D146" s="50">
        <f t="shared" ref="D146:D147" si="38">SUM(E146:Q146)</f>
        <v>1398183</v>
      </c>
      <c r="E146" s="55">
        <v>0</v>
      </c>
      <c r="F146" s="55">
        <v>0</v>
      </c>
      <c r="G146" s="56">
        <v>0</v>
      </c>
      <c r="H146" s="55">
        <v>0</v>
      </c>
      <c r="I146" s="56">
        <v>0</v>
      </c>
      <c r="J146" s="55">
        <v>0</v>
      </c>
      <c r="K146" s="57">
        <v>0</v>
      </c>
      <c r="L146" s="58">
        <v>0</v>
      </c>
      <c r="M146" s="58">
        <v>0</v>
      </c>
      <c r="N146" s="55">
        <v>0</v>
      </c>
      <c r="O146" s="55">
        <v>0</v>
      </c>
      <c r="P146" s="56">
        <v>1398183</v>
      </c>
      <c r="Q146" s="55">
        <v>0</v>
      </c>
    </row>
    <row r="147" spans="1:17" s="3" customFormat="1" ht="20.25" customHeight="1">
      <c r="A147" s="773"/>
      <c r="B147" s="776"/>
      <c r="C147" s="19" t="s">
        <v>2</v>
      </c>
      <c r="D147" s="50">
        <f t="shared" si="38"/>
        <v>1398183</v>
      </c>
      <c r="E147" s="55">
        <f t="shared" ref="E147:P147" si="39">E145+E146</f>
        <v>0</v>
      </c>
      <c r="F147" s="55">
        <f t="shared" si="39"/>
        <v>0</v>
      </c>
      <c r="G147" s="55">
        <f t="shared" si="39"/>
        <v>0</v>
      </c>
      <c r="H147" s="55">
        <f t="shared" si="39"/>
        <v>0</v>
      </c>
      <c r="I147" s="55">
        <f t="shared" si="39"/>
        <v>0</v>
      </c>
      <c r="J147" s="55">
        <f t="shared" si="39"/>
        <v>0</v>
      </c>
      <c r="K147" s="55">
        <f t="shared" si="39"/>
        <v>0</v>
      </c>
      <c r="L147" s="55">
        <f t="shared" si="39"/>
        <v>0</v>
      </c>
      <c r="M147" s="55">
        <f t="shared" si="39"/>
        <v>0</v>
      </c>
      <c r="N147" s="55">
        <f t="shared" si="39"/>
        <v>0</v>
      </c>
      <c r="O147" s="55">
        <f t="shared" si="39"/>
        <v>0</v>
      </c>
      <c r="P147" s="58">
        <f t="shared" si="39"/>
        <v>1398183</v>
      </c>
      <c r="Q147" s="55">
        <f>Q145+Q146</f>
        <v>0</v>
      </c>
    </row>
    <row r="148" spans="1:17" s="3" customFormat="1" ht="5.0999999999999996" customHeight="1">
      <c r="A148" s="29"/>
      <c r="B148" s="24"/>
      <c r="C148" s="24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0"/>
    </row>
    <row r="149" spans="1:17" s="3" customFormat="1" ht="20.25" hidden="1" customHeight="1">
      <c r="A149" s="771" t="s">
        <v>64</v>
      </c>
      <c r="B149" s="774" t="s">
        <v>21</v>
      </c>
      <c r="C149" s="19" t="s">
        <v>0</v>
      </c>
      <c r="D149" s="50">
        <f t="shared" si="30"/>
        <v>0</v>
      </c>
      <c r="E149" s="60">
        <v>0</v>
      </c>
      <c r="F149" s="60">
        <v>0</v>
      </c>
      <c r="G149" s="66">
        <v>0</v>
      </c>
      <c r="H149" s="60">
        <v>0</v>
      </c>
      <c r="I149" s="61">
        <v>0</v>
      </c>
      <c r="J149" s="60">
        <v>0</v>
      </c>
      <c r="K149" s="62">
        <v>0</v>
      </c>
      <c r="L149" s="66">
        <v>0</v>
      </c>
      <c r="M149" s="60">
        <v>0</v>
      </c>
      <c r="N149" s="60">
        <v>0</v>
      </c>
      <c r="O149" s="60">
        <v>0</v>
      </c>
      <c r="P149" s="61">
        <v>0</v>
      </c>
      <c r="Q149" s="60">
        <v>0</v>
      </c>
    </row>
    <row r="150" spans="1:17" s="3" customFormat="1" ht="20.25" hidden="1" customHeight="1">
      <c r="A150" s="772"/>
      <c r="B150" s="775"/>
      <c r="C150" s="19" t="s">
        <v>1</v>
      </c>
      <c r="D150" s="50">
        <f t="shared" si="30"/>
        <v>0</v>
      </c>
      <c r="E150" s="55">
        <v>0</v>
      </c>
      <c r="F150" s="55">
        <v>0</v>
      </c>
      <c r="G150" s="56">
        <v>0</v>
      </c>
      <c r="H150" s="55">
        <v>0</v>
      </c>
      <c r="I150" s="56">
        <v>0</v>
      </c>
      <c r="J150" s="51">
        <v>0</v>
      </c>
      <c r="K150" s="57">
        <v>0</v>
      </c>
      <c r="L150" s="58">
        <v>0</v>
      </c>
      <c r="M150" s="58">
        <v>0</v>
      </c>
      <c r="N150" s="55">
        <v>0</v>
      </c>
      <c r="O150" s="55">
        <v>0</v>
      </c>
      <c r="P150" s="56">
        <v>0</v>
      </c>
      <c r="Q150" s="55">
        <v>0</v>
      </c>
    </row>
    <row r="151" spans="1:17" s="3" customFormat="1" ht="20.25" hidden="1" customHeight="1">
      <c r="A151" s="773"/>
      <c r="B151" s="776"/>
      <c r="C151" s="19" t="s">
        <v>2</v>
      </c>
      <c r="D151" s="50">
        <f t="shared" si="30"/>
        <v>0</v>
      </c>
      <c r="E151" s="55">
        <f t="shared" ref="E151:P151" si="40">E149+E150</f>
        <v>0</v>
      </c>
      <c r="F151" s="55">
        <f t="shared" si="40"/>
        <v>0</v>
      </c>
      <c r="G151" s="55">
        <f t="shared" si="40"/>
        <v>0</v>
      </c>
      <c r="H151" s="55">
        <f t="shared" si="40"/>
        <v>0</v>
      </c>
      <c r="I151" s="55">
        <f t="shared" si="40"/>
        <v>0</v>
      </c>
      <c r="J151" s="55">
        <f t="shared" si="40"/>
        <v>0</v>
      </c>
      <c r="K151" s="55">
        <f t="shared" si="40"/>
        <v>0</v>
      </c>
      <c r="L151" s="55">
        <f t="shared" si="40"/>
        <v>0</v>
      </c>
      <c r="M151" s="55">
        <f t="shared" si="40"/>
        <v>0</v>
      </c>
      <c r="N151" s="55">
        <f t="shared" si="40"/>
        <v>0</v>
      </c>
      <c r="O151" s="55">
        <f t="shared" si="40"/>
        <v>0</v>
      </c>
      <c r="P151" s="58">
        <f t="shared" si="40"/>
        <v>0</v>
      </c>
      <c r="Q151" s="55">
        <f>Q149+Q150</f>
        <v>0</v>
      </c>
    </row>
    <row r="152" spans="1:17" s="3" customFormat="1" ht="20.25" hidden="1" customHeight="1">
      <c r="A152" s="29"/>
      <c r="B152" s="24"/>
      <c r="C152" s="21"/>
      <c r="D152" s="49"/>
      <c r="E152" s="61"/>
      <c r="F152" s="61"/>
      <c r="G152" s="61"/>
      <c r="H152" s="61"/>
      <c r="I152" s="61"/>
      <c r="J152" s="61"/>
      <c r="K152" s="61"/>
      <c r="L152" s="61"/>
      <c r="M152" s="76"/>
      <c r="N152" s="61"/>
      <c r="O152" s="61"/>
      <c r="P152" s="61"/>
      <c r="Q152" s="60"/>
    </row>
    <row r="153" spans="1:17" s="3" customFormat="1" ht="20.25" hidden="1" customHeight="1">
      <c r="A153" s="771" t="s">
        <v>65</v>
      </c>
      <c r="B153" s="774" t="s">
        <v>66</v>
      </c>
      <c r="C153" s="19" t="s">
        <v>0</v>
      </c>
      <c r="D153" s="50">
        <f t="shared" si="30"/>
        <v>0</v>
      </c>
      <c r="E153" s="60">
        <v>0</v>
      </c>
      <c r="F153" s="60">
        <v>0</v>
      </c>
      <c r="G153" s="66">
        <v>0</v>
      </c>
      <c r="H153" s="60">
        <v>0</v>
      </c>
      <c r="I153" s="61">
        <v>0</v>
      </c>
      <c r="J153" s="60">
        <v>0</v>
      </c>
      <c r="K153" s="62">
        <v>0</v>
      </c>
      <c r="L153" s="66">
        <v>0</v>
      </c>
      <c r="M153" s="60">
        <v>0</v>
      </c>
      <c r="N153" s="60">
        <v>0</v>
      </c>
      <c r="O153" s="60">
        <v>0</v>
      </c>
      <c r="P153" s="61">
        <v>0</v>
      </c>
      <c r="Q153" s="60">
        <v>0</v>
      </c>
    </row>
    <row r="154" spans="1:17" s="3" customFormat="1" ht="20.25" hidden="1" customHeight="1">
      <c r="A154" s="772"/>
      <c r="B154" s="775"/>
      <c r="C154" s="19" t="s">
        <v>1</v>
      </c>
      <c r="D154" s="50">
        <f t="shared" si="30"/>
        <v>0</v>
      </c>
      <c r="E154" s="55">
        <v>0</v>
      </c>
      <c r="F154" s="55">
        <v>0</v>
      </c>
      <c r="G154" s="56">
        <v>0</v>
      </c>
      <c r="H154" s="55">
        <v>0</v>
      </c>
      <c r="I154" s="56">
        <v>0</v>
      </c>
      <c r="J154" s="55">
        <v>0</v>
      </c>
      <c r="K154" s="57">
        <v>0</v>
      </c>
      <c r="L154" s="58">
        <v>0</v>
      </c>
      <c r="M154" s="58">
        <v>0</v>
      </c>
      <c r="N154" s="55">
        <v>0</v>
      </c>
      <c r="O154" s="55">
        <v>0</v>
      </c>
      <c r="P154" s="56">
        <v>0</v>
      </c>
      <c r="Q154" s="55">
        <v>0</v>
      </c>
    </row>
    <row r="155" spans="1:17" s="3" customFormat="1" ht="20.25" hidden="1" customHeight="1">
      <c r="A155" s="772"/>
      <c r="B155" s="775"/>
      <c r="C155" s="19" t="s">
        <v>2</v>
      </c>
      <c r="D155" s="50">
        <f t="shared" si="30"/>
        <v>0</v>
      </c>
      <c r="E155" s="55">
        <f t="shared" ref="E155:P155" si="41">E153+E154</f>
        <v>0</v>
      </c>
      <c r="F155" s="55">
        <f t="shared" si="41"/>
        <v>0</v>
      </c>
      <c r="G155" s="55">
        <f t="shared" si="41"/>
        <v>0</v>
      </c>
      <c r="H155" s="55">
        <f t="shared" si="41"/>
        <v>0</v>
      </c>
      <c r="I155" s="55">
        <f t="shared" si="41"/>
        <v>0</v>
      </c>
      <c r="J155" s="55">
        <f t="shared" si="41"/>
        <v>0</v>
      </c>
      <c r="K155" s="55">
        <f t="shared" si="41"/>
        <v>0</v>
      </c>
      <c r="L155" s="55">
        <f t="shared" si="41"/>
        <v>0</v>
      </c>
      <c r="M155" s="55">
        <f t="shared" si="41"/>
        <v>0</v>
      </c>
      <c r="N155" s="55">
        <f t="shared" si="41"/>
        <v>0</v>
      </c>
      <c r="O155" s="55">
        <f t="shared" si="41"/>
        <v>0</v>
      </c>
      <c r="P155" s="58">
        <f t="shared" si="41"/>
        <v>0</v>
      </c>
      <c r="Q155" s="55">
        <f>Q153+Q154</f>
        <v>0</v>
      </c>
    </row>
    <row r="156" spans="1:17" s="3" customFormat="1" ht="10.5" hidden="1" customHeight="1">
      <c r="A156" s="29"/>
      <c r="B156" s="24"/>
      <c r="C156" s="21"/>
      <c r="D156" s="49"/>
      <c r="E156" s="61"/>
      <c r="F156" s="61"/>
      <c r="G156" s="61"/>
      <c r="H156" s="61"/>
      <c r="I156" s="61"/>
      <c r="J156" s="61"/>
      <c r="K156" s="61"/>
      <c r="L156" s="61"/>
      <c r="M156" s="76"/>
      <c r="N156" s="61"/>
      <c r="O156" s="61"/>
      <c r="P156" s="61"/>
      <c r="Q156" s="60"/>
    </row>
    <row r="157" spans="1:17" s="3" customFormat="1" ht="20.25" hidden="1" customHeight="1">
      <c r="A157" s="771" t="s">
        <v>67</v>
      </c>
      <c r="B157" s="774" t="s">
        <v>68</v>
      </c>
      <c r="C157" s="19" t="s">
        <v>0</v>
      </c>
      <c r="D157" s="50">
        <f t="shared" si="30"/>
        <v>44441669</v>
      </c>
      <c r="E157" s="60">
        <v>0</v>
      </c>
      <c r="F157" s="60">
        <v>0</v>
      </c>
      <c r="G157" s="66">
        <v>0</v>
      </c>
      <c r="H157" s="60">
        <v>0</v>
      </c>
      <c r="I157" s="61">
        <v>0</v>
      </c>
      <c r="J157" s="60">
        <v>0</v>
      </c>
      <c r="K157" s="62">
        <v>0</v>
      </c>
      <c r="L157" s="66">
        <v>0</v>
      </c>
      <c r="M157" s="60">
        <v>0</v>
      </c>
      <c r="N157" s="60">
        <v>0</v>
      </c>
      <c r="O157" s="60">
        <v>44441669</v>
      </c>
      <c r="P157" s="61">
        <v>0</v>
      </c>
      <c r="Q157" s="60">
        <v>0</v>
      </c>
    </row>
    <row r="158" spans="1:17" s="3" customFormat="1" ht="20.25" hidden="1" customHeight="1">
      <c r="A158" s="772"/>
      <c r="B158" s="775"/>
      <c r="C158" s="19" t="s">
        <v>1</v>
      </c>
      <c r="D158" s="50">
        <f t="shared" si="30"/>
        <v>0</v>
      </c>
      <c r="E158" s="55">
        <v>0</v>
      </c>
      <c r="F158" s="55">
        <v>0</v>
      </c>
      <c r="G158" s="56">
        <v>0</v>
      </c>
      <c r="H158" s="55">
        <v>0</v>
      </c>
      <c r="I158" s="56">
        <v>0</v>
      </c>
      <c r="J158" s="55">
        <v>0</v>
      </c>
      <c r="K158" s="57">
        <v>0</v>
      </c>
      <c r="L158" s="58">
        <v>0</v>
      </c>
      <c r="M158" s="58">
        <v>0</v>
      </c>
      <c r="N158" s="55">
        <v>0</v>
      </c>
      <c r="O158" s="55">
        <v>0</v>
      </c>
      <c r="P158" s="56">
        <v>0</v>
      </c>
      <c r="Q158" s="55">
        <v>0</v>
      </c>
    </row>
    <row r="159" spans="1:17" s="3" customFormat="1" ht="20.25" hidden="1" customHeight="1">
      <c r="A159" s="773"/>
      <c r="B159" s="776"/>
      <c r="C159" s="19" t="s">
        <v>2</v>
      </c>
      <c r="D159" s="50">
        <f t="shared" si="30"/>
        <v>44441669</v>
      </c>
      <c r="E159" s="55">
        <f t="shared" ref="E159:P159" si="42">E157+E158</f>
        <v>0</v>
      </c>
      <c r="F159" s="55">
        <f t="shared" si="42"/>
        <v>0</v>
      </c>
      <c r="G159" s="55">
        <f t="shared" si="42"/>
        <v>0</v>
      </c>
      <c r="H159" s="55">
        <f t="shared" si="42"/>
        <v>0</v>
      </c>
      <c r="I159" s="55">
        <f t="shared" si="42"/>
        <v>0</v>
      </c>
      <c r="J159" s="55">
        <f t="shared" si="42"/>
        <v>0</v>
      </c>
      <c r="K159" s="55">
        <f t="shared" si="42"/>
        <v>0</v>
      </c>
      <c r="L159" s="55">
        <f t="shared" si="42"/>
        <v>0</v>
      </c>
      <c r="M159" s="55">
        <f t="shared" si="42"/>
        <v>0</v>
      </c>
      <c r="N159" s="55">
        <f t="shared" si="42"/>
        <v>0</v>
      </c>
      <c r="O159" s="55">
        <f t="shared" si="42"/>
        <v>44441669</v>
      </c>
      <c r="P159" s="58">
        <f t="shared" si="42"/>
        <v>0</v>
      </c>
      <c r="Q159" s="55">
        <f>Q157+Q158</f>
        <v>0</v>
      </c>
    </row>
    <row r="160" spans="1:17" s="3" customFormat="1" ht="6.75" hidden="1" customHeight="1">
      <c r="A160" s="47"/>
      <c r="B160" s="28"/>
      <c r="C160" s="22"/>
      <c r="D160" s="49"/>
      <c r="E160" s="67"/>
      <c r="F160" s="67"/>
      <c r="G160" s="67"/>
      <c r="H160" s="67"/>
      <c r="I160" s="67"/>
      <c r="J160" s="67"/>
      <c r="K160" s="67"/>
      <c r="L160" s="67"/>
      <c r="M160" s="76"/>
      <c r="N160" s="67"/>
      <c r="O160" s="67"/>
      <c r="P160" s="67"/>
      <c r="Q160" s="68"/>
    </row>
    <row r="161" spans="1:17" s="3" customFormat="1" ht="27" hidden="1" customHeight="1">
      <c r="A161" s="771" t="s">
        <v>27</v>
      </c>
      <c r="B161" s="774" t="s">
        <v>69</v>
      </c>
      <c r="C161" s="19" t="s">
        <v>0</v>
      </c>
      <c r="D161" s="50">
        <f t="shared" si="30"/>
        <v>0</v>
      </c>
      <c r="E161" s="69">
        <v>0</v>
      </c>
      <c r="F161" s="69">
        <v>0</v>
      </c>
      <c r="G161" s="70">
        <v>0</v>
      </c>
      <c r="H161" s="69">
        <v>0</v>
      </c>
      <c r="I161" s="71">
        <v>0</v>
      </c>
      <c r="J161" s="69">
        <v>0</v>
      </c>
      <c r="K161" s="72">
        <v>0</v>
      </c>
      <c r="L161" s="70">
        <v>0</v>
      </c>
      <c r="M161" s="60">
        <v>0</v>
      </c>
      <c r="N161" s="69">
        <v>0</v>
      </c>
      <c r="O161" s="69">
        <v>0</v>
      </c>
      <c r="P161" s="71">
        <v>0</v>
      </c>
      <c r="Q161" s="69">
        <v>0</v>
      </c>
    </row>
    <row r="162" spans="1:17" s="3" customFormat="1" ht="27" hidden="1" customHeight="1">
      <c r="A162" s="772"/>
      <c r="B162" s="775"/>
      <c r="C162" s="19" t="s">
        <v>1</v>
      </c>
      <c r="D162" s="50">
        <f t="shared" si="30"/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8">
        <v>0</v>
      </c>
      <c r="N162" s="51">
        <v>0</v>
      </c>
      <c r="O162" s="51">
        <v>0</v>
      </c>
      <c r="P162" s="52">
        <v>0</v>
      </c>
      <c r="Q162" s="51">
        <v>0</v>
      </c>
    </row>
    <row r="163" spans="1:17" s="3" customFormat="1" ht="27" hidden="1" customHeight="1">
      <c r="A163" s="773"/>
      <c r="B163" s="776"/>
      <c r="C163" s="19" t="s">
        <v>2</v>
      </c>
      <c r="D163" s="50">
        <f t="shared" si="30"/>
        <v>0</v>
      </c>
      <c r="E163" s="55">
        <f t="shared" ref="E163:P163" si="43">E161+E162</f>
        <v>0</v>
      </c>
      <c r="F163" s="55">
        <f t="shared" si="43"/>
        <v>0</v>
      </c>
      <c r="G163" s="55">
        <f t="shared" si="43"/>
        <v>0</v>
      </c>
      <c r="H163" s="55">
        <f t="shared" si="43"/>
        <v>0</v>
      </c>
      <c r="I163" s="55">
        <f t="shared" si="43"/>
        <v>0</v>
      </c>
      <c r="J163" s="55">
        <f t="shared" si="43"/>
        <v>0</v>
      </c>
      <c r="K163" s="55">
        <f t="shared" si="43"/>
        <v>0</v>
      </c>
      <c r="L163" s="55">
        <f t="shared" si="43"/>
        <v>0</v>
      </c>
      <c r="M163" s="55">
        <f t="shared" si="43"/>
        <v>0</v>
      </c>
      <c r="N163" s="55">
        <f t="shared" si="43"/>
        <v>0</v>
      </c>
      <c r="O163" s="55">
        <f t="shared" si="43"/>
        <v>0</v>
      </c>
      <c r="P163" s="58">
        <f t="shared" si="43"/>
        <v>0</v>
      </c>
      <c r="Q163" s="55">
        <f>Q161+Q162</f>
        <v>0</v>
      </c>
    </row>
    <row r="164" spans="1:17" s="3" customFormat="1" ht="7.5" hidden="1" customHeight="1">
      <c r="A164" s="47"/>
      <c r="B164" s="28"/>
      <c r="C164" s="28"/>
      <c r="D164" s="73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69"/>
    </row>
    <row r="165" spans="1:17" s="80" customFormat="1" ht="20.25" customHeight="1">
      <c r="A165" s="807" t="s">
        <v>23</v>
      </c>
      <c r="B165" s="808"/>
      <c r="C165" s="92" t="s">
        <v>0</v>
      </c>
      <c r="D165" s="93">
        <f t="shared" ref="D165:P165" si="44">D13+D113</f>
        <v>1994256089.6799998</v>
      </c>
      <c r="E165" s="93">
        <f>E13+E113</f>
        <v>1396995780.6399999</v>
      </c>
      <c r="F165" s="93">
        <f t="shared" si="44"/>
        <v>25713634</v>
      </c>
      <c r="G165" s="93">
        <f t="shared" si="44"/>
        <v>212086600.80000001</v>
      </c>
      <c r="H165" s="93">
        <f t="shared" si="44"/>
        <v>74503461</v>
      </c>
      <c r="I165" s="93">
        <f t="shared" si="44"/>
        <v>59598524</v>
      </c>
      <c r="J165" s="93">
        <f t="shared" si="44"/>
        <v>0</v>
      </c>
      <c r="K165" s="93">
        <f t="shared" si="44"/>
        <v>277972</v>
      </c>
      <c r="L165" s="93">
        <f t="shared" si="44"/>
        <v>3684442</v>
      </c>
      <c r="M165" s="93">
        <f>M13+M113</f>
        <v>0</v>
      </c>
      <c r="N165" s="93">
        <f t="shared" si="44"/>
        <v>83941517.24000001</v>
      </c>
      <c r="O165" s="93">
        <f t="shared" si="44"/>
        <v>57665337</v>
      </c>
      <c r="P165" s="94">
        <f t="shared" si="44"/>
        <v>79788821</v>
      </c>
      <c r="Q165" s="93">
        <f>Q13+Q113</f>
        <v>0</v>
      </c>
    </row>
    <row r="166" spans="1:17" ht="20.25" customHeight="1">
      <c r="A166" s="809"/>
      <c r="B166" s="810"/>
      <c r="C166" s="92" t="s">
        <v>1</v>
      </c>
      <c r="D166" s="93">
        <f>SUM(E166:P166)</f>
        <v>14637698</v>
      </c>
      <c r="E166" s="93">
        <f>E14+E114</f>
        <v>1201827</v>
      </c>
      <c r="F166" s="93">
        <f t="shared" ref="F166:P166" si="45">F14+F114</f>
        <v>58233</v>
      </c>
      <c r="G166" s="93">
        <f t="shared" si="45"/>
        <v>9885698</v>
      </c>
      <c r="H166" s="93">
        <f t="shared" si="45"/>
        <v>244660</v>
      </c>
      <c r="I166" s="93">
        <f t="shared" si="45"/>
        <v>62278</v>
      </c>
      <c r="J166" s="93">
        <f t="shared" si="45"/>
        <v>0</v>
      </c>
      <c r="K166" s="93">
        <f t="shared" si="45"/>
        <v>0</v>
      </c>
      <c r="L166" s="93">
        <f t="shared" si="45"/>
        <v>0</v>
      </c>
      <c r="M166" s="93">
        <f>M14+M114</f>
        <v>0</v>
      </c>
      <c r="N166" s="93">
        <f t="shared" si="45"/>
        <v>0</v>
      </c>
      <c r="O166" s="93">
        <f t="shared" si="45"/>
        <v>1100356</v>
      </c>
      <c r="P166" s="94">
        <f t="shared" si="45"/>
        <v>2084646</v>
      </c>
      <c r="Q166" s="93">
        <f>Q14+Q114</f>
        <v>0</v>
      </c>
    </row>
    <row r="167" spans="1:17" ht="20.25" customHeight="1">
      <c r="A167" s="811"/>
      <c r="B167" s="812"/>
      <c r="C167" s="92" t="s">
        <v>2</v>
      </c>
      <c r="D167" s="93">
        <f>D165+D166</f>
        <v>2008893787.6799998</v>
      </c>
      <c r="E167" s="93">
        <f>E15+E115</f>
        <v>1398197607.6399999</v>
      </c>
      <c r="F167" s="93">
        <f t="shared" ref="F167:P167" si="46">F165+F166</f>
        <v>25771867</v>
      </c>
      <c r="G167" s="93">
        <f t="shared" si="46"/>
        <v>221972298.80000001</v>
      </c>
      <c r="H167" s="93">
        <f t="shared" si="46"/>
        <v>74748121</v>
      </c>
      <c r="I167" s="93">
        <f t="shared" si="46"/>
        <v>59660802</v>
      </c>
      <c r="J167" s="93">
        <f t="shared" si="46"/>
        <v>0</v>
      </c>
      <c r="K167" s="93">
        <f t="shared" si="46"/>
        <v>277972</v>
      </c>
      <c r="L167" s="93">
        <f t="shared" si="46"/>
        <v>3684442</v>
      </c>
      <c r="M167" s="93">
        <f>M165+M166</f>
        <v>0</v>
      </c>
      <c r="N167" s="93">
        <f t="shared" si="46"/>
        <v>83941517.24000001</v>
      </c>
      <c r="O167" s="93">
        <f t="shared" si="46"/>
        <v>58765693</v>
      </c>
      <c r="P167" s="94">
        <f t="shared" si="46"/>
        <v>81873467</v>
      </c>
      <c r="Q167" s="93">
        <f>Q165+Q166</f>
        <v>0</v>
      </c>
    </row>
    <row r="168" spans="1:17" ht="7.5" customHeight="1">
      <c r="A168" s="81" t="s">
        <v>94</v>
      </c>
      <c r="B168" s="82"/>
      <c r="C168" s="8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</row>
    <row r="169" spans="1:17" ht="11.25" customHeight="1">
      <c r="A169" s="84" t="s">
        <v>0</v>
      </c>
      <c r="B169" s="85" t="s">
        <v>100</v>
      </c>
      <c r="C169" s="86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1:17" ht="11.25" customHeight="1">
      <c r="A170" s="84" t="s">
        <v>1</v>
      </c>
      <c r="B170" s="85" t="s">
        <v>79</v>
      </c>
      <c r="C170" s="86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1:17" ht="11.25" customHeight="1">
      <c r="A171" s="84" t="s">
        <v>2</v>
      </c>
      <c r="B171" s="85" t="s">
        <v>80</v>
      </c>
      <c r="C171" s="86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1:17">
      <c r="D172" s="23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1:17">
      <c r="D173" s="23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1:17">
      <c r="D174" s="23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1:17">
      <c r="D175" s="23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1:17">
      <c r="D176" s="23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4:17">
      <c r="D177" s="23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4:17">
      <c r="D178" s="23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4:17">
      <c r="D179" s="23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4:17">
      <c r="D180" s="23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4:17">
      <c r="D181" s="23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</sheetData>
  <sheetProtection algorithmName="SHA-512" hashValue="uL+wN0TIVT5vdKSf/BbLuK+JGxPu80V/lVDBjTekWLutN5mv8yKWrqZfSB+pHayZSw1dJVW6fXeoYgaRBLBDzA==" saltValue="f7LlqmgESANmMCeh8dfprg==" spinCount="100000" sheet="1" objects="1" scenarios="1"/>
  <mergeCells count="98">
    <mergeCell ref="A5:Q5"/>
    <mergeCell ref="A157:A159"/>
    <mergeCell ref="B157:B159"/>
    <mergeCell ref="A97:A99"/>
    <mergeCell ref="B97:B99"/>
    <mergeCell ref="A29:A31"/>
    <mergeCell ref="B121:B123"/>
    <mergeCell ref="A121:A123"/>
    <mergeCell ref="B85:B87"/>
    <mergeCell ref="B61:B63"/>
    <mergeCell ref="B69:B71"/>
    <mergeCell ref="B73:B75"/>
    <mergeCell ref="B77:B79"/>
    <mergeCell ref="A85:A87"/>
    <mergeCell ref="B81:B83"/>
    <mergeCell ref="A101:A103"/>
    <mergeCell ref="B101:B103"/>
    <mergeCell ref="B105:B107"/>
    <mergeCell ref="A61:A63"/>
    <mergeCell ref="A73:A75"/>
    <mergeCell ref="A77:A79"/>
    <mergeCell ref="B89:B91"/>
    <mergeCell ref="A69:A71"/>
    <mergeCell ref="A81:A83"/>
    <mergeCell ref="A65:A67"/>
    <mergeCell ref="B65:B67"/>
    <mergeCell ref="A117:A119"/>
    <mergeCell ref="A105:A107"/>
    <mergeCell ref="A113:A115"/>
    <mergeCell ref="B113:B115"/>
    <mergeCell ref="B117:B119"/>
    <mergeCell ref="A109:A111"/>
    <mergeCell ref="A165:B167"/>
    <mergeCell ref="A153:A155"/>
    <mergeCell ref="B153:B155"/>
    <mergeCell ref="B161:B163"/>
    <mergeCell ref="A161:A163"/>
    <mergeCell ref="A137:A139"/>
    <mergeCell ref="B137:B139"/>
    <mergeCell ref="A149:A151"/>
    <mergeCell ref="B149:B151"/>
    <mergeCell ref="B57:B59"/>
    <mergeCell ref="A57:A59"/>
    <mergeCell ref="A125:A127"/>
    <mergeCell ref="A129:A131"/>
    <mergeCell ref="B129:B131"/>
    <mergeCell ref="B133:B135"/>
    <mergeCell ref="A133:A135"/>
    <mergeCell ref="B125:B127"/>
    <mergeCell ref="B109:B111"/>
    <mergeCell ref="A89:A91"/>
    <mergeCell ref="A93:A95"/>
    <mergeCell ref="B93:B95"/>
    <mergeCell ref="A41:A43"/>
    <mergeCell ref="B41:B43"/>
    <mergeCell ref="A53:A55"/>
    <mergeCell ref="A49:A51"/>
    <mergeCell ref="A37:A39"/>
    <mergeCell ref="B37:B39"/>
    <mergeCell ref="A45:A47"/>
    <mergeCell ref="B45:B47"/>
    <mergeCell ref="B49:B51"/>
    <mergeCell ref="B53:B55"/>
    <mergeCell ref="A33:A35"/>
    <mergeCell ref="B33:B35"/>
    <mergeCell ref="B29:B31"/>
    <mergeCell ref="A17:A19"/>
    <mergeCell ref="B17:B19"/>
    <mergeCell ref="A25:A27"/>
    <mergeCell ref="B25:B27"/>
    <mergeCell ref="Q9:Q10"/>
    <mergeCell ref="A21:A23"/>
    <mergeCell ref="B21:B23"/>
    <mergeCell ref="B13:B15"/>
    <mergeCell ref="A13:A15"/>
    <mergeCell ref="M9:M10"/>
    <mergeCell ref="C7:C10"/>
    <mergeCell ref="G8:M8"/>
    <mergeCell ref="H9:I9"/>
    <mergeCell ref="J9:J10"/>
    <mergeCell ref="P9:P10"/>
    <mergeCell ref="G9:G10"/>
    <mergeCell ref="A145:A147"/>
    <mergeCell ref="B145:B147"/>
    <mergeCell ref="A141:A143"/>
    <mergeCell ref="B141:B143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</mergeCells>
  <phoneticPr fontId="0" type="noConversion"/>
  <printOptions horizontalCentered="1"/>
  <pageMargins left="0.74803149606299213" right="0.74803149606299213" top="0.98425196850393704" bottom="0.74803149606299213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0F3A-42B6-46F8-8DFC-7DEEA9CC954F}">
  <dimension ref="A1:G53"/>
  <sheetViews>
    <sheetView view="pageBreakPreview" topLeftCell="A38" zoomScaleNormal="100" zoomScaleSheetLayoutView="100" workbookViewId="0">
      <selection activeCell="C52" sqref="C52"/>
    </sheetView>
  </sheetViews>
  <sheetFormatPr defaultRowHeight="12.75"/>
  <cols>
    <col min="1" max="1" width="7.625" style="40" customWidth="1"/>
    <col min="2" max="2" width="6.125" style="31" customWidth="1"/>
    <col min="3" max="3" width="37.375" style="32" customWidth="1"/>
    <col min="4" max="4" width="13.5" style="32" customWidth="1"/>
    <col min="5" max="5" width="12.125" style="32" customWidth="1"/>
    <col min="6" max="6" width="11.625" style="32" customWidth="1"/>
    <col min="7" max="7" width="13.125" style="32" customWidth="1"/>
    <col min="8" max="16384" width="9" style="32"/>
  </cols>
  <sheetData>
    <row r="1" spans="1:7">
      <c r="A1" s="30"/>
      <c r="D1" s="33"/>
      <c r="E1" s="34" t="s">
        <v>134</v>
      </c>
      <c r="F1" s="33"/>
      <c r="G1" s="33"/>
    </row>
    <row r="2" spans="1:7">
      <c r="A2" s="30"/>
      <c r="D2" s="33"/>
      <c r="E2" s="34" t="s">
        <v>129</v>
      </c>
      <c r="F2" s="33"/>
      <c r="G2" s="33"/>
    </row>
    <row r="3" spans="1:7">
      <c r="A3" s="30"/>
      <c r="D3" s="33"/>
      <c r="E3" s="34" t="s">
        <v>130</v>
      </c>
      <c r="F3" s="33"/>
      <c r="G3" s="33"/>
    </row>
    <row r="4" spans="1:7" ht="7.5" customHeight="1">
      <c r="A4" s="30"/>
      <c r="D4" s="33"/>
      <c r="E4" s="33"/>
      <c r="F4" s="33"/>
      <c r="G4" s="33"/>
    </row>
    <row r="5" spans="1:7" ht="48.75" customHeight="1">
      <c r="A5" s="822" t="s">
        <v>104</v>
      </c>
      <c r="B5" s="822"/>
      <c r="C5" s="822"/>
      <c r="D5" s="822"/>
      <c r="E5" s="822"/>
      <c r="F5" s="822"/>
      <c r="G5" s="822"/>
    </row>
    <row r="6" spans="1:7" ht="9.75" customHeight="1">
      <c r="A6" s="30"/>
      <c r="D6" s="33"/>
      <c r="E6" s="33"/>
      <c r="F6" s="33"/>
      <c r="G6" s="128" t="s">
        <v>35</v>
      </c>
    </row>
    <row r="7" spans="1:7" ht="34.5" customHeight="1">
      <c r="A7" s="35" t="s">
        <v>72</v>
      </c>
      <c r="B7" s="35" t="s">
        <v>73</v>
      </c>
      <c r="C7" s="36" t="s">
        <v>74</v>
      </c>
      <c r="D7" s="37" t="s">
        <v>101</v>
      </c>
      <c r="E7" s="37" t="s">
        <v>75</v>
      </c>
      <c r="F7" s="37" t="s">
        <v>76</v>
      </c>
      <c r="G7" s="37" t="s">
        <v>77</v>
      </c>
    </row>
    <row r="8" spans="1:7">
      <c r="A8" s="38" t="s">
        <v>39</v>
      </c>
      <c r="B8" s="38" t="s">
        <v>40</v>
      </c>
      <c r="C8" s="112">
        <v>3</v>
      </c>
      <c r="D8" s="113">
        <v>4</v>
      </c>
      <c r="E8" s="113">
        <v>5</v>
      </c>
      <c r="F8" s="113">
        <v>6</v>
      </c>
      <c r="G8" s="113">
        <v>7</v>
      </c>
    </row>
    <row r="9" spans="1:7" s="39" customFormat="1" ht="19.5" customHeight="1">
      <c r="A9" s="114"/>
      <c r="B9" s="114"/>
      <c r="C9" s="115" t="s">
        <v>78</v>
      </c>
      <c r="D9" s="116">
        <v>1994256089.6800001</v>
      </c>
      <c r="E9" s="117">
        <f>E10+E14+E18+E39+E42+E45+E48</f>
        <v>19944172</v>
      </c>
      <c r="F9" s="117">
        <f>F10+F14+F18+F39+F42+F45+F48</f>
        <v>5306474</v>
      </c>
      <c r="G9" s="117">
        <f>D9+E9-F9</f>
        <v>2008893787.6800001</v>
      </c>
    </row>
    <row r="10" spans="1:7" s="41" customFormat="1" ht="19.5" customHeight="1">
      <c r="A10" s="118">
        <v>600</v>
      </c>
      <c r="B10" s="119" t="s">
        <v>92</v>
      </c>
      <c r="C10" s="99" t="s">
        <v>46</v>
      </c>
      <c r="D10" s="103">
        <v>134269182</v>
      </c>
      <c r="E10" s="103">
        <f>E11</f>
        <v>1146483</v>
      </c>
      <c r="F10" s="103">
        <v>0</v>
      </c>
      <c r="G10" s="103">
        <f>D10+E10-F10</f>
        <v>135415665</v>
      </c>
    </row>
    <row r="11" spans="1:7" s="41" customFormat="1" ht="19.5" customHeight="1">
      <c r="A11" s="120">
        <v>60013</v>
      </c>
      <c r="B11" s="121" t="s">
        <v>92</v>
      </c>
      <c r="C11" s="104" t="s">
        <v>105</v>
      </c>
      <c r="D11" s="100">
        <v>64596523</v>
      </c>
      <c r="E11" s="100">
        <f>SUM(E12:E13)</f>
        <v>1146483</v>
      </c>
      <c r="F11" s="100">
        <v>0</v>
      </c>
      <c r="G11" s="100">
        <f t="shared" ref="G11:G52" si="0">D11+E11-F11</f>
        <v>65743006</v>
      </c>
    </row>
    <row r="12" spans="1:7" s="42" customFormat="1" ht="54.75" customHeight="1">
      <c r="A12" s="122" t="s">
        <v>92</v>
      </c>
      <c r="B12" s="123">
        <v>6290</v>
      </c>
      <c r="C12" s="105" t="s">
        <v>128</v>
      </c>
      <c r="D12" s="101">
        <v>12700816</v>
      </c>
      <c r="E12" s="101">
        <v>686127</v>
      </c>
      <c r="F12" s="101">
        <v>0</v>
      </c>
      <c r="G12" s="101">
        <f t="shared" si="0"/>
        <v>13386943</v>
      </c>
    </row>
    <row r="13" spans="1:7" s="42" customFormat="1" ht="54.75" customHeight="1">
      <c r="A13" s="122" t="s">
        <v>92</v>
      </c>
      <c r="B13" s="123">
        <v>6300</v>
      </c>
      <c r="C13" s="105" t="s">
        <v>106</v>
      </c>
      <c r="D13" s="101">
        <v>5496474</v>
      </c>
      <c r="E13" s="101">
        <v>460356</v>
      </c>
      <c r="F13" s="101">
        <v>0</v>
      </c>
      <c r="G13" s="101">
        <f t="shared" si="0"/>
        <v>5956830</v>
      </c>
    </row>
    <row r="14" spans="1:7" s="41" customFormat="1" ht="15" customHeight="1">
      <c r="A14" s="118">
        <v>750</v>
      </c>
      <c r="B14" s="119" t="s">
        <v>92</v>
      </c>
      <c r="C14" s="106" t="s">
        <v>54</v>
      </c>
      <c r="D14" s="103">
        <v>2392007</v>
      </c>
      <c r="E14" s="103">
        <f>E15</f>
        <v>306938</v>
      </c>
      <c r="F14" s="103">
        <v>0</v>
      </c>
      <c r="G14" s="103">
        <f t="shared" si="0"/>
        <v>2698945</v>
      </c>
    </row>
    <row r="15" spans="1:7" s="41" customFormat="1" ht="15" customHeight="1">
      <c r="A15" s="120">
        <v>75095</v>
      </c>
      <c r="B15" s="121" t="s">
        <v>92</v>
      </c>
      <c r="C15" s="104" t="s">
        <v>103</v>
      </c>
      <c r="D15" s="100">
        <v>1910000</v>
      </c>
      <c r="E15" s="100">
        <f>SUM(E16:E17)</f>
        <v>306938</v>
      </c>
      <c r="F15" s="100">
        <v>0</v>
      </c>
      <c r="G15" s="100">
        <f t="shared" si="0"/>
        <v>2216938</v>
      </c>
    </row>
    <row r="16" spans="1:7" s="42" customFormat="1" ht="83.1" customHeight="1">
      <c r="A16" s="122" t="s">
        <v>92</v>
      </c>
      <c r="B16" s="123">
        <v>2058</v>
      </c>
      <c r="C16" s="105" t="s">
        <v>107</v>
      </c>
      <c r="D16" s="101">
        <v>1243476</v>
      </c>
      <c r="E16" s="101">
        <v>244660</v>
      </c>
      <c r="F16" s="101">
        <v>0</v>
      </c>
      <c r="G16" s="101">
        <f t="shared" si="0"/>
        <v>1488136</v>
      </c>
    </row>
    <row r="17" spans="1:7" s="42" customFormat="1" ht="83.1" customHeight="1">
      <c r="A17" s="122" t="s">
        <v>92</v>
      </c>
      <c r="B17" s="123">
        <v>2059</v>
      </c>
      <c r="C17" s="105" t="s">
        <v>107</v>
      </c>
      <c r="D17" s="101">
        <v>316524</v>
      </c>
      <c r="E17" s="101">
        <v>62278</v>
      </c>
      <c r="F17" s="101">
        <v>0</v>
      </c>
      <c r="G17" s="101">
        <f t="shared" si="0"/>
        <v>378802</v>
      </c>
    </row>
    <row r="18" spans="1:7" s="41" customFormat="1" ht="18.75" customHeight="1">
      <c r="A18" s="118">
        <v>758</v>
      </c>
      <c r="B18" s="119" t="s">
        <v>92</v>
      </c>
      <c r="C18" s="95" t="s">
        <v>58</v>
      </c>
      <c r="D18" s="103">
        <v>955378850.23000002</v>
      </c>
      <c r="E18" s="103">
        <f>E19+E21+E24+E30</f>
        <v>16393999</v>
      </c>
      <c r="F18" s="103">
        <f>F19+F21+F24+F30</f>
        <v>5306474</v>
      </c>
      <c r="G18" s="103">
        <f t="shared" si="0"/>
        <v>966466375.23000002</v>
      </c>
    </row>
    <row r="19" spans="1:7" s="41" customFormat="1" ht="27.75" customHeight="1">
      <c r="A19" s="120">
        <v>75835</v>
      </c>
      <c r="B19" s="121" t="s">
        <v>92</v>
      </c>
      <c r="C19" s="104" t="s">
        <v>108</v>
      </c>
      <c r="D19" s="100">
        <v>0</v>
      </c>
      <c r="E19" s="100">
        <f>E20</f>
        <v>1201827</v>
      </c>
      <c r="F19" s="100">
        <v>0</v>
      </c>
      <c r="G19" s="100">
        <f t="shared" si="0"/>
        <v>1201827</v>
      </c>
    </row>
    <row r="20" spans="1:7" s="42" customFormat="1" ht="16.5" customHeight="1">
      <c r="A20" s="122" t="s">
        <v>92</v>
      </c>
      <c r="B20" s="123">
        <v>2770</v>
      </c>
      <c r="C20" s="105" t="s">
        <v>109</v>
      </c>
      <c r="D20" s="101">
        <v>0</v>
      </c>
      <c r="E20" s="101">
        <v>1201827</v>
      </c>
      <c r="F20" s="101">
        <v>0</v>
      </c>
      <c r="G20" s="101">
        <f t="shared" si="0"/>
        <v>1201827</v>
      </c>
    </row>
    <row r="21" spans="1:7" s="41" customFormat="1" ht="42" customHeight="1">
      <c r="A21" s="120">
        <v>75864</v>
      </c>
      <c r="B21" s="121" t="s">
        <v>92</v>
      </c>
      <c r="C21" s="104" t="s">
        <v>110</v>
      </c>
      <c r="D21" s="100">
        <v>36433</v>
      </c>
      <c r="E21" s="100">
        <f>SUM(E22:E23)</f>
        <v>2450000</v>
      </c>
      <c r="F21" s="100">
        <v>0</v>
      </c>
      <c r="G21" s="100">
        <f t="shared" si="0"/>
        <v>2486433</v>
      </c>
    </row>
    <row r="22" spans="1:7" s="42" customFormat="1" ht="84.75" customHeight="1">
      <c r="A22" s="122" t="s">
        <v>92</v>
      </c>
      <c r="B22" s="123">
        <v>2058</v>
      </c>
      <c r="C22" s="105" t="s">
        <v>107</v>
      </c>
      <c r="D22" s="101">
        <v>0</v>
      </c>
      <c r="E22" s="101">
        <v>2387000</v>
      </c>
      <c r="F22" s="101">
        <v>0</v>
      </c>
      <c r="G22" s="101">
        <f t="shared" si="0"/>
        <v>2387000</v>
      </c>
    </row>
    <row r="23" spans="1:7" s="42" customFormat="1" ht="84.75" customHeight="1">
      <c r="A23" s="122" t="s">
        <v>92</v>
      </c>
      <c r="B23" s="123">
        <v>6258</v>
      </c>
      <c r="C23" s="105" t="s">
        <v>111</v>
      </c>
      <c r="D23" s="101">
        <v>0</v>
      </c>
      <c r="E23" s="101">
        <v>63000</v>
      </c>
      <c r="F23" s="101">
        <v>0</v>
      </c>
      <c r="G23" s="101">
        <f t="shared" si="0"/>
        <v>63000</v>
      </c>
    </row>
    <row r="24" spans="1:7" s="41" customFormat="1" ht="40.5" customHeight="1">
      <c r="A24" s="120">
        <v>75865</v>
      </c>
      <c r="B24" s="121" t="s">
        <v>92</v>
      </c>
      <c r="C24" s="104" t="s">
        <v>112</v>
      </c>
      <c r="D24" s="100">
        <v>191663317</v>
      </c>
      <c r="E24" s="100">
        <f>SUM(E25:E29)</f>
        <v>8283625</v>
      </c>
      <c r="F24" s="100">
        <f>SUM(F25:F29)</f>
        <v>940109</v>
      </c>
      <c r="G24" s="100">
        <f t="shared" si="0"/>
        <v>199006833</v>
      </c>
    </row>
    <row r="25" spans="1:7" s="42" customFormat="1" ht="87" customHeight="1">
      <c r="A25" s="124" t="s">
        <v>92</v>
      </c>
      <c r="B25" s="125">
        <v>2009</v>
      </c>
      <c r="C25" s="107" t="s">
        <v>113</v>
      </c>
      <c r="D25" s="102">
        <v>521479</v>
      </c>
      <c r="E25" s="102">
        <v>0</v>
      </c>
      <c r="F25" s="102">
        <v>30444</v>
      </c>
      <c r="G25" s="102">
        <f t="shared" si="0"/>
        <v>491035</v>
      </c>
    </row>
    <row r="26" spans="1:7" s="42" customFormat="1" ht="81" customHeight="1">
      <c r="A26" s="126" t="s">
        <v>92</v>
      </c>
      <c r="B26" s="127" t="s">
        <v>114</v>
      </c>
      <c r="C26" s="108" t="s">
        <v>107</v>
      </c>
      <c r="D26" s="109">
        <v>33990362</v>
      </c>
      <c r="E26" s="109">
        <v>7469473</v>
      </c>
      <c r="F26" s="109">
        <v>0</v>
      </c>
      <c r="G26" s="109">
        <f t="shared" si="0"/>
        <v>41459835</v>
      </c>
    </row>
    <row r="27" spans="1:7" s="42" customFormat="1" ht="81" customHeight="1">
      <c r="A27" s="122" t="s">
        <v>92</v>
      </c>
      <c r="B27" s="123">
        <v>2059</v>
      </c>
      <c r="C27" s="105" t="s">
        <v>107</v>
      </c>
      <c r="D27" s="101">
        <v>134383</v>
      </c>
      <c r="E27" s="101">
        <v>30444</v>
      </c>
      <c r="F27" s="101">
        <v>0</v>
      </c>
      <c r="G27" s="101">
        <f t="shared" si="0"/>
        <v>164827</v>
      </c>
    </row>
    <row r="28" spans="1:7" s="42" customFormat="1" ht="81" customHeight="1">
      <c r="A28" s="122" t="s">
        <v>92</v>
      </c>
      <c r="B28" s="123">
        <v>6209</v>
      </c>
      <c r="C28" s="105" t="s">
        <v>115</v>
      </c>
      <c r="D28" s="101">
        <v>17916161</v>
      </c>
      <c r="E28" s="101">
        <v>0</v>
      </c>
      <c r="F28" s="101">
        <v>909665</v>
      </c>
      <c r="G28" s="101">
        <f t="shared" si="0"/>
        <v>17006496</v>
      </c>
    </row>
    <row r="29" spans="1:7" s="42" customFormat="1" ht="81" customHeight="1">
      <c r="A29" s="122" t="s">
        <v>92</v>
      </c>
      <c r="B29" s="123">
        <v>6259</v>
      </c>
      <c r="C29" s="105" t="s">
        <v>111</v>
      </c>
      <c r="D29" s="101">
        <v>8665977</v>
      </c>
      <c r="E29" s="101">
        <v>783708</v>
      </c>
      <c r="F29" s="101">
        <v>0</v>
      </c>
      <c r="G29" s="101">
        <f t="shared" si="0"/>
        <v>9449685</v>
      </c>
    </row>
    <row r="30" spans="1:7" s="41" customFormat="1" ht="28.5" customHeight="1">
      <c r="A30" s="120">
        <v>75866</v>
      </c>
      <c r="B30" s="121" t="s">
        <v>92</v>
      </c>
      <c r="C30" s="104" t="s">
        <v>116</v>
      </c>
      <c r="D30" s="100">
        <v>130366162</v>
      </c>
      <c r="E30" s="100">
        <f>SUM(E31:E38)</f>
        <v>4458547</v>
      </c>
      <c r="F30" s="100">
        <f>SUM(F31:F38)</f>
        <v>4366365</v>
      </c>
      <c r="G30" s="100">
        <f t="shared" si="0"/>
        <v>130458344</v>
      </c>
    </row>
    <row r="31" spans="1:7" s="42" customFormat="1" ht="80.25" customHeight="1">
      <c r="A31" s="122" t="s">
        <v>92</v>
      </c>
      <c r="B31" s="123">
        <v>2007</v>
      </c>
      <c r="C31" s="105" t="s">
        <v>113</v>
      </c>
      <c r="D31" s="101">
        <v>24354826</v>
      </c>
      <c r="E31" s="101">
        <v>0</v>
      </c>
      <c r="F31" s="101">
        <v>16365</v>
      </c>
      <c r="G31" s="101">
        <f t="shared" si="0"/>
        <v>24338461</v>
      </c>
    </row>
    <row r="32" spans="1:7" s="42" customFormat="1" ht="80.25" customHeight="1">
      <c r="A32" s="122" t="s">
        <v>92</v>
      </c>
      <c r="B32" s="123">
        <v>2009</v>
      </c>
      <c r="C32" s="105" t="s">
        <v>113</v>
      </c>
      <c r="D32" s="101">
        <v>15669655</v>
      </c>
      <c r="E32" s="101">
        <v>973315</v>
      </c>
      <c r="F32" s="101">
        <v>0</v>
      </c>
      <c r="G32" s="101">
        <f t="shared" si="0"/>
        <v>16642970</v>
      </c>
    </row>
    <row r="33" spans="1:7" s="42" customFormat="1" ht="82.5" customHeight="1">
      <c r="A33" s="122" t="s">
        <v>92</v>
      </c>
      <c r="B33" s="123">
        <v>2057</v>
      </c>
      <c r="C33" s="105" t="s">
        <v>107</v>
      </c>
      <c r="D33" s="101">
        <v>50321401</v>
      </c>
      <c r="E33" s="101">
        <v>3237853</v>
      </c>
      <c r="F33" s="101">
        <v>0</v>
      </c>
      <c r="G33" s="101">
        <f t="shared" si="0"/>
        <v>53559254</v>
      </c>
    </row>
    <row r="34" spans="1:7" s="42" customFormat="1" ht="82.5" customHeight="1">
      <c r="A34" s="122" t="s">
        <v>92</v>
      </c>
      <c r="B34" s="123">
        <v>2058</v>
      </c>
      <c r="C34" s="105" t="s">
        <v>107</v>
      </c>
      <c r="D34" s="101">
        <v>30800000</v>
      </c>
      <c r="E34" s="101">
        <v>0</v>
      </c>
      <c r="F34" s="101">
        <v>2450000</v>
      </c>
      <c r="G34" s="101">
        <f t="shared" si="0"/>
        <v>28350000</v>
      </c>
    </row>
    <row r="35" spans="1:7" s="42" customFormat="1" ht="82.5" customHeight="1">
      <c r="A35" s="122" t="s">
        <v>92</v>
      </c>
      <c r="B35" s="123">
        <v>2059</v>
      </c>
      <c r="C35" s="105" t="s">
        <v>107</v>
      </c>
      <c r="D35" s="101">
        <v>5085280</v>
      </c>
      <c r="E35" s="101">
        <v>247379</v>
      </c>
      <c r="F35" s="101">
        <v>0</v>
      </c>
      <c r="G35" s="101">
        <f t="shared" si="0"/>
        <v>5332659</v>
      </c>
    </row>
    <row r="36" spans="1:7" s="42" customFormat="1" ht="81" customHeight="1">
      <c r="A36" s="124" t="s">
        <v>92</v>
      </c>
      <c r="B36" s="125">
        <v>6209</v>
      </c>
      <c r="C36" s="107" t="s">
        <v>115</v>
      </c>
      <c r="D36" s="102">
        <v>3065000</v>
      </c>
      <c r="E36" s="102">
        <v>0</v>
      </c>
      <c r="F36" s="102">
        <v>1000000</v>
      </c>
      <c r="G36" s="102">
        <f t="shared" si="0"/>
        <v>2065000</v>
      </c>
    </row>
    <row r="37" spans="1:7" s="42" customFormat="1" ht="81.75" customHeight="1">
      <c r="A37" s="126" t="s">
        <v>92</v>
      </c>
      <c r="B37" s="127">
        <v>6257</v>
      </c>
      <c r="C37" s="108" t="s">
        <v>111</v>
      </c>
      <c r="D37" s="109">
        <v>957368</v>
      </c>
      <c r="E37" s="109">
        <v>0</v>
      </c>
      <c r="F37" s="109">
        <v>805263</v>
      </c>
      <c r="G37" s="109">
        <f t="shared" si="0"/>
        <v>152105</v>
      </c>
    </row>
    <row r="38" spans="1:7" s="42" customFormat="1" ht="81.75" customHeight="1">
      <c r="A38" s="122" t="s">
        <v>92</v>
      </c>
      <c r="B38" s="123">
        <v>6259</v>
      </c>
      <c r="C38" s="105" t="s">
        <v>111</v>
      </c>
      <c r="D38" s="101">
        <v>112632</v>
      </c>
      <c r="E38" s="101">
        <v>0</v>
      </c>
      <c r="F38" s="101">
        <v>94737</v>
      </c>
      <c r="G38" s="101">
        <f t="shared" si="0"/>
        <v>17895</v>
      </c>
    </row>
    <row r="39" spans="1:7" s="41" customFormat="1" ht="17.25" customHeight="1">
      <c r="A39" s="118">
        <v>851</v>
      </c>
      <c r="B39" s="119" t="s">
        <v>92</v>
      </c>
      <c r="C39" s="99" t="s">
        <v>62</v>
      </c>
      <c r="D39" s="103">
        <v>31534678</v>
      </c>
      <c r="E39" s="103">
        <f>E40</f>
        <v>1398183</v>
      </c>
      <c r="F39" s="103">
        <v>0</v>
      </c>
      <c r="G39" s="103">
        <f t="shared" si="0"/>
        <v>32932861</v>
      </c>
    </row>
    <row r="40" spans="1:7" s="41" customFormat="1" ht="17.25" customHeight="1">
      <c r="A40" s="120">
        <v>85111</v>
      </c>
      <c r="B40" s="121" t="s">
        <v>92</v>
      </c>
      <c r="C40" s="104" t="s">
        <v>117</v>
      </c>
      <c r="D40" s="100">
        <v>0</v>
      </c>
      <c r="E40" s="100">
        <f>E41</f>
        <v>1398183</v>
      </c>
      <c r="F40" s="100">
        <v>0</v>
      </c>
      <c r="G40" s="100">
        <f t="shared" si="0"/>
        <v>1398183</v>
      </c>
    </row>
    <row r="41" spans="1:7" s="42" customFormat="1" ht="40.5" customHeight="1">
      <c r="A41" s="124" t="s">
        <v>92</v>
      </c>
      <c r="B41" s="125">
        <v>6370</v>
      </c>
      <c r="C41" s="107" t="s">
        <v>118</v>
      </c>
      <c r="D41" s="102">
        <v>0</v>
      </c>
      <c r="E41" s="102">
        <v>1398183</v>
      </c>
      <c r="F41" s="102">
        <v>0</v>
      </c>
      <c r="G41" s="102">
        <f t="shared" si="0"/>
        <v>1398183</v>
      </c>
    </row>
    <row r="42" spans="1:7" s="41" customFormat="1" ht="27.75" customHeight="1">
      <c r="A42" s="118">
        <v>853</v>
      </c>
      <c r="B42" s="119" t="s">
        <v>92</v>
      </c>
      <c r="C42" s="96" t="s">
        <v>21</v>
      </c>
      <c r="D42" s="103">
        <v>11373019.5</v>
      </c>
      <c r="E42" s="103">
        <f>E43</f>
        <v>42000</v>
      </c>
      <c r="F42" s="103">
        <v>0</v>
      </c>
      <c r="G42" s="103">
        <f t="shared" si="0"/>
        <v>11415019.5</v>
      </c>
    </row>
    <row r="43" spans="1:7" s="41" customFormat="1" ht="17.25" customHeight="1">
      <c r="A43" s="120">
        <v>85325</v>
      </c>
      <c r="B43" s="121" t="s">
        <v>92</v>
      </c>
      <c r="C43" s="104" t="s">
        <v>119</v>
      </c>
      <c r="D43" s="100">
        <v>1706000</v>
      </c>
      <c r="E43" s="100">
        <f>E44</f>
        <v>42000</v>
      </c>
      <c r="F43" s="100">
        <v>0</v>
      </c>
      <c r="G43" s="100">
        <f t="shared" si="0"/>
        <v>1748000</v>
      </c>
    </row>
    <row r="44" spans="1:7" s="42" customFormat="1" ht="17.25" customHeight="1">
      <c r="A44" s="122" t="s">
        <v>92</v>
      </c>
      <c r="B44" s="123" t="s">
        <v>120</v>
      </c>
      <c r="C44" s="105" t="s">
        <v>121</v>
      </c>
      <c r="D44" s="101">
        <v>1706000</v>
      </c>
      <c r="E44" s="101">
        <v>42000</v>
      </c>
      <c r="F44" s="101">
        <v>0</v>
      </c>
      <c r="G44" s="101">
        <f t="shared" si="0"/>
        <v>1748000</v>
      </c>
    </row>
    <row r="45" spans="1:7" s="41" customFormat="1" ht="17.25" customHeight="1">
      <c r="A45" s="118">
        <v>921</v>
      </c>
      <c r="B45" s="119" t="s">
        <v>92</v>
      </c>
      <c r="C45" s="106" t="s">
        <v>68</v>
      </c>
      <c r="D45" s="103">
        <v>49590505</v>
      </c>
      <c r="E45" s="103">
        <f>E46</f>
        <v>640000</v>
      </c>
      <c r="F45" s="103">
        <v>0</v>
      </c>
      <c r="G45" s="103">
        <f t="shared" si="0"/>
        <v>50230505</v>
      </c>
    </row>
    <row r="46" spans="1:7" s="41" customFormat="1" ht="17.25" customHeight="1">
      <c r="A46" s="120">
        <v>92105</v>
      </c>
      <c r="B46" s="121" t="s">
        <v>92</v>
      </c>
      <c r="C46" s="104" t="s">
        <v>122</v>
      </c>
      <c r="D46" s="100">
        <v>0</v>
      </c>
      <c r="E46" s="100">
        <f>E47</f>
        <v>640000</v>
      </c>
      <c r="F46" s="100">
        <v>0</v>
      </c>
      <c r="G46" s="100">
        <f t="shared" si="0"/>
        <v>640000</v>
      </c>
    </row>
    <row r="47" spans="1:7" s="42" customFormat="1" ht="56.25" customHeight="1">
      <c r="A47" s="122" t="s">
        <v>92</v>
      </c>
      <c r="B47" s="123">
        <v>2710</v>
      </c>
      <c r="C47" s="105" t="s">
        <v>123</v>
      </c>
      <c r="D47" s="101">
        <v>0</v>
      </c>
      <c r="E47" s="101">
        <v>640000</v>
      </c>
      <c r="F47" s="101">
        <v>0</v>
      </c>
      <c r="G47" s="101">
        <f t="shared" si="0"/>
        <v>640000</v>
      </c>
    </row>
    <row r="48" spans="1:7" s="41" customFormat="1" ht="42" customHeight="1">
      <c r="A48" s="118">
        <v>925</v>
      </c>
      <c r="B48" s="119" t="s">
        <v>92</v>
      </c>
      <c r="C48" s="106" t="s">
        <v>69</v>
      </c>
      <c r="D48" s="103">
        <v>2553938</v>
      </c>
      <c r="E48" s="103">
        <f>E49</f>
        <v>16569</v>
      </c>
      <c r="F48" s="103">
        <v>0</v>
      </c>
      <c r="G48" s="103">
        <f t="shared" si="0"/>
        <v>2570507</v>
      </c>
    </row>
    <row r="49" spans="1:7" s="41" customFormat="1" ht="16.5" customHeight="1">
      <c r="A49" s="120">
        <v>92502</v>
      </c>
      <c r="B49" s="121" t="s">
        <v>92</v>
      </c>
      <c r="C49" s="104" t="s">
        <v>124</v>
      </c>
      <c r="D49" s="100">
        <v>2553938</v>
      </c>
      <c r="E49" s="100">
        <f>SUM(E50:E52)</f>
        <v>16569</v>
      </c>
      <c r="F49" s="100">
        <v>0</v>
      </c>
      <c r="G49" s="100">
        <f t="shared" si="0"/>
        <v>2570507</v>
      </c>
    </row>
    <row r="50" spans="1:7" s="42" customFormat="1" ht="27.75" customHeight="1">
      <c r="A50" s="122" t="s">
        <v>92</v>
      </c>
      <c r="B50" s="123" t="s">
        <v>125</v>
      </c>
      <c r="C50" s="105" t="s">
        <v>126</v>
      </c>
      <c r="D50" s="101">
        <v>0</v>
      </c>
      <c r="E50" s="101">
        <v>9963</v>
      </c>
      <c r="F50" s="101">
        <v>0</v>
      </c>
      <c r="G50" s="101">
        <f t="shared" si="0"/>
        <v>9963</v>
      </c>
    </row>
    <row r="51" spans="1:7" s="42" customFormat="1" ht="17.25" customHeight="1">
      <c r="A51" s="122" t="s">
        <v>92</v>
      </c>
      <c r="B51" s="123" t="s">
        <v>120</v>
      </c>
      <c r="C51" s="105" t="s">
        <v>121</v>
      </c>
      <c r="D51" s="101">
        <v>60000</v>
      </c>
      <c r="E51" s="101">
        <v>6270</v>
      </c>
      <c r="F51" s="101">
        <v>0</v>
      </c>
      <c r="G51" s="101">
        <f t="shared" si="0"/>
        <v>66270</v>
      </c>
    </row>
    <row r="52" spans="1:7" s="42" customFormat="1" ht="59.25" customHeight="1">
      <c r="A52" s="124" t="s">
        <v>92</v>
      </c>
      <c r="B52" s="125">
        <v>2460</v>
      </c>
      <c r="C52" s="107" t="s">
        <v>127</v>
      </c>
      <c r="D52" s="102">
        <v>11025</v>
      </c>
      <c r="E52" s="102">
        <v>336</v>
      </c>
      <c r="F52" s="102">
        <v>0</v>
      </c>
      <c r="G52" s="102">
        <f t="shared" si="0"/>
        <v>11361</v>
      </c>
    </row>
    <row r="53" spans="1:7" s="42" customFormat="1">
      <c r="A53" s="98"/>
      <c r="B53" s="31"/>
      <c r="D53" s="97"/>
      <c r="E53" s="97"/>
      <c r="F53" s="97"/>
      <c r="G53" s="97"/>
    </row>
  </sheetData>
  <sheetProtection algorithmName="SHA-512" hashValue="nRMd7WKn3IJpWSpUK4ZxmodvzBLi6jq+42pdXQRyg3QrLDHibdgMe0+pbOmL/L1cTP9f/ts7GCXWRINWDDyQZg==" saltValue="DGkVlElFmOY3CVatwGkI5Q==" spinCount="100000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BE30-1CD7-4566-A1E4-1CFFFB322A30}">
  <dimension ref="A1:IV409"/>
  <sheetViews>
    <sheetView view="pageBreakPreview" topLeftCell="A362" zoomScaleNormal="100" zoomScaleSheetLayoutView="100" workbookViewId="0">
      <selection activeCell="D406" sqref="D406"/>
    </sheetView>
  </sheetViews>
  <sheetFormatPr defaultRowHeight="12.75"/>
  <cols>
    <col min="1" max="1" width="7" style="129" customWidth="1"/>
    <col min="2" max="2" width="31.5" style="130" customWidth="1"/>
    <col min="3" max="3" width="3" style="131" customWidth="1"/>
    <col min="4" max="4" width="14.875" style="132" customWidth="1"/>
    <col min="5" max="5" width="15" style="132" customWidth="1"/>
    <col min="6" max="6" width="13.625" style="132" customWidth="1"/>
    <col min="7" max="7" width="13.25" style="132" customWidth="1"/>
    <col min="8" max="8" width="13.375" style="132" customWidth="1"/>
    <col min="9" max="9" width="13.25" style="132" customWidth="1"/>
    <col min="10" max="10" width="11.25" style="132" customWidth="1"/>
    <col min="11" max="11" width="13.375" style="132" customWidth="1"/>
    <col min="12" max="12" width="13.5" style="132" customWidth="1"/>
    <col min="13" max="13" width="13.75" style="132" customWidth="1"/>
    <col min="14" max="14" width="14.25" style="132" customWidth="1"/>
    <col min="15" max="15" width="13.75" style="132" customWidth="1"/>
    <col min="16" max="16" width="13.375" style="132" customWidth="1"/>
    <col min="17" max="256" width="9" style="132"/>
    <col min="257" max="257" width="7" style="132" customWidth="1"/>
    <col min="258" max="258" width="31.5" style="132" customWidth="1"/>
    <col min="259" max="259" width="3" style="132" customWidth="1"/>
    <col min="260" max="260" width="14.875" style="132" customWidth="1"/>
    <col min="261" max="261" width="15" style="132" customWidth="1"/>
    <col min="262" max="262" width="13.625" style="132" customWidth="1"/>
    <col min="263" max="263" width="13.25" style="132" customWidth="1"/>
    <col min="264" max="264" width="13.375" style="132" customWidth="1"/>
    <col min="265" max="265" width="13.25" style="132" customWidth="1"/>
    <col min="266" max="266" width="11.25" style="132" customWidth="1"/>
    <col min="267" max="267" width="13.375" style="132" customWidth="1"/>
    <col min="268" max="268" width="13.5" style="132" customWidth="1"/>
    <col min="269" max="269" width="13.75" style="132" customWidth="1"/>
    <col min="270" max="270" width="14.25" style="132" customWidth="1"/>
    <col min="271" max="271" width="13.75" style="132" customWidth="1"/>
    <col min="272" max="272" width="13.375" style="132" customWidth="1"/>
    <col min="273" max="512" width="9" style="132"/>
    <col min="513" max="513" width="7" style="132" customWidth="1"/>
    <col min="514" max="514" width="31.5" style="132" customWidth="1"/>
    <col min="515" max="515" width="3" style="132" customWidth="1"/>
    <col min="516" max="516" width="14.875" style="132" customWidth="1"/>
    <col min="517" max="517" width="15" style="132" customWidth="1"/>
    <col min="518" max="518" width="13.625" style="132" customWidth="1"/>
    <col min="519" max="519" width="13.25" style="132" customWidth="1"/>
    <col min="520" max="520" width="13.375" style="132" customWidth="1"/>
    <col min="521" max="521" width="13.25" style="132" customWidth="1"/>
    <col min="522" max="522" width="11.25" style="132" customWidth="1"/>
    <col min="523" max="523" width="13.375" style="132" customWidth="1"/>
    <col min="524" max="524" width="13.5" style="132" customWidth="1"/>
    <col min="525" max="525" width="13.75" style="132" customWidth="1"/>
    <col min="526" max="526" width="14.25" style="132" customWidth="1"/>
    <col min="527" max="527" width="13.75" style="132" customWidth="1"/>
    <col min="528" max="528" width="13.375" style="132" customWidth="1"/>
    <col min="529" max="768" width="9" style="132"/>
    <col min="769" max="769" width="7" style="132" customWidth="1"/>
    <col min="770" max="770" width="31.5" style="132" customWidth="1"/>
    <col min="771" max="771" width="3" style="132" customWidth="1"/>
    <col min="772" max="772" width="14.875" style="132" customWidth="1"/>
    <col min="773" max="773" width="15" style="132" customWidth="1"/>
    <col min="774" max="774" width="13.625" style="132" customWidth="1"/>
    <col min="775" max="775" width="13.25" style="132" customWidth="1"/>
    <col min="776" max="776" width="13.375" style="132" customWidth="1"/>
    <col min="777" max="777" width="13.25" style="132" customWidth="1"/>
    <col min="778" max="778" width="11.25" style="132" customWidth="1"/>
    <col min="779" max="779" width="13.375" style="132" customWidth="1"/>
    <col min="780" max="780" width="13.5" style="132" customWidth="1"/>
    <col min="781" max="781" width="13.75" style="132" customWidth="1"/>
    <col min="782" max="782" width="14.25" style="132" customWidth="1"/>
    <col min="783" max="783" width="13.75" style="132" customWidth="1"/>
    <col min="784" max="784" width="13.375" style="132" customWidth="1"/>
    <col min="785" max="1024" width="9" style="132"/>
    <col min="1025" max="1025" width="7" style="132" customWidth="1"/>
    <col min="1026" max="1026" width="31.5" style="132" customWidth="1"/>
    <col min="1027" max="1027" width="3" style="132" customWidth="1"/>
    <col min="1028" max="1028" width="14.875" style="132" customWidth="1"/>
    <col min="1029" max="1029" width="15" style="132" customWidth="1"/>
    <col min="1030" max="1030" width="13.625" style="132" customWidth="1"/>
    <col min="1031" max="1031" width="13.25" style="132" customWidth="1"/>
    <col min="1032" max="1032" width="13.375" style="132" customWidth="1"/>
    <col min="1033" max="1033" width="13.25" style="132" customWidth="1"/>
    <col min="1034" max="1034" width="11.25" style="132" customWidth="1"/>
    <col min="1035" max="1035" width="13.375" style="132" customWidth="1"/>
    <col min="1036" max="1036" width="13.5" style="132" customWidth="1"/>
    <col min="1037" max="1037" width="13.75" style="132" customWidth="1"/>
    <col min="1038" max="1038" width="14.25" style="132" customWidth="1"/>
    <col min="1039" max="1039" width="13.75" style="132" customWidth="1"/>
    <col min="1040" max="1040" width="13.375" style="132" customWidth="1"/>
    <col min="1041" max="1280" width="9" style="132"/>
    <col min="1281" max="1281" width="7" style="132" customWidth="1"/>
    <col min="1282" max="1282" width="31.5" style="132" customWidth="1"/>
    <col min="1283" max="1283" width="3" style="132" customWidth="1"/>
    <col min="1284" max="1284" width="14.875" style="132" customWidth="1"/>
    <col min="1285" max="1285" width="15" style="132" customWidth="1"/>
    <col min="1286" max="1286" width="13.625" style="132" customWidth="1"/>
    <col min="1287" max="1287" width="13.25" style="132" customWidth="1"/>
    <col min="1288" max="1288" width="13.375" style="132" customWidth="1"/>
    <col min="1289" max="1289" width="13.25" style="132" customWidth="1"/>
    <col min="1290" max="1290" width="11.25" style="132" customWidth="1"/>
    <col min="1291" max="1291" width="13.375" style="132" customWidth="1"/>
    <col min="1292" max="1292" width="13.5" style="132" customWidth="1"/>
    <col min="1293" max="1293" width="13.75" style="132" customWidth="1"/>
    <col min="1294" max="1294" width="14.25" style="132" customWidth="1"/>
    <col min="1295" max="1295" width="13.75" style="132" customWidth="1"/>
    <col min="1296" max="1296" width="13.375" style="132" customWidth="1"/>
    <col min="1297" max="1536" width="9" style="132"/>
    <col min="1537" max="1537" width="7" style="132" customWidth="1"/>
    <col min="1538" max="1538" width="31.5" style="132" customWidth="1"/>
    <col min="1539" max="1539" width="3" style="132" customWidth="1"/>
    <col min="1540" max="1540" width="14.875" style="132" customWidth="1"/>
    <col min="1541" max="1541" width="15" style="132" customWidth="1"/>
    <col min="1542" max="1542" width="13.625" style="132" customWidth="1"/>
    <col min="1543" max="1543" width="13.25" style="132" customWidth="1"/>
    <col min="1544" max="1544" width="13.375" style="132" customWidth="1"/>
    <col min="1545" max="1545" width="13.25" style="132" customWidth="1"/>
    <col min="1546" max="1546" width="11.25" style="132" customWidth="1"/>
    <col min="1547" max="1547" width="13.375" style="132" customWidth="1"/>
    <col min="1548" max="1548" width="13.5" style="132" customWidth="1"/>
    <col min="1549" max="1549" width="13.75" style="132" customWidth="1"/>
    <col min="1550" max="1550" width="14.25" style="132" customWidth="1"/>
    <col min="1551" max="1551" width="13.75" style="132" customWidth="1"/>
    <col min="1552" max="1552" width="13.375" style="132" customWidth="1"/>
    <col min="1553" max="1792" width="9" style="132"/>
    <col min="1793" max="1793" width="7" style="132" customWidth="1"/>
    <col min="1794" max="1794" width="31.5" style="132" customWidth="1"/>
    <col min="1795" max="1795" width="3" style="132" customWidth="1"/>
    <col min="1796" max="1796" width="14.875" style="132" customWidth="1"/>
    <col min="1797" max="1797" width="15" style="132" customWidth="1"/>
    <col min="1798" max="1798" width="13.625" style="132" customWidth="1"/>
    <col min="1799" max="1799" width="13.25" style="132" customWidth="1"/>
    <col min="1800" max="1800" width="13.375" style="132" customWidth="1"/>
    <col min="1801" max="1801" width="13.25" style="132" customWidth="1"/>
    <col min="1802" max="1802" width="11.25" style="132" customWidth="1"/>
    <col min="1803" max="1803" width="13.375" style="132" customWidth="1"/>
    <col min="1804" max="1804" width="13.5" style="132" customWidth="1"/>
    <col min="1805" max="1805" width="13.75" style="132" customWidth="1"/>
    <col min="1806" max="1806" width="14.25" style="132" customWidth="1"/>
    <col min="1807" max="1807" width="13.75" style="132" customWidth="1"/>
    <col min="1808" max="1808" width="13.375" style="132" customWidth="1"/>
    <col min="1809" max="2048" width="9" style="132"/>
    <col min="2049" max="2049" width="7" style="132" customWidth="1"/>
    <col min="2050" max="2050" width="31.5" style="132" customWidth="1"/>
    <col min="2051" max="2051" width="3" style="132" customWidth="1"/>
    <col min="2052" max="2052" width="14.875" style="132" customWidth="1"/>
    <col min="2053" max="2053" width="15" style="132" customWidth="1"/>
    <col min="2054" max="2054" width="13.625" style="132" customWidth="1"/>
    <col min="2055" max="2055" width="13.25" style="132" customWidth="1"/>
    <col min="2056" max="2056" width="13.375" style="132" customWidth="1"/>
    <col min="2057" max="2057" width="13.25" style="132" customWidth="1"/>
    <col min="2058" max="2058" width="11.25" style="132" customWidth="1"/>
    <col min="2059" max="2059" width="13.375" style="132" customWidth="1"/>
    <col min="2060" max="2060" width="13.5" style="132" customWidth="1"/>
    <col min="2061" max="2061" width="13.75" style="132" customWidth="1"/>
    <col min="2062" max="2062" width="14.25" style="132" customWidth="1"/>
    <col min="2063" max="2063" width="13.75" style="132" customWidth="1"/>
    <col min="2064" max="2064" width="13.375" style="132" customWidth="1"/>
    <col min="2065" max="2304" width="9" style="132"/>
    <col min="2305" max="2305" width="7" style="132" customWidth="1"/>
    <col min="2306" max="2306" width="31.5" style="132" customWidth="1"/>
    <col min="2307" max="2307" width="3" style="132" customWidth="1"/>
    <col min="2308" max="2308" width="14.875" style="132" customWidth="1"/>
    <col min="2309" max="2309" width="15" style="132" customWidth="1"/>
    <col min="2310" max="2310" width="13.625" style="132" customWidth="1"/>
    <col min="2311" max="2311" width="13.25" style="132" customWidth="1"/>
    <col min="2312" max="2312" width="13.375" style="132" customWidth="1"/>
    <col min="2313" max="2313" width="13.25" style="132" customWidth="1"/>
    <col min="2314" max="2314" width="11.25" style="132" customWidth="1"/>
    <col min="2315" max="2315" width="13.375" style="132" customWidth="1"/>
    <col min="2316" max="2316" width="13.5" style="132" customWidth="1"/>
    <col min="2317" max="2317" width="13.75" style="132" customWidth="1"/>
    <col min="2318" max="2318" width="14.25" style="132" customWidth="1"/>
    <col min="2319" max="2319" width="13.75" style="132" customWidth="1"/>
    <col min="2320" max="2320" width="13.375" style="132" customWidth="1"/>
    <col min="2321" max="2560" width="9" style="132"/>
    <col min="2561" max="2561" width="7" style="132" customWidth="1"/>
    <col min="2562" max="2562" width="31.5" style="132" customWidth="1"/>
    <col min="2563" max="2563" width="3" style="132" customWidth="1"/>
    <col min="2564" max="2564" width="14.875" style="132" customWidth="1"/>
    <col min="2565" max="2565" width="15" style="132" customWidth="1"/>
    <col min="2566" max="2566" width="13.625" style="132" customWidth="1"/>
    <col min="2567" max="2567" width="13.25" style="132" customWidth="1"/>
    <col min="2568" max="2568" width="13.375" style="132" customWidth="1"/>
    <col min="2569" max="2569" width="13.25" style="132" customWidth="1"/>
    <col min="2570" max="2570" width="11.25" style="132" customWidth="1"/>
    <col min="2571" max="2571" width="13.375" style="132" customWidth="1"/>
    <col min="2572" max="2572" width="13.5" style="132" customWidth="1"/>
    <col min="2573" max="2573" width="13.75" style="132" customWidth="1"/>
    <col min="2574" max="2574" width="14.25" style="132" customWidth="1"/>
    <col min="2575" max="2575" width="13.75" style="132" customWidth="1"/>
    <col min="2576" max="2576" width="13.375" style="132" customWidth="1"/>
    <col min="2577" max="2816" width="9" style="132"/>
    <col min="2817" max="2817" width="7" style="132" customWidth="1"/>
    <col min="2818" max="2818" width="31.5" style="132" customWidth="1"/>
    <col min="2819" max="2819" width="3" style="132" customWidth="1"/>
    <col min="2820" max="2820" width="14.875" style="132" customWidth="1"/>
    <col min="2821" max="2821" width="15" style="132" customWidth="1"/>
    <col min="2822" max="2822" width="13.625" style="132" customWidth="1"/>
    <col min="2823" max="2823" width="13.25" style="132" customWidth="1"/>
    <col min="2824" max="2824" width="13.375" style="132" customWidth="1"/>
    <col min="2825" max="2825" width="13.25" style="132" customWidth="1"/>
    <col min="2826" max="2826" width="11.25" style="132" customWidth="1"/>
    <col min="2827" max="2827" width="13.375" style="132" customWidth="1"/>
    <col min="2828" max="2828" width="13.5" style="132" customWidth="1"/>
    <col min="2829" max="2829" width="13.75" style="132" customWidth="1"/>
    <col min="2830" max="2830" width="14.25" style="132" customWidth="1"/>
    <col min="2831" max="2831" width="13.75" style="132" customWidth="1"/>
    <col min="2832" max="2832" width="13.375" style="132" customWidth="1"/>
    <col min="2833" max="3072" width="9" style="132"/>
    <col min="3073" max="3073" width="7" style="132" customWidth="1"/>
    <col min="3074" max="3074" width="31.5" style="132" customWidth="1"/>
    <col min="3075" max="3075" width="3" style="132" customWidth="1"/>
    <col min="3076" max="3076" width="14.875" style="132" customWidth="1"/>
    <col min="3077" max="3077" width="15" style="132" customWidth="1"/>
    <col min="3078" max="3078" width="13.625" style="132" customWidth="1"/>
    <col min="3079" max="3079" width="13.25" style="132" customWidth="1"/>
    <col min="3080" max="3080" width="13.375" style="132" customWidth="1"/>
    <col min="3081" max="3081" width="13.25" style="132" customWidth="1"/>
    <col min="3082" max="3082" width="11.25" style="132" customWidth="1"/>
    <col min="3083" max="3083" width="13.375" style="132" customWidth="1"/>
    <col min="3084" max="3084" width="13.5" style="132" customWidth="1"/>
    <col min="3085" max="3085" width="13.75" style="132" customWidth="1"/>
    <col min="3086" max="3086" width="14.25" style="132" customWidth="1"/>
    <col min="3087" max="3087" width="13.75" style="132" customWidth="1"/>
    <col min="3088" max="3088" width="13.375" style="132" customWidth="1"/>
    <col min="3089" max="3328" width="9" style="132"/>
    <col min="3329" max="3329" width="7" style="132" customWidth="1"/>
    <col min="3330" max="3330" width="31.5" style="132" customWidth="1"/>
    <col min="3331" max="3331" width="3" style="132" customWidth="1"/>
    <col min="3332" max="3332" width="14.875" style="132" customWidth="1"/>
    <col min="3333" max="3333" width="15" style="132" customWidth="1"/>
    <col min="3334" max="3334" width="13.625" style="132" customWidth="1"/>
    <col min="3335" max="3335" width="13.25" style="132" customWidth="1"/>
    <col min="3336" max="3336" width="13.375" style="132" customWidth="1"/>
    <col min="3337" max="3337" width="13.25" style="132" customWidth="1"/>
    <col min="3338" max="3338" width="11.25" style="132" customWidth="1"/>
    <col min="3339" max="3339" width="13.375" style="132" customWidth="1"/>
    <col min="3340" max="3340" width="13.5" style="132" customWidth="1"/>
    <col min="3341" max="3341" width="13.75" style="132" customWidth="1"/>
    <col min="3342" max="3342" width="14.25" style="132" customWidth="1"/>
    <col min="3343" max="3343" width="13.75" style="132" customWidth="1"/>
    <col min="3344" max="3344" width="13.375" style="132" customWidth="1"/>
    <col min="3345" max="3584" width="9" style="132"/>
    <col min="3585" max="3585" width="7" style="132" customWidth="1"/>
    <col min="3586" max="3586" width="31.5" style="132" customWidth="1"/>
    <col min="3587" max="3587" width="3" style="132" customWidth="1"/>
    <col min="3588" max="3588" width="14.875" style="132" customWidth="1"/>
    <col min="3589" max="3589" width="15" style="132" customWidth="1"/>
    <col min="3590" max="3590" width="13.625" style="132" customWidth="1"/>
    <col min="3591" max="3591" width="13.25" style="132" customWidth="1"/>
    <col min="3592" max="3592" width="13.375" style="132" customWidth="1"/>
    <col min="3593" max="3593" width="13.25" style="132" customWidth="1"/>
    <col min="3594" max="3594" width="11.25" style="132" customWidth="1"/>
    <col min="3595" max="3595" width="13.375" style="132" customWidth="1"/>
    <col min="3596" max="3596" width="13.5" style="132" customWidth="1"/>
    <col min="3597" max="3597" width="13.75" style="132" customWidth="1"/>
    <col min="3598" max="3598" width="14.25" style="132" customWidth="1"/>
    <col min="3599" max="3599" width="13.75" style="132" customWidth="1"/>
    <col min="3600" max="3600" width="13.375" style="132" customWidth="1"/>
    <col min="3601" max="3840" width="9" style="132"/>
    <col min="3841" max="3841" width="7" style="132" customWidth="1"/>
    <col min="3842" max="3842" width="31.5" style="132" customWidth="1"/>
    <col min="3843" max="3843" width="3" style="132" customWidth="1"/>
    <col min="3844" max="3844" width="14.875" style="132" customWidth="1"/>
    <col min="3845" max="3845" width="15" style="132" customWidth="1"/>
    <col min="3846" max="3846" width="13.625" style="132" customWidth="1"/>
    <col min="3847" max="3847" width="13.25" style="132" customWidth="1"/>
    <col min="3848" max="3848" width="13.375" style="132" customWidth="1"/>
    <col min="3849" max="3849" width="13.25" style="132" customWidth="1"/>
    <col min="3850" max="3850" width="11.25" style="132" customWidth="1"/>
    <col min="3851" max="3851" width="13.375" style="132" customWidth="1"/>
    <col min="3852" max="3852" width="13.5" style="132" customWidth="1"/>
    <col min="3853" max="3853" width="13.75" style="132" customWidth="1"/>
    <col min="3854" max="3854" width="14.25" style="132" customWidth="1"/>
    <col min="3855" max="3855" width="13.75" style="132" customWidth="1"/>
    <col min="3856" max="3856" width="13.375" style="132" customWidth="1"/>
    <col min="3857" max="4096" width="9" style="132"/>
    <col min="4097" max="4097" width="7" style="132" customWidth="1"/>
    <col min="4098" max="4098" width="31.5" style="132" customWidth="1"/>
    <col min="4099" max="4099" width="3" style="132" customWidth="1"/>
    <col min="4100" max="4100" width="14.875" style="132" customWidth="1"/>
    <col min="4101" max="4101" width="15" style="132" customWidth="1"/>
    <col min="4102" max="4102" width="13.625" style="132" customWidth="1"/>
    <col min="4103" max="4103" width="13.25" style="132" customWidth="1"/>
    <col min="4104" max="4104" width="13.375" style="132" customWidth="1"/>
    <col min="4105" max="4105" width="13.25" style="132" customWidth="1"/>
    <col min="4106" max="4106" width="11.25" style="132" customWidth="1"/>
    <col min="4107" max="4107" width="13.375" style="132" customWidth="1"/>
    <col min="4108" max="4108" width="13.5" style="132" customWidth="1"/>
    <col min="4109" max="4109" width="13.75" style="132" customWidth="1"/>
    <col min="4110" max="4110" width="14.25" style="132" customWidth="1"/>
    <col min="4111" max="4111" width="13.75" style="132" customWidth="1"/>
    <col min="4112" max="4112" width="13.375" style="132" customWidth="1"/>
    <col min="4113" max="4352" width="9" style="132"/>
    <col min="4353" max="4353" width="7" style="132" customWidth="1"/>
    <col min="4354" max="4354" width="31.5" style="132" customWidth="1"/>
    <col min="4355" max="4355" width="3" style="132" customWidth="1"/>
    <col min="4356" max="4356" width="14.875" style="132" customWidth="1"/>
    <col min="4357" max="4357" width="15" style="132" customWidth="1"/>
    <col min="4358" max="4358" width="13.625" style="132" customWidth="1"/>
    <col min="4359" max="4359" width="13.25" style="132" customWidth="1"/>
    <col min="4360" max="4360" width="13.375" style="132" customWidth="1"/>
    <col min="4361" max="4361" width="13.25" style="132" customWidth="1"/>
    <col min="4362" max="4362" width="11.25" style="132" customWidth="1"/>
    <col min="4363" max="4363" width="13.375" style="132" customWidth="1"/>
    <col min="4364" max="4364" width="13.5" style="132" customWidth="1"/>
    <col min="4365" max="4365" width="13.75" style="132" customWidth="1"/>
    <col min="4366" max="4366" width="14.25" style="132" customWidth="1"/>
    <col min="4367" max="4367" width="13.75" style="132" customWidth="1"/>
    <col min="4368" max="4368" width="13.375" style="132" customWidth="1"/>
    <col min="4369" max="4608" width="9" style="132"/>
    <col min="4609" max="4609" width="7" style="132" customWidth="1"/>
    <col min="4610" max="4610" width="31.5" style="132" customWidth="1"/>
    <col min="4611" max="4611" width="3" style="132" customWidth="1"/>
    <col min="4612" max="4612" width="14.875" style="132" customWidth="1"/>
    <col min="4613" max="4613" width="15" style="132" customWidth="1"/>
    <col min="4614" max="4614" width="13.625" style="132" customWidth="1"/>
    <col min="4615" max="4615" width="13.25" style="132" customWidth="1"/>
    <col min="4616" max="4616" width="13.375" style="132" customWidth="1"/>
    <col min="4617" max="4617" width="13.25" style="132" customWidth="1"/>
    <col min="4618" max="4618" width="11.25" style="132" customWidth="1"/>
    <col min="4619" max="4619" width="13.375" style="132" customWidth="1"/>
    <col min="4620" max="4620" width="13.5" style="132" customWidth="1"/>
    <col min="4621" max="4621" width="13.75" style="132" customWidth="1"/>
    <col min="4622" max="4622" width="14.25" style="132" customWidth="1"/>
    <col min="4623" max="4623" width="13.75" style="132" customWidth="1"/>
    <col min="4624" max="4624" width="13.375" style="132" customWidth="1"/>
    <col min="4625" max="4864" width="9" style="132"/>
    <col min="4865" max="4865" width="7" style="132" customWidth="1"/>
    <col min="4866" max="4866" width="31.5" style="132" customWidth="1"/>
    <col min="4867" max="4867" width="3" style="132" customWidth="1"/>
    <col min="4868" max="4868" width="14.875" style="132" customWidth="1"/>
    <col min="4869" max="4869" width="15" style="132" customWidth="1"/>
    <col min="4870" max="4870" width="13.625" style="132" customWidth="1"/>
    <col min="4871" max="4871" width="13.25" style="132" customWidth="1"/>
    <col min="4872" max="4872" width="13.375" style="132" customWidth="1"/>
    <col min="4873" max="4873" width="13.25" style="132" customWidth="1"/>
    <col min="4874" max="4874" width="11.25" style="132" customWidth="1"/>
    <col min="4875" max="4875" width="13.375" style="132" customWidth="1"/>
    <col min="4876" max="4876" width="13.5" style="132" customWidth="1"/>
    <col min="4877" max="4877" width="13.75" style="132" customWidth="1"/>
    <col min="4878" max="4878" width="14.25" style="132" customWidth="1"/>
    <col min="4879" max="4879" width="13.75" style="132" customWidth="1"/>
    <col min="4880" max="4880" width="13.375" style="132" customWidth="1"/>
    <col min="4881" max="5120" width="9" style="132"/>
    <col min="5121" max="5121" width="7" style="132" customWidth="1"/>
    <col min="5122" max="5122" width="31.5" style="132" customWidth="1"/>
    <col min="5123" max="5123" width="3" style="132" customWidth="1"/>
    <col min="5124" max="5124" width="14.875" style="132" customWidth="1"/>
    <col min="5125" max="5125" width="15" style="132" customWidth="1"/>
    <col min="5126" max="5126" width="13.625" style="132" customWidth="1"/>
    <col min="5127" max="5127" width="13.25" style="132" customWidth="1"/>
    <col min="5128" max="5128" width="13.375" style="132" customWidth="1"/>
    <col min="5129" max="5129" width="13.25" style="132" customWidth="1"/>
    <col min="5130" max="5130" width="11.25" style="132" customWidth="1"/>
    <col min="5131" max="5131" width="13.375" style="132" customWidth="1"/>
    <col min="5132" max="5132" width="13.5" style="132" customWidth="1"/>
    <col min="5133" max="5133" width="13.75" style="132" customWidth="1"/>
    <col min="5134" max="5134" width="14.25" style="132" customWidth="1"/>
    <col min="5135" max="5135" width="13.75" style="132" customWidth="1"/>
    <col min="5136" max="5136" width="13.375" style="132" customWidth="1"/>
    <col min="5137" max="5376" width="9" style="132"/>
    <col min="5377" max="5377" width="7" style="132" customWidth="1"/>
    <col min="5378" max="5378" width="31.5" style="132" customWidth="1"/>
    <col min="5379" max="5379" width="3" style="132" customWidth="1"/>
    <col min="5380" max="5380" width="14.875" style="132" customWidth="1"/>
    <col min="5381" max="5381" width="15" style="132" customWidth="1"/>
    <col min="5382" max="5382" width="13.625" style="132" customWidth="1"/>
    <col min="5383" max="5383" width="13.25" style="132" customWidth="1"/>
    <col min="5384" max="5384" width="13.375" style="132" customWidth="1"/>
    <col min="5385" max="5385" width="13.25" style="132" customWidth="1"/>
    <col min="5386" max="5386" width="11.25" style="132" customWidth="1"/>
    <col min="5387" max="5387" width="13.375" style="132" customWidth="1"/>
    <col min="5388" max="5388" width="13.5" style="132" customWidth="1"/>
    <col min="5389" max="5389" width="13.75" style="132" customWidth="1"/>
    <col min="5390" max="5390" width="14.25" style="132" customWidth="1"/>
    <col min="5391" max="5391" width="13.75" style="132" customWidth="1"/>
    <col min="5392" max="5392" width="13.375" style="132" customWidth="1"/>
    <col min="5393" max="5632" width="9" style="132"/>
    <col min="5633" max="5633" width="7" style="132" customWidth="1"/>
    <col min="5634" max="5634" width="31.5" style="132" customWidth="1"/>
    <col min="5635" max="5635" width="3" style="132" customWidth="1"/>
    <col min="5636" max="5636" width="14.875" style="132" customWidth="1"/>
    <col min="5637" max="5637" width="15" style="132" customWidth="1"/>
    <col min="5638" max="5638" width="13.625" style="132" customWidth="1"/>
    <col min="5639" max="5639" width="13.25" style="132" customWidth="1"/>
    <col min="5640" max="5640" width="13.375" style="132" customWidth="1"/>
    <col min="5641" max="5641" width="13.25" style="132" customWidth="1"/>
    <col min="5642" max="5642" width="11.25" style="132" customWidth="1"/>
    <col min="5643" max="5643" width="13.375" style="132" customWidth="1"/>
    <col min="5644" max="5644" width="13.5" style="132" customWidth="1"/>
    <col min="5645" max="5645" width="13.75" style="132" customWidth="1"/>
    <col min="5646" max="5646" width="14.25" style="132" customWidth="1"/>
    <col min="5647" max="5647" width="13.75" style="132" customWidth="1"/>
    <col min="5648" max="5648" width="13.375" style="132" customWidth="1"/>
    <col min="5649" max="5888" width="9" style="132"/>
    <col min="5889" max="5889" width="7" style="132" customWidth="1"/>
    <col min="5890" max="5890" width="31.5" style="132" customWidth="1"/>
    <col min="5891" max="5891" width="3" style="132" customWidth="1"/>
    <col min="5892" max="5892" width="14.875" style="132" customWidth="1"/>
    <col min="5893" max="5893" width="15" style="132" customWidth="1"/>
    <col min="5894" max="5894" width="13.625" style="132" customWidth="1"/>
    <col min="5895" max="5895" width="13.25" style="132" customWidth="1"/>
    <col min="5896" max="5896" width="13.375" style="132" customWidth="1"/>
    <col min="5897" max="5897" width="13.25" style="132" customWidth="1"/>
    <col min="5898" max="5898" width="11.25" style="132" customWidth="1"/>
    <col min="5899" max="5899" width="13.375" style="132" customWidth="1"/>
    <col min="5900" max="5900" width="13.5" style="132" customWidth="1"/>
    <col min="5901" max="5901" width="13.75" style="132" customWidth="1"/>
    <col min="5902" max="5902" width="14.25" style="132" customWidth="1"/>
    <col min="5903" max="5903" width="13.75" style="132" customWidth="1"/>
    <col min="5904" max="5904" width="13.375" style="132" customWidth="1"/>
    <col min="5905" max="6144" width="9" style="132"/>
    <col min="6145" max="6145" width="7" style="132" customWidth="1"/>
    <col min="6146" max="6146" width="31.5" style="132" customWidth="1"/>
    <col min="6147" max="6147" width="3" style="132" customWidth="1"/>
    <col min="6148" max="6148" width="14.875" style="132" customWidth="1"/>
    <col min="6149" max="6149" width="15" style="132" customWidth="1"/>
    <col min="6150" max="6150" width="13.625" style="132" customWidth="1"/>
    <col min="6151" max="6151" width="13.25" style="132" customWidth="1"/>
    <col min="6152" max="6152" width="13.375" style="132" customWidth="1"/>
    <col min="6153" max="6153" width="13.25" style="132" customWidth="1"/>
    <col min="6154" max="6154" width="11.25" style="132" customWidth="1"/>
    <col min="6155" max="6155" width="13.375" style="132" customWidth="1"/>
    <col min="6156" max="6156" width="13.5" style="132" customWidth="1"/>
    <col min="6157" max="6157" width="13.75" style="132" customWidth="1"/>
    <col min="6158" max="6158" width="14.25" style="132" customWidth="1"/>
    <col min="6159" max="6159" width="13.75" style="132" customWidth="1"/>
    <col min="6160" max="6160" width="13.375" style="132" customWidth="1"/>
    <col min="6161" max="6400" width="9" style="132"/>
    <col min="6401" max="6401" width="7" style="132" customWidth="1"/>
    <col min="6402" max="6402" width="31.5" style="132" customWidth="1"/>
    <col min="6403" max="6403" width="3" style="132" customWidth="1"/>
    <col min="6404" max="6404" width="14.875" style="132" customWidth="1"/>
    <col min="6405" max="6405" width="15" style="132" customWidth="1"/>
    <col min="6406" max="6406" width="13.625" style="132" customWidth="1"/>
    <col min="6407" max="6407" width="13.25" style="132" customWidth="1"/>
    <col min="6408" max="6408" width="13.375" style="132" customWidth="1"/>
    <col min="6409" max="6409" width="13.25" style="132" customWidth="1"/>
    <col min="6410" max="6410" width="11.25" style="132" customWidth="1"/>
    <col min="6411" max="6411" width="13.375" style="132" customWidth="1"/>
    <col min="6412" max="6412" width="13.5" style="132" customWidth="1"/>
    <col min="6413" max="6413" width="13.75" style="132" customWidth="1"/>
    <col min="6414" max="6414" width="14.25" style="132" customWidth="1"/>
    <col min="6415" max="6415" width="13.75" style="132" customWidth="1"/>
    <col min="6416" max="6416" width="13.375" style="132" customWidth="1"/>
    <col min="6417" max="6656" width="9" style="132"/>
    <col min="6657" max="6657" width="7" style="132" customWidth="1"/>
    <col min="6658" max="6658" width="31.5" style="132" customWidth="1"/>
    <col min="6659" max="6659" width="3" style="132" customWidth="1"/>
    <col min="6660" max="6660" width="14.875" style="132" customWidth="1"/>
    <col min="6661" max="6661" width="15" style="132" customWidth="1"/>
    <col min="6662" max="6662" width="13.625" style="132" customWidth="1"/>
    <col min="6663" max="6663" width="13.25" style="132" customWidth="1"/>
    <col min="6664" max="6664" width="13.375" style="132" customWidth="1"/>
    <col min="6665" max="6665" width="13.25" style="132" customWidth="1"/>
    <col min="6666" max="6666" width="11.25" style="132" customWidth="1"/>
    <col min="6667" max="6667" width="13.375" style="132" customWidth="1"/>
    <col min="6668" max="6668" width="13.5" style="132" customWidth="1"/>
    <col min="6669" max="6669" width="13.75" style="132" customWidth="1"/>
    <col min="6670" max="6670" width="14.25" style="132" customWidth="1"/>
    <col min="6671" max="6671" width="13.75" style="132" customWidth="1"/>
    <col min="6672" max="6672" width="13.375" style="132" customWidth="1"/>
    <col min="6673" max="6912" width="9" style="132"/>
    <col min="6913" max="6913" width="7" style="132" customWidth="1"/>
    <col min="6914" max="6914" width="31.5" style="132" customWidth="1"/>
    <col min="6915" max="6915" width="3" style="132" customWidth="1"/>
    <col min="6916" max="6916" width="14.875" style="132" customWidth="1"/>
    <col min="6917" max="6917" width="15" style="132" customWidth="1"/>
    <col min="6918" max="6918" width="13.625" style="132" customWidth="1"/>
    <col min="6919" max="6919" width="13.25" style="132" customWidth="1"/>
    <col min="6920" max="6920" width="13.375" style="132" customWidth="1"/>
    <col min="6921" max="6921" width="13.25" style="132" customWidth="1"/>
    <col min="6922" max="6922" width="11.25" style="132" customWidth="1"/>
    <col min="6923" max="6923" width="13.375" style="132" customWidth="1"/>
    <col min="6924" max="6924" width="13.5" style="132" customWidth="1"/>
    <col min="6925" max="6925" width="13.75" style="132" customWidth="1"/>
    <col min="6926" max="6926" width="14.25" style="132" customWidth="1"/>
    <col min="6927" max="6927" width="13.75" style="132" customWidth="1"/>
    <col min="6928" max="6928" width="13.375" style="132" customWidth="1"/>
    <col min="6929" max="7168" width="9" style="132"/>
    <col min="7169" max="7169" width="7" style="132" customWidth="1"/>
    <col min="7170" max="7170" width="31.5" style="132" customWidth="1"/>
    <col min="7171" max="7171" width="3" style="132" customWidth="1"/>
    <col min="7172" max="7172" width="14.875" style="132" customWidth="1"/>
    <col min="7173" max="7173" width="15" style="132" customWidth="1"/>
    <col min="7174" max="7174" width="13.625" style="132" customWidth="1"/>
    <col min="7175" max="7175" width="13.25" style="132" customWidth="1"/>
    <col min="7176" max="7176" width="13.375" style="132" customWidth="1"/>
    <col min="7177" max="7177" width="13.25" style="132" customWidth="1"/>
    <col min="7178" max="7178" width="11.25" style="132" customWidth="1"/>
    <col min="7179" max="7179" width="13.375" style="132" customWidth="1"/>
    <col min="7180" max="7180" width="13.5" style="132" customWidth="1"/>
    <col min="7181" max="7181" width="13.75" style="132" customWidth="1"/>
    <col min="7182" max="7182" width="14.25" style="132" customWidth="1"/>
    <col min="7183" max="7183" width="13.75" style="132" customWidth="1"/>
    <col min="7184" max="7184" width="13.375" style="132" customWidth="1"/>
    <col min="7185" max="7424" width="9" style="132"/>
    <col min="7425" max="7425" width="7" style="132" customWidth="1"/>
    <col min="7426" max="7426" width="31.5" style="132" customWidth="1"/>
    <col min="7427" max="7427" width="3" style="132" customWidth="1"/>
    <col min="7428" max="7428" width="14.875" style="132" customWidth="1"/>
    <col min="7429" max="7429" width="15" style="132" customWidth="1"/>
    <col min="7430" max="7430" width="13.625" style="132" customWidth="1"/>
    <col min="7431" max="7431" width="13.25" style="132" customWidth="1"/>
    <col min="7432" max="7432" width="13.375" style="132" customWidth="1"/>
    <col min="7433" max="7433" width="13.25" style="132" customWidth="1"/>
    <col min="7434" max="7434" width="11.25" style="132" customWidth="1"/>
    <col min="7435" max="7435" width="13.375" style="132" customWidth="1"/>
    <col min="7436" max="7436" width="13.5" style="132" customWidth="1"/>
    <col min="7437" max="7437" width="13.75" style="132" customWidth="1"/>
    <col min="7438" max="7438" width="14.25" style="132" customWidth="1"/>
    <col min="7439" max="7439" width="13.75" style="132" customWidth="1"/>
    <col min="7440" max="7440" width="13.375" style="132" customWidth="1"/>
    <col min="7441" max="7680" width="9" style="132"/>
    <col min="7681" max="7681" width="7" style="132" customWidth="1"/>
    <col min="7682" max="7682" width="31.5" style="132" customWidth="1"/>
    <col min="7683" max="7683" width="3" style="132" customWidth="1"/>
    <col min="7684" max="7684" width="14.875" style="132" customWidth="1"/>
    <col min="7685" max="7685" width="15" style="132" customWidth="1"/>
    <col min="7686" max="7686" width="13.625" style="132" customWidth="1"/>
    <col min="7687" max="7687" width="13.25" style="132" customWidth="1"/>
    <col min="7688" max="7688" width="13.375" style="132" customWidth="1"/>
    <col min="7689" max="7689" width="13.25" style="132" customWidth="1"/>
    <col min="7690" max="7690" width="11.25" style="132" customWidth="1"/>
    <col min="7691" max="7691" width="13.375" style="132" customWidth="1"/>
    <col min="7692" max="7692" width="13.5" style="132" customWidth="1"/>
    <col min="7693" max="7693" width="13.75" style="132" customWidth="1"/>
    <col min="7694" max="7694" width="14.25" style="132" customWidth="1"/>
    <col min="7695" max="7695" width="13.75" style="132" customWidth="1"/>
    <col min="7696" max="7696" width="13.375" style="132" customWidth="1"/>
    <col min="7697" max="7936" width="9" style="132"/>
    <col min="7937" max="7937" width="7" style="132" customWidth="1"/>
    <col min="7938" max="7938" width="31.5" style="132" customWidth="1"/>
    <col min="7939" max="7939" width="3" style="132" customWidth="1"/>
    <col min="7940" max="7940" width="14.875" style="132" customWidth="1"/>
    <col min="7941" max="7941" width="15" style="132" customWidth="1"/>
    <col min="7942" max="7942" width="13.625" style="132" customWidth="1"/>
    <col min="7943" max="7943" width="13.25" style="132" customWidth="1"/>
    <col min="7944" max="7944" width="13.375" style="132" customWidth="1"/>
    <col min="7945" max="7945" width="13.25" style="132" customWidth="1"/>
    <col min="7946" max="7946" width="11.25" style="132" customWidth="1"/>
    <col min="7947" max="7947" width="13.375" style="132" customWidth="1"/>
    <col min="7948" max="7948" width="13.5" style="132" customWidth="1"/>
    <col min="7949" max="7949" width="13.75" style="132" customWidth="1"/>
    <col min="7950" max="7950" width="14.25" style="132" customWidth="1"/>
    <col min="7951" max="7951" width="13.75" style="132" customWidth="1"/>
    <col min="7952" max="7952" width="13.375" style="132" customWidth="1"/>
    <col min="7953" max="8192" width="9" style="132"/>
    <col min="8193" max="8193" width="7" style="132" customWidth="1"/>
    <col min="8194" max="8194" width="31.5" style="132" customWidth="1"/>
    <col min="8195" max="8195" width="3" style="132" customWidth="1"/>
    <col min="8196" max="8196" width="14.875" style="132" customWidth="1"/>
    <col min="8197" max="8197" width="15" style="132" customWidth="1"/>
    <col min="8198" max="8198" width="13.625" style="132" customWidth="1"/>
    <col min="8199" max="8199" width="13.25" style="132" customWidth="1"/>
    <col min="8200" max="8200" width="13.375" style="132" customWidth="1"/>
    <col min="8201" max="8201" width="13.25" style="132" customWidth="1"/>
    <col min="8202" max="8202" width="11.25" style="132" customWidth="1"/>
    <col min="8203" max="8203" width="13.375" style="132" customWidth="1"/>
    <col min="8204" max="8204" width="13.5" style="132" customWidth="1"/>
    <col min="8205" max="8205" width="13.75" style="132" customWidth="1"/>
    <col min="8206" max="8206" width="14.25" style="132" customWidth="1"/>
    <col min="8207" max="8207" width="13.75" style="132" customWidth="1"/>
    <col min="8208" max="8208" width="13.375" style="132" customWidth="1"/>
    <col min="8209" max="8448" width="9" style="132"/>
    <col min="8449" max="8449" width="7" style="132" customWidth="1"/>
    <col min="8450" max="8450" width="31.5" style="132" customWidth="1"/>
    <col min="8451" max="8451" width="3" style="132" customWidth="1"/>
    <col min="8452" max="8452" width="14.875" style="132" customWidth="1"/>
    <col min="8453" max="8453" width="15" style="132" customWidth="1"/>
    <col min="8454" max="8454" width="13.625" style="132" customWidth="1"/>
    <col min="8455" max="8455" width="13.25" style="132" customWidth="1"/>
    <col min="8456" max="8456" width="13.375" style="132" customWidth="1"/>
    <col min="8457" max="8457" width="13.25" style="132" customWidth="1"/>
    <col min="8458" max="8458" width="11.25" style="132" customWidth="1"/>
    <col min="8459" max="8459" width="13.375" style="132" customWidth="1"/>
    <col min="8460" max="8460" width="13.5" style="132" customWidth="1"/>
    <col min="8461" max="8461" width="13.75" style="132" customWidth="1"/>
    <col min="8462" max="8462" width="14.25" style="132" customWidth="1"/>
    <col min="8463" max="8463" width="13.75" style="132" customWidth="1"/>
    <col min="8464" max="8464" width="13.375" style="132" customWidth="1"/>
    <col min="8465" max="8704" width="9" style="132"/>
    <col min="8705" max="8705" width="7" style="132" customWidth="1"/>
    <col min="8706" max="8706" width="31.5" style="132" customWidth="1"/>
    <col min="8707" max="8707" width="3" style="132" customWidth="1"/>
    <col min="8708" max="8708" width="14.875" style="132" customWidth="1"/>
    <col min="8709" max="8709" width="15" style="132" customWidth="1"/>
    <col min="8710" max="8710" width="13.625" style="132" customWidth="1"/>
    <col min="8711" max="8711" width="13.25" style="132" customWidth="1"/>
    <col min="8712" max="8712" width="13.375" style="132" customWidth="1"/>
    <col min="8713" max="8713" width="13.25" style="132" customWidth="1"/>
    <col min="8714" max="8714" width="11.25" style="132" customWidth="1"/>
    <col min="8715" max="8715" width="13.375" style="132" customWidth="1"/>
    <col min="8716" max="8716" width="13.5" style="132" customWidth="1"/>
    <col min="8717" max="8717" width="13.75" style="132" customWidth="1"/>
    <col min="8718" max="8718" width="14.25" style="132" customWidth="1"/>
    <col min="8719" max="8719" width="13.75" style="132" customWidth="1"/>
    <col min="8720" max="8720" width="13.375" style="132" customWidth="1"/>
    <col min="8721" max="8960" width="9" style="132"/>
    <col min="8961" max="8961" width="7" style="132" customWidth="1"/>
    <col min="8962" max="8962" width="31.5" style="132" customWidth="1"/>
    <col min="8963" max="8963" width="3" style="132" customWidth="1"/>
    <col min="8964" max="8964" width="14.875" style="132" customWidth="1"/>
    <col min="8965" max="8965" width="15" style="132" customWidth="1"/>
    <col min="8966" max="8966" width="13.625" style="132" customWidth="1"/>
    <col min="8967" max="8967" width="13.25" style="132" customWidth="1"/>
    <col min="8968" max="8968" width="13.375" style="132" customWidth="1"/>
    <col min="8969" max="8969" width="13.25" style="132" customWidth="1"/>
    <col min="8970" max="8970" width="11.25" style="132" customWidth="1"/>
    <col min="8971" max="8971" width="13.375" style="132" customWidth="1"/>
    <col min="8972" max="8972" width="13.5" style="132" customWidth="1"/>
    <col min="8973" max="8973" width="13.75" style="132" customWidth="1"/>
    <col min="8974" max="8974" width="14.25" style="132" customWidth="1"/>
    <col min="8975" max="8975" width="13.75" style="132" customWidth="1"/>
    <col min="8976" max="8976" width="13.375" style="132" customWidth="1"/>
    <col min="8977" max="9216" width="9" style="132"/>
    <col min="9217" max="9217" width="7" style="132" customWidth="1"/>
    <col min="9218" max="9218" width="31.5" style="132" customWidth="1"/>
    <col min="9219" max="9219" width="3" style="132" customWidth="1"/>
    <col min="9220" max="9220" width="14.875" style="132" customWidth="1"/>
    <col min="9221" max="9221" width="15" style="132" customWidth="1"/>
    <col min="9222" max="9222" width="13.625" style="132" customWidth="1"/>
    <col min="9223" max="9223" width="13.25" style="132" customWidth="1"/>
    <col min="9224" max="9224" width="13.375" style="132" customWidth="1"/>
    <col min="9225" max="9225" width="13.25" style="132" customWidth="1"/>
    <col min="9226" max="9226" width="11.25" style="132" customWidth="1"/>
    <col min="9227" max="9227" width="13.375" style="132" customWidth="1"/>
    <col min="9228" max="9228" width="13.5" style="132" customWidth="1"/>
    <col min="9229" max="9229" width="13.75" style="132" customWidth="1"/>
    <col min="9230" max="9230" width="14.25" style="132" customWidth="1"/>
    <col min="9231" max="9231" width="13.75" style="132" customWidth="1"/>
    <col min="9232" max="9232" width="13.375" style="132" customWidth="1"/>
    <col min="9233" max="9472" width="9" style="132"/>
    <col min="9473" max="9473" width="7" style="132" customWidth="1"/>
    <col min="9474" max="9474" width="31.5" style="132" customWidth="1"/>
    <col min="9475" max="9475" width="3" style="132" customWidth="1"/>
    <col min="9476" max="9476" width="14.875" style="132" customWidth="1"/>
    <col min="9477" max="9477" width="15" style="132" customWidth="1"/>
    <col min="9478" max="9478" width="13.625" style="132" customWidth="1"/>
    <col min="9479" max="9479" width="13.25" style="132" customWidth="1"/>
    <col min="9480" max="9480" width="13.375" style="132" customWidth="1"/>
    <col min="9481" max="9481" width="13.25" style="132" customWidth="1"/>
    <col min="9482" max="9482" width="11.25" style="132" customWidth="1"/>
    <col min="9483" max="9483" width="13.375" style="132" customWidth="1"/>
    <col min="9484" max="9484" width="13.5" style="132" customWidth="1"/>
    <col min="9485" max="9485" width="13.75" style="132" customWidth="1"/>
    <col min="9486" max="9486" width="14.25" style="132" customWidth="1"/>
    <col min="9487" max="9487" width="13.75" style="132" customWidth="1"/>
    <col min="9488" max="9488" width="13.375" style="132" customWidth="1"/>
    <col min="9489" max="9728" width="9" style="132"/>
    <col min="9729" max="9729" width="7" style="132" customWidth="1"/>
    <col min="9730" max="9730" width="31.5" style="132" customWidth="1"/>
    <col min="9731" max="9731" width="3" style="132" customWidth="1"/>
    <col min="9732" max="9732" width="14.875" style="132" customWidth="1"/>
    <col min="9733" max="9733" width="15" style="132" customWidth="1"/>
    <col min="9734" max="9734" width="13.625" style="132" customWidth="1"/>
    <col min="9735" max="9735" width="13.25" style="132" customWidth="1"/>
    <col min="9736" max="9736" width="13.375" style="132" customWidth="1"/>
    <col min="9737" max="9737" width="13.25" style="132" customWidth="1"/>
    <col min="9738" max="9738" width="11.25" style="132" customWidth="1"/>
    <col min="9739" max="9739" width="13.375" style="132" customWidth="1"/>
    <col min="9740" max="9740" width="13.5" style="132" customWidth="1"/>
    <col min="9741" max="9741" width="13.75" style="132" customWidth="1"/>
    <col min="9742" max="9742" width="14.25" style="132" customWidth="1"/>
    <col min="9743" max="9743" width="13.75" style="132" customWidth="1"/>
    <col min="9744" max="9744" width="13.375" style="132" customWidth="1"/>
    <col min="9745" max="9984" width="9" style="132"/>
    <col min="9985" max="9985" width="7" style="132" customWidth="1"/>
    <col min="9986" max="9986" width="31.5" style="132" customWidth="1"/>
    <col min="9987" max="9987" width="3" style="132" customWidth="1"/>
    <col min="9988" max="9988" width="14.875" style="132" customWidth="1"/>
    <col min="9989" max="9989" width="15" style="132" customWidth="1"/>
    <col min="9990" max="9990" width="13.625" style="132" customWidth="1"/>
    <col min="9991" max="9991" width="13.25" style="132" customWidth="1"/>
    <col min="9992" max="9992" width="13.375" style="132" customWidth="1"/>
    <col min="9993" max="9993" width="13.25" style="132" customWidth="1"/>
    <col min="9994" max="9994" width="11.25" style="132" customWidth="1"/>
    <col min="9995" max="9995" width="13.375" style="132" customWidth="1"/>
    <col min="9996" max="9996" width="13.5" style="132" customWidth="1"/>
    <col min="9997" max="9997" width="13.75" style="132" customWidth="1"/>
    <col min="9998" max="9998" width="14.25" style="132" customWidth="1"/>
    <col min="9999" max="9999" width="13.75" style="132" customWidth="1"/>
    <col min="10000" max="10000" width="13.375" style="132" customWidth="1"/>
    <col min="10001" max="10240" width="9" style="132"/>
    <col min="10241" max="10241" width="7" style="132" customWidth="1"/>
    <col min="10242" max="10242" width="31.5" style="132" customWidth="1"/>
    <col min="10243" max="10243" width="3" style="132" customWidth="1"/>
    <col min="10244" max="10244" width="14.875" style="132" customWidth="1"/>
    <col min="10245" max="10245" width="15" style="132" customWidth="1"/>
    <col min="10246" max="10246" width="13.625" style="132" customWidth="1"/>
    <col min="10247" max="10247" width="13.25" style="132" customWidth="1"/>
    <col min="10248" max="10248" width="13.375" style="132" customWidth="1"/>
    <col min="10249" max="10249" width="13.25" style="132" customWidth="1"/>
    <col min="10250" max="10250" width="11.25" style="132" customWidth="1"/>
    <col min="10251" max="10251" width="13.375" style="132" customWidth="1"/>
    <col min="10252" max="10252" width="13.5" style="132" customWidth="1"/>
    <col min="10253" max="10253" width="13.75" style="132" customWidth="1"/>
    <col min="10254" max="10254" width="14.25" style="132" customWidth="1"/>
    <col min="10255" max="10255" width="13.75" style="132" customWidth="1"/>
    <col min="10256" max="10256" width="13.375" style="132" customWidth="1"/>
    <col min="10257" max="10496" width="9" style="132"/>
    <col min="10497" max="10497" width="7" style="132" customWidth="1"/>
    <col min="10498" max="10498" width="31.5" style="132" customWidth="1"/>
    <col min="10499" max="10499" width="3" style="132" customWidth="1"/>
    <col min="10500" max="10500" width="14.875" style="132" customWidth="1"/>
    <col min="10501" max="10501" width="15" style="132" customWidth="1"/>
    <col min="10502" max="10502" width="13.625" style="132" customWidth="1"/>
    <col min="10503" max="10503" width="13.25" style="132" customWidth="1"/>
    <col min="10504" max="10504" width="13.375" style="132" customWidth="1"/>
    <col min="10505" max="10505" width="13.25" style="132" customWidth="1"/>
    <col min="10506" max="10506" width="11.25" style="132" customWidth="1"/>
    <col min="10507" max="10507" width="13.375" style="132" customWidth="1"/>
    <col min="10508" max="10508" width="13.5" style="132" customWidth="1"/>
    <col min="10509" max="10509" width="13.75" style="132" customWidth="1"/>
    <col min="10510" max="10510" width="14.25" style="132" customWidth="1"/>
    <col min="10511" max="10511" width="13.75" style="132" customWidth="1"/>
    <col min="10512" max="10512" width="13.375" style="132" customWidth="1"/>
    <col min="10513" max="10752" width="9" style="132"/>
    <col min="10753" max="10753" width="7" style="132" customWidth="1"/>
    <col min="10754" max="10754" width="31.5" style="132" customWidth="1"/>
    <col min="10755" max="10755" width="3" style="132" customWidth="1"/>
    <col min="10756" max="10756" width="14.875" style="132" customWidth="1"/>
    <col min="10757" max="10757" width="15" style="132" customWidth="1"/>
    <col min="10758" max="10758" width="13.625" style="132" customWidth="1"/>
    <col min="10759" max="10759" width="13.25" style="132" customWidth="1"/>
    <col min="10760" max="10760" width="13.375" style="132" customWidth="1"/>
    <col min="10761" max="10761" width="13.25" style="132" customWidth="1"/>
    <col min="10762" max="10762" width="11.25" style="132" customWidth="1"/>
    <col min="10763" max="10763" width="13.375" style="132" customWidth="1"/>
    <col min="10764" max="10764" width="13.5" style="132" customWidth="1"/>
    <col min="10765" max="10765" width="13.75" style="132" customWidth="1"/>
    <col min="10766" max="10766" width="14.25" style="132" customWidth="1"/>
    <col min="10767" max="10767" width="13.75" style="132" customWidth="1"/>
    <col min="10768" max="10768" width="13.375" style="132" customWidth="1"/>
    <col min="10769" max="11008" width="9" style="132"/>
    <col min="11009" max="11009" width="7" style="132" customWidth="1"/>
    <col min="11010" max="11010" width="31.5" style="132" customWidth="1"/>
    <col min="11011" max="11011" width="3" style="132" customWidth="1"/>
    <col min="11012" max="11012" width="14.875" style="132" customWidth="1"/>
    <col min="11013" max="11013" width="15" style="132" customWidth="1"/>
    <col min="11014" max="11014" width="13.625" style="132" customWidth="1"/>
    <col min="11015" max="11015" width="13.25" style="132" customWidth="1"/>
    <col min="11016" max="11016" width="13.375" style="132" customWidth="1"/>
    <col min="11017" max="11017" width="13.25" style="132" customWidth="1"/>
    <col min="11018" max="11018" width="11.25" style="132" customWidth="1"/>
    <col min="11019" max="11019" width="13.375" style="132" customWidth="1"/>
    <col min="11020" max="11020" width="13.5" style="132" customWidth="1"/>
    <col min="11021" max="11021" width="13.75" style="132" customWidth="1"/>
    <col min="11022" max="11022" width="14.25" style="132" customWidth="1"/>
    <col min="11023" max="11023" width="13.75" style="132" customWidth="1"/>
    <col min="11024" max="11024" width="13.375" style="132" customWidth="1"/>
    <col min="11025" max="11264" width="9" style="132"/>
    <col min="11265" max="11265" width="7" style="132" customWidth="1"/>
    <col min="11266" max="11266" width="31.5" style="132" customWidth="1"/>
    <col min="11267" max="11267" width="3" style="132" customWidth="1"/>
    <col min="11268" max="11268" width="14.875" style="132" customWidth="1"/>
    <col min="11269" max="11269" width="15" style="132" customWidth="1"/>
    <col min="11270" max="11270" width="13.625" style="132" customWidth="1"/>
    <col min="11271" max="11271" width="13.25" style="132" customWidth="1"/>
    <col min="11272" max="11272" width="13.375" style="132" customWidth="1"/>
    <col min="11273" max="11273" width="13.25" style="132" customWidth="1"/>
    <col min="11274" max="11274" width="11.25" style="132" customWidth="1"/>
    <col min="11275" max="11275" width="13.375" style="132" customWidth="1"/>
    <col min="11276" max="11276" width="13.5" style="132" customWidth="1"/>
    <col min="11277" max="11277" width="13.75" style="132" customWidth="1"/>
    <col min="11278" max="11278" width="14.25" style="132" customWidth="1"/>
    <col min="11279" max="11279" width="13.75" style="132" customWidth="1"/>
    <col min="11280" max="11280" width="13.375" style="132" customWidth="1"/>
    <col min="11281" max="11520" width="9" style="132"/>
    <col min="11521" max="11521" width="7" style="132" customWidth="1"/>
    <col min="11522" max="11522" width="31.5" style="132" customWidth="1"/>
    <col min="11523" max="11523" width="3" style="132" customWidth="1"/>
    <col min="11524" max="11524" width="14.875" style="132" customWidth="1"/>
    <col min="11525" max="11525" width="15" style="132" customWidth="1"/>
    <col min="11526" max="11526" width="13.625" style="132" customWidth="1"/>
    <col min="11527" max="11527" width="13.25" style="132" customWidth="1"/>
    <col min="11528" max="11528" width="13.375" style="132" customWidth="1"/>
    <col min="11529" max="11529" width="13.25" style="132" customWidth="1"/>
    <col min="11530" max="11530" width="11.25" style="132" customWidth="1"/>
    <col min="11531" max="11531" width="13.375" style="132" customWidth="1"/>
    <col min="11532" max="11532" width="13.5" style="132" customWidth="1"/>
    <col min="11533" max="11533" width="13.75" style="132" customWidth="1"/>
    <col min="11534" max="11534" width="14.25" style="132" customWidth="1"/>
    <col min="11535" max="11535" width="13.75" style="132" customWidth="1"/>
    <col min="11536" max="11536" width="13.375" style="132" customWidth="1"/>
    <col min="11537" max="11776" width="9" style="132"/>
    <col min="11777" max="11777" width="7" style="132" customWidth="1"/>
    <col min="11778" max="11778" width="31.5" style="132" customWidth="1"/>
    <col min="11779" max="11779" width="3" style="132" customWidth="1"/>
    <col min="11780" max="11780" width="14.875" style="132" customWidth="1"/>
    <col min="11781" max="11781" width="15" style="132" customWidth="1"/>
    <col min="11782" max="11782" width="13.625" style="132" customWidth="1"/>
    <col min="11783" max="11783" width="13.25" style="132" customWidth="1"/>
    <col min="11784" max="11784" width="13.375" style="132" customWidth="1"/>
    <col min="11785" max="11785" width="13.25" style="132" customWidth="1"/>
    <col min="11786" max="11786" width="11.25" style="132" customWidth="1"/>
    <col min="11787" max="11787" width="13.375" style="132" customWidth="1"/>
    <col min="11788" max="11788" width="13.5" style="132" customWidth="1"/>
    <col min="11789" max="11789" width="13.75" style="132" customWidth="1"/>
    <col min="11790" max="11790" width="14.25" style="132" customWidth="1"/>
    <col min="11791" max="11791" width="13.75" style="132" customWidth="1"/>
    <col min="11792" max="11792" width="13.375" style="132" customWidth="1"/>
    <col min="11793" max="12032" width="9" style="132"/>
    <col min="12033" max="12033" width="7" style="132" customWidth="1"/>
    <col min="12034" max="12034" width="31.5" style="132" customWidth="1"/>
    <col min="12035" max="12035" width="3" style="132" customWidth="1"/>
    <col min="12036" max="12036" width="14.875" style="132" customWidth="1"/>
    <col min="12037" max="12037" width="15" style="132" customWidth="1"/>
    <col min="12038" max="12038" width="13.625" style="132" customWidth="1"/>
    <col min="12039" max="12039" width="13.25" style="132" customWidth="1"/>
    <col min="12040" max="12040" width="13.375" style="132" customWidth="1"/>
    <col min="12041" max="12041" width="13.25" style="132" customWidth="1"/>
    <col min="12042" max="12042" width="11.25" style="132" customWidth="1"/>
    <col min="12043" max="12043" width="13.375" style="132" customWidth="1"/>
    <col min="12044" max="12044" width="13.5" style="132" customWidth="1"/>
    <col min="12045" max="12045" width="13.75" style="132" customWidth="1"/>
    <col min="12046" max="12046" width="14.25" style="132" customWidth="1"/>
    <col min="12047" max="12047" width="13.75" style="132" customWidth="1"/>
    <col min="12048" max="12048" width="13.375" style="132" customWidth="1"/>
    <col min="12049" max="12288" width="9" style="132"/>
    <col min="12289" max="12289" width="7" style="132" customWidth="1"/>
    <col min="12290" max="12290" width="31.5" style="132" customWidth="1"/>
    <col min="12291" max="12291" width="3" style="132" customWidth="1"/>
    <col min="12292" max="12292" width="14.875" style="132" customWidth="1"/>
    <col min="12293" max="12293" width="15" style="132" customWidth="1"/>
    <col min="12294" max="12294" width="13.625" style="132" customWidth="1"/>
    <col min="12295" max="12295" width="13.25" style="132" customWidth="1"/>
    <col min="12296" max="12296" width="13.375" style="132" customWidth="1"/>
    <col min="12297" max="12297" width="13.25" style="132" customWidth="1"/>
    <col min="12298" max="12298" width="11.25" style="132" customWidth="1"/>
    <col min="12299" max="12299" width="13.375" style="132" customWidth="1"/>
    <col min="12300" max="12300" width="13.5" style="132" customWidth="1"/>
    <col min="12301" max="12301" width="13.75" style="132" customWidth="1"/>
    <col min="12302" max="12302" width="14.25" style="132" customWidth="1"/>
    <col min="12303" max="12303" width="13.75" style="132" customWidth="1"/>
    <col min="12304" max="12304" width="13.375" style="132" customWidth="1"/>
    <col min="12305" max="12544" width="9" style="132"/>
    <col min="12545" max="12545" width="7" style="132" customWidth="1"/>
    <col min="12546" max="12546" width="31.5" style="132" customWidth="1"/>
    <col min="12547" max="12547" width="3" style="132" customWidth="1"/>
    <col min="12548" max="12548" width="14.875" style="132" customWidth="1"/>
    <col min="12549" max="12549" width="15" style="132" customWidth="1"/>
    <col min="12550" max="12550" width="13.625" style="132" customWidth="1"/>
    <col min="12551" max="12551" width="13.25" style="132" customWidth="1"/>
    <col min="12552" max="12552" width="13.375" style="132" customWidth="1"/>
    <col min="12553" max="12553" width="13.25" style="132" customWidth="1"/>
    <col min="12554" max="12554" width="11.25" style="132" customWidth="1"/>
    <col min="12555" max="12555" width="13.375" style="132" customWidth="1"/>
    <col min="12556" max="12556" width="13.5" style="132" customWidth="1"/>
    <col min="12557" max="12557" width="13.75" style="132" customWidth="1"/>
    <col min="12558" max="12558" width="14.25" style="132" customWidth="1"/>
    <col min="12559" max="12559" width="13.75" style="132" customWidth="1"/>
    <col min="12560" max="12560" width="13.375" style="132" customWidth="1"/>
    <col min="12561" max="12800" width="9" style="132"/>
    <col min="12801" max="12801" width="7" style="132" customWidth="1"/>
    <col min="12802" max="12802" width="31.5" style="132" customWidth="1"/>
    <col min="12803" max="12803" width="3" style="132" customWidth="1"/>
    <col min="12804" max="12804" width="14.875" style="132" customWidth="1"/>
    <col min="12805" max="12805" width="15" style="132" customWidth="1"/>
    <col min="12806" max="12806" width="13.625" style="132" customWidth="1"/>
    <col min="12807" max="12807" width="13.25" style="132" customWidth="1"/>
    <col min="12808" max="12808" width="13.375" style="132" customWidth="1"/>
    <col min="12809" max="12809" width="13.25" style="132" customWidth="1"/>
    <col min="12810" max="12810" width="11.25" style="132" customWidth="1"/>
    <col min="12811" max="12811" width="13.375" style="132" customWidth="1"/>
    <col min="12812" max="12812" width="13.5" style="132" customWidth="1"/>
    <col min="12813" max="12813" width="13.75" style="132" customWidth="1"/>
    <col min="12814" max="12814" width="14.25" style="132" customWidth="1"/>
    <col min="12815" max="12815" width="13.75" style="132" customWidth="1"/>
    <col min="12816" max="12816" width="13.375" style="132" customWidth="1"/>
    <col min="12817" max="13056" width="9" style="132"/>
    <col min="13057" max="13057" width="7" style="132" customWidth="1"/>
    <col min="13058" max="13058" width="31.5" style="132" customWidth="1"/>
    <col min="13059" max="13059" width="3" style="132" customWidth="1"/>
    <col min="13060" max="13060" width="14.875" style="132" customWidth="1"/>
    <col min="13061" max="13061" width="15" style="132" customWidth="1"/>
    <col min="13062" max="13062" width="13.625" style="132" customWidth="1"/>
    <col min="13063" max="13063" width="13.25" style="132" customWidth="1"/>
    <col min="13064" max="13064" width="13.375" style="132" customWidth="1"/>
    <col min="13065" max="13065" width="13.25" style="132" customWidth="1"/>
    <col min="13066" max="13066" width="11.25" style="132" customWidth="1"/>
    <col min="13067" max="13067" width="13.375" style="132" customWidth="1"/>
    <col min="13068" max="13068" width="13.5" style="132" customWidth="1"/>
    <col min="13069" max="13069" width="13.75" style="132" customWidth="1"/>
    <col min="13070" max="13070" width="14.25" style="132" customWidth="1"/>
    <col min="13071" max="13071" width="13.75" style="132" customWidth="1"/>
    <col min="13072" max="13072" width="13.375" style="132" customWidth="1"/>
    <col min="13073" max="13312" width="9" style="132"/>
    <col min="13313" max="13313" width="7" style="132" customWidth="1"/>
    <col min="13314" max="13314" width="31.5" style="132" customWidth="1"/>
    <col min="13315" max="13315" width="3" style="132" customWidth="1"/>
    <col min="13316" max="13316" width="14.875" style="132" customWidth="1"/>
    <col min="13317" max="13317" width="15" style="132" customWidth="1"/>
    <col min="13318" max="13318" width="13.625" style="132" customWidth="1"/>
    <col min="13319" max="13319" width="13.25" style="132" customWidth="1"/>
    <col min="13320" max="13320" width="13.375" style="132" customWidth="1"/>
    <col min="13321" max="13321" width="13.25" style="132" customWidth="1"/>
    <col min="13322" max="13322" width="11.25" style="132" customWidth="1"/>
    <col min="13323" max="13323" width="13.375" style="132" customWidth="1"/>
    <col min="13324" max="13324" width="13.5" style="132" customWidth="1"/>
    <col min="13325" max="13325" width="13.75" style="132" customWidth="1"/>
    <col min="13326" max="13326" width="14.25" style="132" customWidth="1"/>
    <col min="13327" max="13327" width="13.75" style="132" customWidth="1"/>
    <col min="13328" max="13328" width="13.375" style="132" customWidth="1"/>
    <col min="13329" max="13568" width="9" style="132"/>
    <col min="13569" max="13569" width="7" style="132" customWidth="1"/>
    <col min="13570" max="13570" width="31.5" style="132" customWidth="1"/>
    <col min="13571" max="13571" width="3" style="132" customWidth="1"/>
    <col min="13572" max="13572" width="14.875" style="132" customWidth="1"/>
    <col min="13573" max="13573" width="15" style="132" customWidth="1"/>
    <col min="13574" max="13574" width="13.625" style="132" customWidth="1"/>
    <col min="13575" max="13575" width="13.25" style="132" customWidth="1"/>
    <col min="13576" max="13576" width="13.375" style="132" customWidth="1"/>
    <col min="13577" max="13577" width="13.25" style="132" customWidth="1"/>
    <col min="13578" max="13578" width="11.25" style="132" customWidth="1"/>
    <col min="13579" max="13579" width="13.375" style="132" customWidth="1"/>
    <col min="13580" max="13580" width="13.5" style="132" customWidth="1"/>
    <col min="13581" max="13581" width="13.75" style="132" customWidth="1"/>
    <col min="13582" max="13582" width="14.25" style="132" customWidth="1"/>
    <col min="13583" max="13583" width="13.75" style="132" customWidth="1"/>
    <col min="13584" max="13584" width="13.375" style="132" customWidth="1"/>
    <col min="13585" max="13824" width="9" style="132"/>
    <col min="13825" max="13825" width="7" style="132" customWidth="1"/>
    <col min="13826" max="13826" width="31.5" style="132" customWidth="1"/>
    <col min="13827" max="13827" width="3" style="132" customWidth="1"/>
    <col min="13828" max="13828" width="14.875" style="132" customWidth="1"/>
    <col min="13829" max="13829" width="15" style="132" customWidth="1"/>
    <col min="13830" max="13830" width="13.625" style="132" customWidth="1"/>
    <col min="13831" max="13831" width="13.25" style="132" customWidth="1"/>
    <col min="13832" max="13832" width="13.375" style="132" customWidth="1"/>
    <col min="13833" max="13833" width="13.25" style="132" customWidth="1"/>
    <col min="13834" max="13834" width="11.25" style="132" customWidth="1"/>
    <col min="13835" max="13835" width="13.375" style="132" customWidth="1"/>
    <col min="13836" max="13836" width="13.5" style="132" customWidth="1"/>
    <col min="13837" max="13837" width="13.75" style="132" customWidth="1"/>
    <col min="13838" max="13838" width="14.25" style="132" customWidth="1"/>
    <col min="13839" max="13839" width="13.75" style="132" customWidth="1"/>
    <col min="13840" max="13840" width="13.375" style="132" customWidth="1"/>
    <col min="13841" max="14080" width="9" style="132"/>
    <col min="14081" max="14081" width="7" style="132" customWidth="1"/>
    <col min="14082" max="14082" width="31.5" style="132" customWidth="1"/>
    <col min="14083" max="14083" width="3" style="132" customWidth="1"/>
    <col min="14084" max="14084" width="14.875" style="132" customWidth="1"/>
    <col min="14085" max="14085" width="15" style="132" customWidth="1"/>
    <col min="14086" max="14086" width="13.625" style="132" customWidth="1"/>
    <col min="14087" max="14087" width="13.25" style="132" customWidth="1"/>
    <col min="14088" max="14088" width="13.375" style="132" customWidth="1"/>
    <col min="14089" max="14089" width="13.25" style="132" customWidth="1"/>
    <col min="14090" max="14090" width="11.25" style="132" customWidth="1"/>
    <col min="14091" max="14091" width="13.375" style="132" customWidth="1"/>
    <col min="14092" max="14092" width="13.5" style="132" customWidth="1"/>
    <col min="14093" max="14093" width="13.75" style="132" customWidth="1"/>
    <col min="14094" max="14094" width="14.25" style="132" customWidth="1"/>
    <col min="14095" max="14095" width="13.75" style="132" customWidth="1"/>
    <col min="14096" max="14096" width="13.375" style="132" customWidth="1"/>
    <col min="14097" max="14336" width="9" style="132"/>
    <col min="14337" max="14337" width="7" style="132" customWidth="1"/>
    <col min="14338" max="14338" width="31.5" style="132" customWidth="1"/>
    <col min="14339" max="14339" width="3" style="132" customWidth="1"/>
    <col min="14340" max="14340" width="14.875" style="132" customWidth="1"/>
    <col min="14341" max="14341" width="15" style="132" customWidth="1"/>
    <col min="14342" max="14342" width="13.625" style="132" customWidth="1"/>
    <col min="14343" max="14343" width="13.25" style="132" customWidth="1"/>
    <col min="14344" max="14344" width="13.375" style="132" customWidth="1"/>
    <col min="14345" max="14345" width="13.25" style="132" customWidth="1"/>
    <col min="14346" max="14346" width="11.25" style="132" customWidth="1"/>
    <col min="14347" max="14347" width="13.375" style="132" customWidth="1"/>
    <col min="14348" max="14348" width="13.5" style="132" customWidth="1"/>
    <col min="14349" max="14349" width="13.75" style="132" customWidth="1"/>
    <col min="14350" max="14350" width="14.25" style="132" customWidth="1"/>
    <col min="14351" max="14351" width="13.75" style="132" customWidth="1"/>
    <col min="14352" max="14352" width="13.375" style="132" customWidth="1"/>
    <col min="14353" max="14592" width="9" style="132"/>
    <col min="14593" max="14593" width="7" style="132" customWidth="1"/>
    <col min="14594" max="14594" width="31.5" style="132" customWidth="1"/>
    <col min="14595" max="14595" width="3" style="132" customWidth="1"/>
    <col min="14596" max="14596" width="14.875" style="132" customWidth="1"/>
    <col min="14597" max="14597" width="15" style="132" customWidth="1"/>
    <col min="14598" max="14598" width="13.625" style="132" customWidth="1"/>
    <col min="14599" max="14599" width="13.25" style="132" customWidth="1"/>
    <col min="14600" max="14600" width="13.375" style="132" customWidth="1"/>
    <col min="14601" max="14601" width="13.25" style="132" customWidth="1"/>
    <col min="14602" max="14602" width="11.25" style="132" customWidth="1"/>
    <col min="14603" max="14603" width="13.375" style="132" customWidth="1"/>
    <col min="14604" max="14604" width="13.5" style="132" customWidth="1"/>
    <col min="14605" max="14605" width="13.75" style="132" customWidth="1"/>
    <col min="14606" max="14606" width="14.25" style="132" customWidth="1"/>
    <col min="14607" max="14607" width="13.75" style="132" customWidth="1"/>
    <col min="14608" max="14608" width="13.375" style="132" customWidth="1"/>
    <col min="14609" max="14848" width="9" style="132"/>
    <col min="14849" max="14849" width="7" style="132" customWidth="1"/>
    <col min="14850" max="14850" width="31.5" style="132" customWidth="1"/>
    <col min="14851" max="14851" width="3" style="132" customWidth="1"/>
    <col min="14852" max="14852" width="14.875" style="132" customWidth="1"/>
    <col min="14853" max="14853" width="15" style="132" customWidth="1"/>
    <col min="14854" max="14854" width="13.625" style="132" customWidth="1"/>
    <col min="14855" max="14855" width="13.25" style="132" customWidth="1"/>
    <col min="14856" max="14856" width="13.375" style="132" customWidth="1"/>
    <col min="14857" max="14857" width="13.25" style="132" customWidth="1"/>
    <col min="14858" max="14858" width="11.25" style="132" customWidth="1"/>
    <col min="14859" max="14859" width="13.375" style="132" customWidth="1"/>
    <col min="14860" max="14860" width="13.5" style="132" customWidth="1"/>
    <col min="14861" max="14861" width="13.75" style="132" customWidth="1"/>
    <col min="14862" max="14862" width="14.25" style="132" customWidth="1"/>
    <col min="14863" max="14863" width="13.75" style="132" customWidth="1"/>
    <col min="14864" max="14864" width="13.375" style="132" customWidth="1"/>
    <col min="14865" max="15104" width="9" style="132"/>
    <col min="15105" max="15105" width="7" style="132" customWidth="1"/>
    <col min="15106" max="15106" width="31.5" style="132" customWidth="1"/>
    <col min="15107" max="15107" width="3" style="132" customWidth="1"/>
    <col min="15108" max="15108" width="14.875" style="132" customWidth="1"/>
    <col min="15109" max="15109" width="15" style="132" customWidth="1"/>
    <col min="15110" max="15110" width="13.625" style="132" customWidth="1"/>
    <col min="15111" max="15111" width="13.25" style="132" customWidth="1"/>
    <col min="15112" max="15112" width="13.375" style="132" customWidth="1"/>
    <col min="15113" max="15113" width="13.25" style="132" customWidth="1"/>
    <col min="15114" max="15114" width="11.25" style="132" customWidth="1"/>
    <col min="15115" max="15115" width="13.375" style="132" customWidth="1"/>
    <col min="15116" max="15116" width="13.5" style="132" customWidth="1"/>
    <col min="15117" max="15117" width="13.75" style="132" customWidth="1"/>
    <col min="15118" max="15118" width="14.25" style="132" customWidth="1"/>
    <col min="15119" max="15119" width="13.75" style="132" customWidth="1"/>
    <col min="15120" max="15120" width="13.375" style="132" customWidth="1"/>
    <col min="15121" max="15360" width="9" style="132"/>
    <col min="15361" max="15361" width="7" style="132" customWidth="1"/>
    <col min="15362" max="15362" width="31.5" style="132" customWidth="1"/>
    <col min="15363" max="15363" width="3" style="132" customWidth="1"/>
    <col min="15364" max="15364" width="14.875" style="132" customWidth="1"/>
    <col min="15365" max="15365" width="15" style="132" customWidth="1"/>
    <col min="15366" max="15366" width="13.625" style="132" customWidth="1"/>
    <col min="15367" max="15367" width="13.25" style="132" customWidth="1"/>
    <col min="15368" max="15368" width="13.375" style="132" customWidth="1"/>
    <col min="15369" max="15369" width="13.25" style="132" customWidth="1"/>
    <col min="15370" max="15370" width="11.25" style="132" customWidth="1"/>
    <col min="15371" max="15371" width="13.375" style="132" customWidth="1"/>
    <col min="15372" max="15372" width="13.5" style="132" customWidth="1"/>
    <col min="15373" max="15373" width="13.75" style="132" customWidth="1"/>
    <col min="15374" max="15374" width="14.25" style="132" customWidth="1"/>
    <col min="15375" max="15375" width="13.75" style="132" customWidth="1"/>
    <col min="15376" max="15376" width="13.375" style="132" customWidth="1"/>
    <col min="15377" max="15616" width="9" style="132"/>
    <col min="15617" max="15617" width="7" style="132" customWidth="1"/>
    <col min="15618" max="15618" width="31.5" style="132" customWidth="1"/>
    <col min="15619" max="15619" width="3" style="132" customWidth="1"/>
    <col min="15620" max="15620" width="14.875" style="132" customWidth="1"/>
    <col min="15621" max="15621" width="15" style="132" customWidth="1"/>
    <col min="15622" max="15622" width="13.625" style="132" customWidth="1"/>
    <col min="15623" max="15623" width="13.25" style="132" customWidth="1"/>
    <col min="15624" max="15624" width="13.375" style="132" customWidth="1"/>
    <col min="15625" max="15625" width="13.25" style="132" customWidth="1"/>
    <col min="15626" max="15626" width="11.25" style="132" customWidth="1"/>
    <col min="15627" max="15627" width="13.375" style="132" customWidth="1"/>
    <col min="15628" max="15628" width="13.5" style="132" customWidth="1"/>
    <col min="15629" max="15629" width="13.75" style="132" customWidth="1"/>
    <col min="15630" max="15630" width="14.25" style="132" customWidth="1"/>
    <col min="15631" max="15631" width="13.75" style="132" customWidth="1"/>
    <col min="15632" max="15632" width="13.375" style="132" customWidth="1"/>
    <col min="15633" max="15872" width="9" style="132"/>
    <col min="15873" max="15873" width="7" style="132" customWidth="1"/>
    <col min="15874" max="15874" width="31.5" style="132" customWidth="1"/>
    <col min="15875" max="15875" width="3" style="132" customWidth="1"/>
    <col min="15876" max="15876" width="14.875" style="132" customWidth="1"/>
    <col min="15877" max="15877" width="15" style="132" customWidth="1"/>
    <col min="15878" max="15878" width="13.625" style="132" customWidth="1"/>
    <col min="15879" max="15879" width="13.25" style="132" customWidth="1"/>
    <col min="15880" max="15880" width="13.375" style="132" customWidth="1"/>
    <col min="15881" max="15881" width="13.25" style="132" customWidth="1"/>
    <col min="15882" max="15882" width="11.25" style="132" customWidth="1"/>
    <col min="15883" max="15883" width="13.375" style="132" customWidth="1"/>
    <col min="15884" max="15884" width="13.5" style="132" customWidth="1"/>
    <col min="15885" max="15885" width="13.75" style="132" customWidth="1"/>
    <col min="15886" max="15886" width="14.25" style="132" customWidth="1"/>
    <col min="15887" max="15887" width="13.75" style="132" customWidth="1"/>
    <col min="15888" max="15888" width="13.375" style="132" customWidth="1"/>
    <col min="15889" max="16128" width="9" style="132"/>
    <col min="16129" max="16129" width="7" style="132" customWidth="1"/>
    <col min="16130" max="16130" width="31.5" style="132" customWidth="1"/>
    <col min="16131" max="16131" width="3" style="132" customWidth="1"/>
    <col min="16132" max="16132" width="14.875" style="132" customWidth="1"/>
    <col min="16133" max="16133" width="15" style="132" customWidth="1"/>
    <col min="16134" max="16134" width="13.625" style="132" customWidth="1"/>
    <col min="16135" max="16135" width="13.25" style="132" customWidth="1"/>
    <col min="16136" max="16136" width="13.375" style="132" customWidth="1"/>
    <col min="16137" max="16137" width="13.25" style="132" customWidth="1"/>
    <col min="16138" max="16138" width="11.25" style="132" customWidth="1"/>
    <col min="16139" max="16139" width="13.375" style="132" customWidth="1"/>
    <col min="16140" max="16140" width="13.5" style="132" customWidth="1"/>
    <col min="16141" max="16141" width="13.75" style="132" customWidth="1"/>
    <col min="16142" max="16142" width="14.25" style="132" customWidth="1"/>
    <col min="16143" max="16143" width="13.75" style="132" customWidth="1"/>
    <col min="16144" max="16144" width="13.375" style="132" customWidth="1"/>
    <col min="16145" max="16384" width="9" style="132"/>
  </cols>
  <sheetData>
    <row r="1" spans="1:256">
      <c r="N1" s="133" t="s">
        <v>135</v>
      </c>
      <c r="O1" s="133"/>
    </row>
    <row r="2" spans="1:256">
      <c r="N2" s="4" t="s">
        <v>132</v>
      </c>
      <c r="O2" s="133"/>
    </row>
    <row r="3" spans="1:256">
      <c r="D3" s="34"/>
      <c r="E3" s="34"/>
      <c r="F3" s="34"/>
      <c r="G3" s="34"/>
      <c r="H3" s="34"/>
      <c r="I3" s="34"/>
      <c r="J3" s="34"/>
      <c r="K3" s="34"/>
      <c r="L3" s="34"/>
      <c r="N3" s="4" t="s">
        <v>556</v>
      </c>
      <c r="O3" s="133"/>
    </row>
    <row r="4" spans="1:256"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56" s="135" customFormat="1">
      <c r="A5" s="849" t="s">
        <v>136</v>
      </c>
      <c r="B5" s="849"/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</row>
    <row r="6" spans="1:256">
      <c r="A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0"/>
      <c r="O6" s="137"/>
      <c r="P6" s="138" t="s">
        <v>35</v>
      </c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</row>
    <row r="7" spans="1:256">
      <c r="A7" s="850" t="s">
        <v>137</v>
      </c>
      <c r="B7" s="851" t="s">
        <v>37</v>
      </c>
      <c r="C7" s="852" t="s">
        <v>94</v>
      </c>
      <c r="D7" s="855" t="s">
        <v>38</v>
      </c>
      <c r="E7" s="844" t="s">
        <v>138</v>
      </c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</row>
    <row r="8" spans="1:256">
      <c r="A8" s="850"/>
      <c r="B8" s="851"/>
      <c r="C8" s="853"/>
      <c r="D8" s="855"/>
      <c r="E8" s="844" t="s">
        <v>139</v>
      </c>
      <c r="F8" s="848" t="s">
        <v>140</v>
      </c>
      <c r="G8" s="848"/>
      <c r="H8" s="848"/>
      <c r="I8" s="848"/>
      <c r="J8" s="848"/>
      <c r="K8" s="848"/>
      <c r="L8" s="848"/>
      <c r="M8" s="844" t="s">
        <v>141</v>
      </c>
      <c r="N8" s="848" t="s">
        <v>140</v>
      </c>
      <c r="O8" s="848"/>
      <c r="P8" s="848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</row>
    <row r="9" spans="1:256">
      <c r="A9" s="850"/>
      <c r="B9" s="851"/>
      <c r="C9" s="853"/>
      <c r="D9" s="855"/>
      <c r="E9" s="844"/>
      <c r="F9" s="844" t="s">
        <v>142</v>
      </c>
      <c r="G9" s="848" t="s">
        <v>140</v>
      </c>
      <c r="H9" s="848"/>
      <c r="I9" s="844" t="s">
        <v>143</v>
      </c>
      <c r="J9" s="844" t="s">
        <v>144</v>
      </c>
      <c r="K9" s="844" t="s">
        <v>145</v>
      </c>
      <c r="L9" s="844" t="s">
        <v>146</v>
      </c>
      <c r="M9" s="844"/>
      <c r="N9" s="844" t="s">
        <v>147</v>
      </c>
      <c r="O9" s="37" t="s">
        <v>140</v>
      </c>
      <c r="P9" s="844" t="s">
        <v>148</v>
      </c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</row>
    <row r="10" spans="1:256" ht="51">
      <c r="A10" s="850"/>
      <c r="B10" s="851"/>
      <c r="C10" s="854"/>
      <c r="D10" s="855"/>
      <c r="E10" s="844"/>
      <c r="F10" s="844"/>
      <c r="G10" s="37" t="s">
        <v>149</v>
      </c>
      <c r="H10" s="37" t="s">
        <v>150</v>
      </c>
      <c r="I10" s="844"/>
      <c r="J10" s="844"/>
      <c r="K10" s="844"/>
      <c r="L10" s="844"/>
      <c r="M10" s="844"/>
      <c r="N10" s="844"/>
      <c r="O10" s="37" t="s">
        <v>145</v>
      </c>
      <c r="P10" s="844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</row>
    <row r="11" spans="1:256">
      <c r="A11" s="140">
        <v>1</v>
      </c>
      <c r="B11" s="141">
        <v>2</v>
      </c>
      <c r="C11" s="142"/>
      <c r="D11" s="143">
        <v>3</v>
      </c>
      <c r="E11" s="144">
        <v>4</v>
      </c>
      <c r="F11" s="144">
        <v>5</v>
      </c>
      <c r="G11" s="144">
        <v>6</v>
      </c>
      <c r="H11" s="144">
        <v>7</v>
      </c>
      <c r="I11" s="144">
        <v>8</v>
      </c>
      <c r="J11" s="144">
        <v>9</v>
      </c>
      <c r="K11" s="144">
        <v>10</v>
      </c>
      <c r="L11" s="144">
        <v>11</v>
      </c>
      <c r="M11" s="144">
        <v>12</v>
      </c>
      <c r="N11" s="144">
        <v>13</v>
      </c>
      <c r="O11" s="144">
        <v>14</v>
      </c>
      <c r="P11" s="144">
        <v>15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</row>
    <row r="12" spans="1:256" ht="5.0999999999999996" customHeight="1">
      <c r="A12" s="146"/>
      <c r="B12" s="147"/>
      <c r="C12" s="148"/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</row>
    <row r="13" spans="1:256" ht="15.75">
      <c r="A13" s="829"/>
      <c r="B13" s="845" t="s">
        <v>151</v>
      </c>
      <c r="C13" s="152" t="s">
        <v>0</v>
      </c>
      <c r="D13" s="153">
        <f t="shared" ref="D13:P14" si="0">D17+D35+D50+D68+D101+D107+D113+D125+D140+D161+D167+D173+D182+D188+D230+D257+D275+D293+D317+D326+D350+D383+D389+D131+D44+D62</f>
        <v>2185705916.8800001</v>
      </c>
      <c r="E13" s="153">
        <f t="shared" si="0"/>
        <v>1429973476.8800001</v>
      </c>
      <c r="F13" s="153">
        <f t="shared" si="0"/>
        <v>598641852.48000002</v>
      </c>
      <c r="G13" s="153">
        <f t="shared" si="0"/>
        <v>295717042</v>
      </c>
      <c r="H13" s="153">
        <f t="shared" si="0"/>
        <v>302924810.48000002</v>
      </c>
      <c r="I13" s="153">
        <f t="shared" si="0"/>
        <v>501652202.39999998</v>
      </c>
      <c r="J13" s="153">
        <f t="shared" si="0"/>
        <v>4779766</v>
      </c>
      <c r="K13" s="153">
        <f t="shared" si="0"/>
        <v>251659570</v>
      </c>
      <c r="L13" s="153">
        <f t="shared" si="0"/>
        <v>73240086</v>
      </c>
      <c r="M13" s="153">
        <f t="shared" si="0"/>
        <v>755732440</v>
      </c>
      <c r="N13" s="153">
        <f t="shared" si="0"/>
        <v>714035815</v>
      </c>
      <c r="O13" s="153">
        <f t="shared" si="0"/>
        <v>131210952</v>
      </c>
      <c r="P13" s="153">
        <f t="shared" si="0"/>
        <v>41696625</v>
      </c>
      <c r="Q13" s="154"/>
      <c r="R13" s="154"/>
      <c r="S13" s="154"/>
      <c r="T13" s="154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  <c r="IU13" s="155"/>
      <c r="IV13" s="155"/>
    </row>
    <row r="14" spans="1:256" ht="15.75">
      <c r="A14" s="830"/>
      <c r="B14" s="846"/>
      <c r="C14" s="152" t="s">
        <v>1</v>
      </c>
      <c r="D14" s="153">
        <f t="shared" si="0"/>
        <v>108322064</v>
      </c>
      <c r="E14" s="153">
        <f t="shared" si="0"/>
        <v>26757510</v>
      </c>
      <c r="F14" s="153">
        <f t="shared" si="0"/>
        <v>12107717</v>
      </c>
      <c r="G14" s="153">
        <f t="shared" si="0"/>
        <v>1227201</v>
      </c>
      <c r="H14" s="153">
        <f t="shared" si="0"/>
        <v>10880516</v>
      </c>
      <c r="I14" s="153">
        <f t="shared" si="0"/>
        <v>3315478</v>
      </c>
      <c r="J14" s="153">
        <f t="shared" si="0"/>
        <v>117733</v>
      </c>
      <c r="K14" s="153">
        <f t="shared" si="0"/>
        <v>11216582</v>
      </c>
      <c r="L14" s="153">
        <f t="shared" si="0"/>
        <v>0</v>
      </c>
      <c r="M14" s="153">
        <f t="shared" si="0"/>
        <v>81564554</v>
      </c>
      <c r="N14" s="153">
        <f t="shared" si="0"/>
        <v>75564554</v>
      </c>
      <c r="O14" s="153">
        <f t="shared" si="0"/>
        <v>-2809665</v>
      </c>
      <c r="P14" s="153">
        <f t="shared" si="0"/>
        <v>6000000</v>
      </c>
      <c r="Q14" s="154"/>
      <c r="R14" s="154"/>
      <c r="S14" s="154"/>
      <c r="T14" s="154"/>
      <c r="U14" s="154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  <c r="IU14" s="155"/>
      <c r="IV14" s="155"/>
    </row>
    <row r="15" spans="1:256" ht="15.75">
      <c r="A15" s="831"/>
      <c r="B15" s="847"/>
      <c r="C15" s="152" t="s">
        <v>2</v>
      </c>
      <c r="D15" s="153">
        <f>D14+D13</f>
        <v>2294027980.8800001</v>
      </c>
      <c r="E15" s="153">
        <f t="shared" ref="E15:P15" si="1">E14+E13</f>
        <v>1456730986.8800001</v>
      </c>
      <c r="F15" s="153">
        <f t="shared" si="1"/>
        <v>610749569.48000002</v>
      </c>
      <c r="G15" s="153">
        <f t="shared" si="1"/>
        <v>296944243</v>
      </c>
      <c r="H15" s="153">
        <f t="shared" si="1"/>
        <v>313805326.48000002</v>
      </c>
      <c r="I15" s="153">
        <f t="shared" si="1"/>
        <v>504967680.39999998</v>
      </c>
      <c r="J15" s="153">
        <f t="shared" si="1"/>
        <v>4897499</v>
      </c>
      <c r="K15" s="153">
        <f t="shared" si="1"/>
        <v>262876152</v>
      </c>
      <c r="L15" s="153">
        <f t="shared" si="1"/>
        <v>73240086</v>
      </c>
      <c r="M15" s="153">
        <f t="shared" si="1"/>
        <v>837296994</v>
      </c>
      <c r="N15" s="153">
        <f t="shared" si="1"/>
        <v>789600369</v>
      </c>
      <c r="O15" s="153">
        <f t="shared" si="1"/>
        <v>128401287</v>
      </c>
      <c r="P15" s="153">
        <f t="shared" si="1"/>
        <v>47696625</v>
      </c>
      <c r="Q15" s="154"/>
      <c r="R15" s="154"/>
      <c r="S15" s="154"/>
      <c r="T15" s="154"/>
      <c r="U15" s="154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</row>
    <row r="16" spans="1:256" ht="5.0999999999999996" customHeight="1">
      <c r="A16" s="146"/>
      <c r="B16" s="156"/>
      <c r="C16" s="15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  <c r="R16" s="160"/>
      <c r="S16" s="160"/>
      <c r="T16" s="160"/>
      <c r="U16" s="160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</row>
    <row r="17" spans="1:256" ht="15">
      <c r="A17" s="835" t="s">
        <v>42</v>
      </c>
      <c r="B17" s="838" t="s">
        <v>98</v>
      </c>
      <c r="C17" s="161" t="s">
        <v>0</v>
      </c>
      <c r="D17" s="162">
        <f>D20+D23+D26+D32+D29</f>
        <v>30765689.84</v>
      </c>
      <c r="E17" s="163">
        <f t="shared" ref="E17:P18" si="2">E20+E23+E26+E32+E29</f>
        <v>16740689.84</v>
      </c>
      <c r="F17" s="163">
        <f t="shared" si="2"/>
        <v>3375689.84</v>
      </c>
      <c r="G17" s="163">
        <f t="shared" si="2"/>
        <v>395500</v>
      </c>
      <c r="H17" s="163">
        <f t="shared" si="2"/>
        <v>2980189.84</v>
      </c>
      <c r="I17" s="163">
        <f t="shared" si="2"/>
        <v>2380000</v>
      </c>
      <c r="J17" s="163">
        <f t="shared" si="2"/>
        <v>0</v>
      </c>
      <c r="K17" s="163">
        <f t="shared" si="2"/>
        <v>10985000</v>
      </c>
      <c r="L17" s="163">
        <f t="shared" si="2"/>
        <v>0</v>
      </c>
      <c r="M17" s="163">
        <f t="shared" si="2"/>
        <v>14025000</v>
      </c>
      <c r="N17" s="163">
        <f t="shared" si="2"/>
        <v>14025000</v>
      </c>
      <c r="O17" s="163">
        <f t="shared" si="2"/>
        <v>0</v>
      </c>
      <c r="P17" s="163">
        <f t="shared" si="2"/>
        <v>0</v>
      </c>
      <c r="Q17" s="164"/>
      <c r="R17" s="164"/>
      <c r="S17" s="164"/>
      <c r="T17" s="164"/>
      <c r="U17" s="164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  <c r="IL17" s="165"/>
      <c r="IM17" s="165"/>
      <c r="IN17" s="165"/>
      <c r="IO17" s="165"/>
      <c r="IP17" s="165"/>
      <c r="IQ17" s="165"/>
      <c r="IR17" s="165"/>
      <c r="IS17" s="165"/>
      <c r="IT17" s="165"/>
      <c r="IU17" s="165"/>
      <c r="IV17" s="165"/>
    </row>
    <row r="18" spans="1:256" ht="15">
      <c r="A18" s="836"/>
      <c r="B18" s="839"/>
      <c r="C18" s="161" t="s">
        <v>1</v>
      </c>
      <c r="D18" s="162">
        <f>D21+D24+D27+D33+D30</f>
        <v>170000</v>
      </c>
      <c r="E18" s="163">
        <f t="shared" si="2"/>
        <v>170000</v>
      </c>
      <c r="F18" s="163">
        <f t="shared" si="2"/>
        <v>170000</v>
      </c>
      <c r="G18" s="163">
        <f t="shared" si="2"/>
        <v>5000</v>
      </c>
      <c r="H18" s="163">
        <f t="shared" si="2"/>
        <v>165000</v>
      </c>
      <c r="I18" s="163">
        <f t="shared" si="2"/>
        <v>0</v>
      </c>
      <c r="J18" s="163">
        <f t="shared" si="2"/>
        <v>0</v>
      </c>
      <c r="K18" s="163">
        <f t="shared" si="2"/>
        <v>0</v>
      </c>
      <c r="L18" s="163">
        <f t="shared" si="2"/>
        <v>0</v>
      </c>
      <c r="M18" s="163">
        <f t="shared" si="2"/>
        <v>0</v>
      </c>
      <c r="N18" s="163">
        <f t="shared" si="2"/>
        <v>0</v>
      </c>
      <c r="O18" s="163">
        <f t="shared" si="2"/>
        <v>0</v>
      </c>
      <c r="P18" s="163">
        <f t="shared" si="2"/>
        <v>0</v>
      </c>
      <c r="Q18" s="164"/>
      <c r="R18" s="164"/>
      <c r="S18" s="164"/>
      <c r="T18" s="164"/>
      <c r="U18" s="164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  <c r="IL18" s="165"/>
      <c r="IM18" s="165"/>
      <c r="IN18" s="165"/>
      <c r="IO18" s="165"/>
      <c r="IP18" s="165"/>
      <c r="IQ18" s="165"/>
      <c r="IR18" s="165"/>
      <c r="IS18" s="165"/>
      <c r="IT18" s="165"/>
      <c r="IU18" s="165"/>
      <c r="IV18" s="165"/>
    </row>
    <row r="19" spans="1:256" ht="15">
      <c r="A19" s="837"/>
      <c r="B19" s="840"/>
      <c r="C19" s="161" t="s">
        <v>2</v>
      </c>
      <c r="D19" s="162">
        <f>D17+D18</f>
        <v>30935689.84</v>
      </c>
      <c r="E19" s="163">
        <f t="shared" ref="E19:P19" si="3">E17+E18</f>
        <v>16910689.84</v>
      </c>
      <c r="F19" s="163">
        <f t="shared" si="3"/>
        <v>3545689.84</v>
      </c>
      <c r="G19" s="163">
        <f t="shared" si="3"/>
        <v>400500</v>
      </c>
      <c r="H19" s="163">
        <f t="shared" si="3"/>
        <v>3145189.84</v>
      </c>
      <c r="I19" s="163">
        <f t="shared" si="3"/>
        <v>2380000</v>
      </c>
      <c r="J19" s="163">
        <f t="shared" si="3"/>
        <v>0</v>
      </c>
      <c r="K19" s="163">
        <f t="shared" si="3"/>
        <v>10985000</v>
      </c>
      <c r="L19" s="163">
        <f t="shared" si="3"/>
        <v>0</v>
      </c>
      <c r="M19" s="163">
        <f t="shared" si="3"/>
        <v>14025000</v>
      </c>
      <c r="N19" s="163">
        <f t="shared" si="3"/>
        <v>14025000</v>
      </c>
      <c r="O19" s="163">
        <f t="shared" si="3"/>
        <v>0</v>
      </c>
      <c r="P19" s="163">
        <f t="shared" si="3"/>
        <v>0</v>
      </c>
      <c r="Q19" s="164"/>
      <c r="R19" s="164"/>
      <c r="S19" s="164"/>
      <c r="T19" s="164"/>
      <c r="U19" s="164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  <c r="IL19" s="165"/>
      <c r="IM19" s="165"/>
      <c r="IN19" s="165"/>
      <c r="IO19" s="165"/>
      <c r="IP19" s="165"/>
      <c r="IQ19" s="165"/>
      <c r="IR19" s="165"/>
      <c r="IS19" s="165"/>
      <c r="IT19" s="165"/>
      <c r="IU19" s="165"/>
      <c r="IV19" s="165"/>
    </row>
    <row r="20" spans="1:256" hidden="1">
      <c r="A20" s="823" t="s">
        <v>152</v>
      </c>
      <c r="B20" s="826" t="s">
        <v>153</v>
      </c>
      <c r="C20" s="157" t="s">
        <v>0</v>
      </c>
      <c r="D20" s="158">
        <f t="shared" ref="D20:D33" si="4">E20+M20</f>
        <v>1800000</v>
      </c>
      <c r="E20" s="159">
        <f t="shared" ref="E20:E33" si="5">F20+I20+J20+K20+L20</f>
        <v>1800000</v>
      </c>
      <c r="F20" s="159">
        <f t="shared" ref="F20:F33" si="6">G20+H20</f>
        <v>0</v>
      </c>
      <c r="G20" s="159">
        <v>0</v>
      </c>
      <c r="H20" s="159">
        <v>0</v>
      </c>
      <c r="I20" s="159">
        <v>1800000</v>
      </c>
      <c r="J20" s="159">
        <v>0</v>
      </c>
      <c r="K20" s="159">
        <v>0</v>
      </c>
      <c r="L20" s="159">
        <v>0</v>
      </c>
      <c r="M20" s="159">
        <f t="shared" ref="M20:M33" si="7">N20+P20</f>
        <v>0</v>
      </c>
      <c r="N20" s="159">
        <v>0</v>
      </c>
      <c r="O20" s="159">
        <v>0</v>
      </c>
      <c r="P20" s="159">
        <v>0</v>
      </c>
      <c r="Q20" s="166"/>
      <c r="R20" s="166"/>
      <c r="S20" s="166"/>
      <c r="T20" s="166"/>
      <c r="U20" s="166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</row>
    <row r="21" spans="1:256" hidden="1">
      <c r="A21" s="824"/>
      <c r="B21" s="827"/>
      <c r="C21" s="157" t="s">
        <v>1</v>
      </c>
      <c r="D21" s="158">
        <f t="shared" si="4"/>
        <v>0</v>
      </c>
      <c r="E21" s="159">
        <f t="shared" si="5"/>
        <v>0</v>
      </c>
      <c r="F21" s="159">
        <f t="shared" si="6"/>
        <v>0</v>
      </c>
      <c r="G21" s="159"/>
      <c r="H21" s="159"/>
      <c r="I21" s="159"/>
      <c r="J21" s="159"/>
      <c r="K21" s="159"/>
      <c r="L21" s="159"/>
      <c r="M21" s="159">
        <f t="shared" si="7"/>
        <v>0</v>
      </c>
      <c r="N21" s="159"/>
      <c r="O21" s="159"/>
      <c r="P21" s="159"/>
      <c r="Q21" s="166"/>
      <c r="R21" s="166"/>
      <c r="S21" s="166"/>
      <c r="T21" s="166"/>
      <c r="U21" s="166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</row>
    <row r="22" spans="1:256" hidden="1">
      <c r="A22" s="825"/>
      <c r="B22" s="828"/>
      <c r="C22" s="157" t="s">
        <v>2</v>
      </c>
      <c r="D22" s="158">
        <f>D21+D20</f>
        <v>1800000</v>
      </c>
      <c r="E22" s="159">
        <f t="shared" ref="E22:P22" si="8">E21+E20</f>
        <v>1800000</v>
      </c>
      <c r="F22" s="159">
        <f t="shared" si="8"/>
        <v>0</v>
      </c>
      <c r="G22" s="159">
        <f t="shared" si="8"/>
        <v>0</v>
      </c>
      <c r="H22" s="159">
        <f t="shared" si="8"/>
        <v>0</v>
      </c>
      <c r="I22" s="159">
        <f t="shared" si="8"/>
        <v>1800000</v>
      </c>
      <c r="J22" s="159">
        <f t="shared" si="8"/>
        <v>0</v>
      </c>
      <c r="K22" s="159">
        <f t="shared" si="8"/>
        <v>0</v>
      </c>
      <c r="L22" s="159">
        <f t="shared" si="8"/>
        <v>0</v>
      </c>
      <c r="M22" s="159">
        <f t="shared" si="8"/>
        <v>0</v>
      </c>
      <c r="N22" s="159">
        <f t="shared" si="8"/>
        <v>0</v>
      </c>
      <c r="O22" s="159">
        <f t="shared" si="8"/>
        <v>0</v>
      </c>
      <c r="P22" s="159">
        <f t="shared" si="8"/>
        <v>0</v>
      </c>
      <c r="Q22" s="166"/>
      <c r="R22" s="166"/>
      <c r="S22" s="166"/>
      <c r="T22" s="166"/>
      <c r="U22" s="166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</row>
    <row r="23" spans="1:256" hidden="1">
      <c r="A23" s="823" t="s">
        <v>154</v>
      </c>
      <c r="B23" s="826" t="s">
        <v>155</v>
      </c>
      <c r="C23" s="157" t="s">
        <v>0</v>
      </c>
      <c r="D23" s="158">
        <f t="shared" si="4"/>
        <v>3700000</v>
      </c>
      <c r="E23" s="159">
        <f t="shared" si="5"/>
        <v>3700000</v>
      </c>
      <c r="F23" s="159">
        <f t="shared" si="6"/>
        <v>15000</v>
      </c>
      <c r="G23" s="159">
        <v>0</v>
      </c>
      <c r="H23" s="159">
        <v>15000</v>
      </c>
      <c r="I23" s="159">
        <v>0</v>
      </c>
      <c r="J23" s="159">
        <v>0</v>
      </c>
      <c r="K23" s="159">
        <f>2345000+1340000</f>
        <v>3685000</v>
      </c>
      <c r="L23" s="159">
        <v>0</v>
      </c>
      <c r="M23" s="159">
        <f t="shared" si="7"/>
        <v>0</v>
      </c>
      <c r="N23" s="159">
        <v>0</v>
      </c>
      <c r="O23" s="159">
        <v>0</v>
      </c>
      <c r="P23" s="159">
        <v>0</v>
      </c>
      <c r="Q23" s="166"/>
      <c r="R23" s="166"/>
      <c r="S23" s="166"/>
      <c r="T23" s="166"/>
      <c r="U23" s="166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hidden="1">
      <c r="A24" s="824"/>
      <c r="B24" s="827"/>
      <c r="C24" s="157" t="s">
        <v>1</v>
      </c>
      <c r="D24" s="158">
        <f t="shared" si="4"/>
        <v>0</v>
      </c>
      <c r="E24" s="159">
        <f t="shared" si="5"/>
        <v>0</v>
      </c>
      <c r="F24" s="159">
        <f t="shared" si="6"/>
        <v>0</v>
      </c>
      <c r="G24" s="159"/>
      <c r="H24" s="159"/>
      <c r="I24" s="159"/>
      <c r="J24" s="159"/>
      <c r="K24" s="159"/>
      <c r="L24" s="159"/>
      <c r="M24" s="159">
        <f t="shared" si="7"/>
        <v>0</v>
      </c>
      <c r="N24" s="159"/>
      <c r="O24" s="159"/>
      <c r="P24" s="159"/>
      <c r="Q24" s="166"/>
      <c r="R24" s="166"/>
      <c r="S24" s="166"/>
      <c r="T24" s="166"/>
      <c r="U24" s="166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</row>
    <row r="25" spans="1:256" hidden="1">
      <c r="A25" s="825"/>
      <c r="B25" s="828"/>
      <c r="C25" s="157" t="s">
        <v>2</v>
      </c>
      <c r="D25" s="158">
        <f>D24+D23</f>
        <v>3700000</v>
      </c>
      <c r="E25" s="159">
        <f t="shared" ref="E25:P25" si="9">E24+E23</f>
        <v>3700000</v>
      </c>
      <c r="F25" s="159">
        <f t="shared" si="9"/>
        <v>15000</v>
      </c>
      <c r="G25" s="159">
        <f t="shared" si="9"/>
        <v>0</v>
      </c>
      <c r="H25" s="159">
        <f t="shared" si="9"/>
        <v>15000</v>
      </c>
      <c r="I25" s="159">
        <f t="shared" si="9"/>
        <v>0</v>
      </c>
      <c r="J25" s="159">
        <f t="shared" si="9"/>
        <v>0</v>
      </c>
      <c r="K25" s="159">
        <f t="shared" si="9"/>
        <v>3685000</v>
      </c>
      <c r="L25" s="159">
        <f t="shared" si="9"/>
        <v>0</v>
      </c>
      <c r="M25" s="159">
        <f t="shared" si="9"/>
        <v>0</v>
      </c>
      <c r="N25" s="159">
        <f t="shared" si="9"/>
        <v>0</v>
      </c>
      <c r="O25" s="159">
        <f t="shared" si="9"/>
        <v>0</v>
      </c>
      <c r="P25" s="159">
        <f t="shared" si="9"/>
        <v>0</v>
      </c>
      <c r="Q25" s="166"/>
      <c r="R25" s="166"/>
      <c r="S25" s="166"/>
      <c r="T25" s="166"/>
      <c r="U25" s="166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</row>
    <row r="26" spans="1:256" hidden="1">
      <c r="A26" s="823" t="s">
        <v>156</v>
      </c>
      <c r="B26" s="826" t="s">
        <v>157</v>
      </c>
      <c r="C26" s="157" t="s">
        <v>0</v>
      </c>
      <c r="D26" s="158">
        <f t="shared" si="4"/>
        <v>14500000</v>
      </c>
      <c r="E26" s="159">
        <f t="shared" si="5"/>
        <v>475000</v>
      </c>
      <c r="F26" s="159">
        <f t="shared" si="6"/>
        <v>475000</v>
      </c>
      <c r="G26" s="159">
        <v>395500</v>
      </c>
      <c r="H26" s="159">
        <f>3000+72000+1500+3000</f>
        <v>79500</v>
      </c>
      <c r="I26" s="159">
        <v>0</v>
      </c>
      <c r="J26" s="159">
        <v>0</v>
      </c>
      <c r="K26" s="159">
        <v>0</v>
      </c>
      <c r="L26" s="159">
        <v>0</v>
      </c>
      <c r="M26" s="159">
        <f t="shared" si="7"/>
        <v>14025000</v>
      </c>
      <c r="N26" s="159">
        <v>14025000</v>
      </c>
      <c r="O26" s="159">
        <v>0</v>
      </c>
      <c r="P26" s="159">
        <v>0</v>
      </c>
      <c r="Q26" s="166"/>
      <c r="R26" s="166"/>
      <c r="S26" s="166"/>
      <c r="T26" s="166"/>
      <c r="U26" s="166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</row>
    <row r="27" spans="1:256" hidden="1">
      <c r="A27" s="824"/>
      <c r="B27" s="827"/>
      <c r="C27" s="157" t="s">
        <v>1</v>
      </c>
      <c r="D27" s="158">
        <f t="shared" si="4"/>
        <v>0</v>
      </c>
      <c r="E27" s="159">
        <f t="shared" si="5"/>
        <v>0</v>
      </c>
      <c r="F27" s="159">
        <f t="shared" si="6"/>
        <v>0</v>
      </c>
      <c r="G27" s="159"/>
      <c r="H27" s="159"/>
      <c r="I27" s="159"/>
      <c r="J27" s="159"/>
      <c r="K27" s="159"/>
      <c r="L27" s="159"/>
      <c r="M27" s="159">
        <f t="shared" si="7"/>
        <v>0</v>
      </c>
      <c r="N27" s="159"/>
      <c r="O27" s="159"/>
      <c r="P27" s="159"/>
      <c r="Q27" s="166"/>
      <c r="R27" s="166"/>
      <c r="S27" s="166"/>
      <c r="T27" s="166"/>
      <c r="U27" s="166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</row>
    <row r="28" spans="1:256" hidden="1">
      <c r="A28" s="825"/>
      <c r="B28" s="828"/>
      <c r="C28" s="157" t="s">
        <v>2</v>
      </c>
      <c r="D28" s="158">
        <f>D27+D26</f>
        <v>14500000</v>
      </c>
      <c r="E28" s="159">
        <f t="shared" ref="E28:P28" si="10">E27+E26</f>
        <v>475000</v>
      </c>
      <c r="F28" s="159">
        <f t="shared" si="10"/>
        <v>475000</v>
      </c>
      <c r="G28" s="159">
        <f t="shared" si="10"/>
        <v>395500</v>
      </c>
      <c r="H28" s="159">
        <f t="shared" si="10"/>
        <v>79500</v>
      </c>
      <c r="I28" s="159">
        <f t="shared" si="10"/>
        <v>0</v>
      </c>
      <c r="J28" s="159">
        <f t="shared" si="10"/>
        <v>0</v>
      </c>
      <c r="K28" s="159">
        <f t="shared" si="10"/>
        <v>0</v>
      </c>
      <c r="L28" s="159">
        <f t="shared" si="10"/>
        <v>0</v>
      </c>
      <c r="M28" s="159">
        <f t="shared" si="10"/>
        <v>14025000</v>
      </c>
      <c r="N28" s="159">
        <f t="shared" si="10"/>
        <v>14025000</v>
      </c>
      <c r="O28" s="159">
        <f t="shared" si="10"/>
        <v>0</v>
      </c>
      <c r="P28" s="159">
        <f t="shared" si="10"/>
        <v>0</v>
      </c>
      <c r="Q28" s="166"/>
      <c r="R28" s="166"/>
      <c r="S28" s="166"/>
      <c r="T28" s="166"/>
      <c r="U28" s="166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</row>
    <row r="29" spans="1:256" hidden="1">
      <c r="A29" s="823" t="s">
        <v>158</v>
      </c>
      <c r="B29" s="826" t="s">
        <v>159</v>
      </c>
      <c r="C29" s="157" t="s">
        <v>0</v>
      </c>
      <c r="D29" s="158">
        <f t="shared" si="4"/>
        <v>7310000</v>
      </c>
      <c r="E29" s="159">
        <f t="shared" si="5"/>
        <v>7310000</v>
      </c>
      <c r="F29" s="159">
        <f t="shared" si="6"/>
        <v>10000</v>
      </c>
      <c r="G29" s="159"/>
      <c r="H29" s="159">
        <v>10000</v>
      </c>
      <c r="I29" s="159">
        <v>0</v>
      </c>
      <c r="J29" s="159">
        <v>0</v>
      </c>
      <c r="K29" s="159">
        <f>4015000+3285000</f>
        <v>7300000</v>
      </c>
      <c r="L29" s="159">
        <v>0</v>
      </c>
      <c r="M29" s="159">
        <f t="shared" si="7"/>
        <v>0</v>
      </c>
      <c r="N29" s="159">
        <v>0</v>
      </c>
      <c r="O29" s="159">
        <v>0</v>
      </c>
      <c r="P29" s="159">
        <v>0</v>
      </c>
      <c r="Q29" s="166"/>
      <c r="R29" s="166"/>
      <c r="S29" s="166"/>
      <c r="T29" s="166"/>
      <c r="U29" s="166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</row>
    <row r="30" spans="1:256" hidden="1">
      <c r="A30" s="824"/>
      <c r="B30" s="827"/>
      <c r="C30" s="157" t="s">
        <v>1</v>
      </c>
      <c r="D30" s="158">
        <f t="shared" si="4"/>
        <v>0</v>
      </c>
      <c r="E30" s="159">
        <f t="shared" si="5"/>
        <v>0</v>
      </c>
      <c r="F30" s="159">
        <f t="shared" si="6"/>
        <v>0</v>
      </c>
      <c r="G30" s="159"/>
      <c r="H30" s="159"/>
      <c r="I30" s="159"/>
      <c r="J30" s="159"/>
      <c r="K30" s="159"/>
      <c r="L30" s="159"/>
      <c r="M30" s="159">
        <f t="shared" si="7"/>
        <v>0</v>
      </c>
      <c r="N30" s="159"/>
      <c r="O30" s="159"/>
      <c r="P30" s="159"/>
      <c r="Q30" s="166"/>
      <c r="R30" s="166"/>
      <c r="S30" s="166"/>
      <c r="T30" s="166"/>
      <c r="U30" s="166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</row>
    <row r="31" spans="1:256" hidden="1">
      <c r="A31" s="825"/>
      <c r="B31" s="828"/>
      <c r="C31" s="157" t="s">
        <v>2</v>
      </c>
      <c r="D31" s="158">
        <f>D30+D29</f>
        <v>7310000</v>
      </c>
      <c r="E31" s="159">
        <f t="shared" ref="E31:P31" si="11">E30+E29</f>
        <v>7310000</v>
      </c>
      <c r="F31" s="159">
        <f t="shared" si="11"/>
        <v>10000</v>
      </c>
      <c r="G31" s="159">
        <f t="shared" si="11"/>
        <v>0</v>
      </c>
      <c r="H31" s="159">
        <f t="shared" si="11"/>
        <v>10000</v>
      </c>
      <c r="I31" s="159">
        <f t="shared" si="11"/>
        <v>0</v>
      </c>
      <c r="J31" s="159">
        <f t="shared" si="11"/>
        <v>0</v>
      </c>
      <c r="K31" s="159">
        <f t="shared" si="11"/>
        <v>7300000</v>
      </c>
      <c r="L31" s="159">
        <f t="shared" si="11"/>
        <v>0</v>
      </c>
      <c r="M31" s="159">
        <f t="shared" si="11"/>
        <v>0</v>
      </c>
      <c r="N31" s="159">
        <f t="shared" si="11"/>
        <v>0</v>
      </c>
      <c r="O31" s="159">
        <f t="shared" si="11"/>
        <v>0</v>
      </c>
      <c r="P31" s="159">
        <f t="shared" si="11"/>
        <v>0</v>
      </c>
      <c r="Q31" s="166"/>
      <c r="R31" s="166"/>
      <c r="S31" s="166"/>
      <c r="T31" s="166"/>
      <c r="U31" s="166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>
      <c r="A32" s="823" t="s">
        <v>160</v>
      </c>
      <c r="B32" s="826" t="s">
        <v>103</v>
      </c>
      <c r="C32" s="157" t="s">
        <v>0</v>
      </c>
      <c r="D32" s="158">
        <f t="shared" si="4"/>
        <v>3455689.84</v>
      </c>
      <c r="E32" s="159">
        <f t="shared" si="5"/>
        <v>3455689.84</v>
      </c>
      <c r="F32" s="159">
        <f t="shared" si="6"/>
        <v>2875689.84</v>
      </c>
      <c r="G32" s="159">
        <v>0</v>
      </c>
      <c r="H32" s="159">
        <v>2875689.84</v>
      </c>
      <c r="I32" s="159">
        <v>580000</v>
      </c>
      <c r="J32" s="159">
        <v>0</v>
      </c>
      <c r="K32" s="159">
        <v>0</v>
      </c>
      <c r="L32" s="159">
        <v>0</v>
      </c>
      <c r="M32" s="159">
        <f t="shared" si="7"/>
        <v>0</v>
      </c>
      <c r="N32" s="159">
        <v>0</v>
      </c>
      <c r="O32" s="159">
        <v>0</v>
      </c>
      <c r="P32" s="159">
        <v>0</v>
      </c>
      <c r="Q32" s="166"/>
      <c r="R32" s="166"/>
      <c r="S32" s="166"/>
      <c r="T32" s="166"/>
      <c r="U32" s="166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>
      <c r="A33" s="824"/>
      <c r="B33" s="827"/>
      <c r="C33" s="157" t="s">
        <v>1</v>
      </c>
      <c r="D33" s="158">
        <f t="shared" si="4"/>
        <v>170000</v>
      </c>
      <c r="E33" s="159">
        <f t="shared" si="5"/>
        <v>170000</v>
      </c>
      <c r="F33" s="159">
        <f t="shared" si="6"/>
        <v>170000</v>
      </c>
      <c r="G33" s="159">
        <v>5000</v>
      </c>
      <c r="H33" s="159">
        <f>35700+16700+112600</f>
        <v>165000</v>
      </c>
      <c r="I33" s="159"/>
      <c r="J33" s="159"/>
      <c r="K33" s="159"/>
      <c r="L33" s="159"/>
      <c r="M33" s="159">
        <f t="shared" si="7"/>
        <v>0</v>
      </c>
      <c r="N33" s="159"/>
      <c r="O33" s="159"/>
      <c r="P33" s="159"/>
      <c r="Q33" s="166"/>
      <c r="R33" s="166"/>
      <c r="S33" s="166"/>
      <c r="T33" s="166"/>
      <c r="U33" s="166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</row>
    <row r="34" spans="1:256">
      <c r="A34" s="825"/>
      <c r="B34" s="828"/>
      <c r="C34" s="157" t="s">
        <v>2</v>
      </c>
      <c r="D34" s="158">
        <f>D33+D32</f>
        <v>3625689.84</v>
      </c>
      <c r="E34" s="159">
        <f t="shared" ref="E34:P34" si="12">E33+E32</f>
        <v>3625689.84</v>
      </c>
      <c r="F34" s="159">
        <f t="shared" si="12"/>
        <v>3045689.84</v>
      </c>
      <c r="G34" s="159">
        <f t="shared" si="12"/>
        <v>5000</v>
      </c>
      <c r="H34" s="159">
        <f t="shared" si="12"/>
        <v>3040689.84</v>
      </c>
      <c r="I34" s="159">
        <f t="shared" si="12"/>
        <v>580000</v>
      </c>
      <c r="J34" s="159">
        <f t="shared" si="12"/>
        <v>0</v>
      </c>
      <c r="K34" s="159">
        <f t="shared" si="12"/>
        <v>0</v>
      </c>
      <c r="L34" s="159">
        <f t="shared" si="12"/>
        <v>0</v>
      </c>
      <c r="M34" s="159">
        <f t="shared" si="12"/>
        <v>0</v>
      </c>
      <c r="N34" s="159">
        <f t="shared" si="12"/>
        <v>0</v>
      </c>
      <c r="O34" s="159">
        <f t="shared" si="12"/>
        <v>0</v>
      </c>
      <c r="P34" s="159">
        <f t="shared" si="12"/>
        <v>0</v>
      </c>
      <c r="Q34" s="166"/>
      <c r="R34" s="166"/>
      <c r="S34" s="166"/>
      <c r="T34" s="166"/>
      <c r="U34" s="166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ht="15" hidden="1">
      <c r="A35" s="835" t="s">
        <v>43</v>
      </c>
      <c r="B35" s="838" t="s">
        <v>44</v>
      </c>
      <c r="C35" s="161" t="s">
        <v>0</v>
      </c>
      <c r="D35" s="167">
        <f t="shared" ref="D35:P36" si="13">D38+D41</f>
        <v>250000</v>
      </c>
      <c r="E35" s="168">
        <f t="shared" si="13"/>
        <v>250000</v>
      </c>
      <c r="F35" s="168">
        <f t="shared" si="13"/>
        <v>110000</v>
      </c>
      <c r="G35" s="168">
        <f t="shared" si="13"/>
        <v>105000</v>
      </c>
      <c r="H35" s="168">
        <f t="shared" si="13"/>
        <v>5000</v>
      </c>
      <c r="I35" s="168">
        <f t="shared" si="13"/>
        <v>0</v>
      </c>
      <c r="J35" s="168">
        <f t="shared" si="13"/>
        <v>0</v>
      </c>
      <c r="K35" s="168">
        <f t="shared" si="13"/>
        <v>140000</v>
      </c>
      <c r="L35" s="168">
        <f t="shared" si="13"/>
        <v>0</v>
      </c>
      <c r="M35" s="168">
        <f t="shared" si="13"/>
        <v>0</v>
      </c>
      <c r="N35" s="168">
        <f t="shared" si="13"/>
        <v>0</v>
      </c>
      <c r="O35" s="168">
        <f t="shared" si="13"/>
        <v>0</v>
      </c>
      <c r="P35" s="168">
        <f t="shared" si="13"/>
        <v>0</v>
      </c>
      <c r="Q35" s="169"/>
      <c r="R35" s="169"/>
      <c r="S35" s="169"/>
      <c r="T35" s="169"/>
      <c r="U35" s="169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  <c r="HO35" s="170"/>
      <c r="HP35" s="170"/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0"/>
      <c r="IB35" s="170"/>
      <c r="IC35" s="170"/>
      <c r="ID35" s="170"/>
      <c r="IE35" s="170"/>
      <c r="IF35" s="170"/>
      <c r="IG35" s="170"/>
      <c r="IH35" s="170"/>
      <c r="II35" s="170"/>
      <c r="IJ35" s="170"/>
      <c r="IK35" s="170"/>
      <c r="IL35" s="170"/>
      <c r="IM35" s="170"/>
      <c r="IN35" s="170"/>
      <c r="IO35" s="170"/>
      <c r="IP35" s="170"/>
      <c r="IQ35" s="170"/>
      <c r="IR35" s="170"/>
      <c r="IS35" s="170"/>
      <c r="IT35" s="170"/>
      <c r="IU35" s="170"/>
      <c r="IV35" s="170"/>
    </row>
    <row r="36" spans="1:256" ht="15" hidden="1">
      <c r="A36" s="836"/>
      <c r="B36" s="839"/>
      <c r="C36" s="161" t="s">
        <v>1</v>
      </c>
      <c r="D36" s="167">
        <f t="shared" si="13"/>
        <v>0</v>
      </c>
      <c r="E36" s="168">
        <f t="shared" si="13"/>
        <v>0</v>
      </c>
      <c r="F36" s="168">
        <f t="shared" si="13"/>
        <v>0</v>
      </c>
      <c r="G36" s="168">
        <f t="shared" si="13"/>
        <v>0</v>
      </c>
      <c r="H36" s="168">
        <f t="shared" si="13"/>
        <v>0</v>
      </c>
      <c r="I36" s="168">
        <f t="shared" si="13"/>
        <v>0</v>
      </c>
      <c r="J36" s="168">
        <f t="shared" si="13"/>
        <v>0</v>
      </c>
      <c r="K36" s="168">
        <f t="shared" si="13"/>
        <v>0</v>
      </c>
      <c r="L36" s="168">
        <f t="shared" si="13"/>
        <v>0</v>
      </c>
      <c r="M36" s="168">
        <f t="shared" si="13"/>
        <v>0</v>
      </c>
      <c r="N36" s="168">
        <f t="shared" si="13"/>
        <v>0</v>
      </c>
      <c r="O36" s="168">
        <f t="shared" si="13"/>
        <v>0</v>
      </c>
      <c r="P36" s="168">
        <f t="shared" si="13"/>
        <v>0</v>
      </c>
      <c r="Q36" s="169"/>
      <c r="R36" s="169"/>
      <c r="S36" s="169"/>
      <c r="T36" s="169"/>
      <c r="U36" s="169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L36" s="170"/>
      <c r="FM36" s="170"/>
      <c r="FN36" s="170"/>
      <c r="FO36" s="170"/>
      <c r="FP36" s="170"/>
      <c r="FQ36" s="170"/>
      <c r="FR36" s="170"/>
      <c r="FS36" s="170"/>
      <c r="FT36" s="170"/>
      <c r="FU36" s="170"/>
      <c r="FV36" s="170"/>
      <c r="FW36" s="170"/>
      <c r="FX36" s="170"/>
      <c r="FY36" s="170"/>
      <c r="FZ36" s="170"/>
      <c r="GA36" s="170"/>
      <c r="GB36" s="170"/>
      <c r="GC36" s="170"/>
      <c r="GD36" s="170"/>
      <c r="GE36" s="170"/>
      <c r="GF36" s="170"/>
      <c r="GG36" s="170"/>
      <c r="GH36" s="170"/>
      <c r="GI36" s="170"/>
      <c r="GJ36" s="170"/>
      <c r="GK36" s="170"/>
      <c r="GL36" s="170"/>
      <c r="GM36" s="170"/>
      <c r="GN36" s="170"/>
      <c r="GO36" s="170"/>
      <c r="GP36" s="170"/>
      <c r="GQ36" s="170"/>
      <c r="GR36" s="170"/>
      <c r="GS36" s="170"/>
      <c r="GT36" s="170"/>
      <c r="GU36" s="170"/>
      <c r="GV36" s="170"/>
      <c r="GW36" s="170"/>
      <c r="GX36" s="170"/>
      <c r="GY36" s="170"/>
      <c r="GZ36" s="170"/>
      <c r="HA36" s="170"/>
      <c r="HB36" s="170"/>
      <c r="HC36" s="170"/>
      <c r="HD36" s="170"/>
      <c r="HE36" s="170"/>
      <c r="HF36" s="170"/>
      <c r="HG36" s="170"/>
      <c r="HH36" s="170"/>
      <c r="HI36" s="170"/>
      <c r="HJ36" s="170"/>
      <c r="HK36" s="170"/>
      <c r="HL36" s="170"/>
      <c r="HM36" s="170"/>
      <c r="HN36" s="170"/>
      <c r="HO36" s="170"/>
      <c r="HP36" s="170"/>
      <c r="HQ36" s="170"/>
      <c r="HR36" s="170"/>
      <c r="HS36" s="170"/>
      <c r="HT36" s="170"/>
      <c r="HU36" s="170"/>
      <c r="HV36" s="170"/>
      <c r="HW36" s="170"/>
      <c r="HX36" s="170"/>
      <c r="HY36" s="170"/>
      <c r="HZ36" s="170"/>
      <c r="IA36" s="170"/>
      <c r="IB36" s="170"/>
      <c r="IC36" s="170"/>
      <c r="ID36" s="170"/>
      <c r="IE36" s="170"/>
      <c r="IF36" s="170"/>
      <c r="IG36" s="170"/>
      <c r="IH36" s="170"/>
      <c r="II36" s="170"/>
      <c r="IJ36" s="170"/>
      <c r="IK36" s="170"/>
      <c r="IL36" s="170"/>
      <c r="IM36" s="170"/>
      <c r="IN36" s="170"/>
      <c r="IO36" s="170"/>
      <c r="IP36" s="170"/>
      <c r="IQ36" s="170"/>
      <c r="IR36" s="170"/>
      <c r="IS36" s="170"/>
      <c r="IT36" s="170"/>
      <c r="IU36" s="170"/>
      <c r="IV36" s="170"/>
    </row>
    <row r="37" spans="1:256" ht="15" hidden="1">
      <c r="A37" s="837"/>
      <c r="B37" s="840"/>
      <c r="C37" s="161" t="s">
        <v>2</v>
      </c>
      <c r="D37" s="167">
        <f>D36+D35</f>
        <v>250000</v>
      </c>
      <c r="E37" s="168">
        <f t="shared" ref="E37:P37" si="14">E36+E35</f>
        <v>250000</v>
      </c>
      <c r="F37" s="168">
        <f t="shared" si="14"/>
        <v>110000</v>
      </c>
      <c r="G37" s="168">
        <f t="shared" si="14"/>
        <v>105000</v>
      </c>
      <c r="H37" s="168">
        <f t="shared" si="14"/>
        <v>5000</v>
      </c>
      <c r="I37" s="168">
        <f t="shared" si="14"/>
        <v>0</v>
      </c>
      <c r="J37" s="168">
        <f t="shared" si="14"/>
        <v>0</v>
      </c>
      <c r="K37" s="168">
        <f t="shared" si="14"/>
        <v>140000</v>
      </c>
      <c r="L37" s="168">
        <f t="shared" si="14"/>
        <v>0</v>
      </c>
      <c r="M37" s="168">
        <f t="shared" si="14"/>
        <v>0</v>
      </c>
      <c r="N37" s="168">
        <f t="shared" si="14"/>
        <v>0</v>
      </c>
      <c r="O37" s="168">
        <f t="shared" si="14"/>
        <v>0</v>
      </c>
      <c r="P37" s="168">
        <f t="shared" si="14"/>
        <v>0</v>
      </c>
      <c r="Q37" s="169"/>
      <c r="R37" s="169"/>
      <c r="S37" s="169"/>
      <c r="T37" s="169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  <c r="HK37" s="170"/>
      <c r="HL37" s="170"/>
      <c r="HM37" s="170"/>
      <c r="HN37" s="170"/>
      <c r="HO37" s="170"/>
      <c r="HP37" s="170"/>
      <c r="HQ37" s="170"/>
      <c r="HR37" s="170"/>
      <c r="HS37" s="170"/>
      <c r="HT37" s="170"/>
      <c r="HU37" s="170"/>
      <c r="HV37" s="170"/>
      <c r="HW37" s="170"/>
      <c r="HX37" s="170"/>
      <c r="HY37" s="170"/>
      <c r="HZ37" s="170"/>
      <c r="IA37" s="170"/>
      <c r="IB37" s="170"/>
      <c r="IC37" s="170"/>
      <c r="ID37" s="170"/>
      <c r="IE37" s="170"/>
      <c r="IF37" s="170"/>
      <c r="IG37" s="170"/>
      <c r="IH37" s="170"/>
      <c r="II37" s="170"/>
      <c r="IJ37" s="170"/>
      <c r="IK37" s="170"/>
      <c r="IL37" s="170"/>
      <c r="IM37" s="170"/>
      <c r="IN37" s="170"/>
      <c r="IO37" s="170"/>
      <c r="IP37" s="170"/>
      <c r="IQ37" s="170"/>
      <c r="IR37" s="170"/>
      <c r="IS37" s="170"/>
      <c r="IT37" s="170"/>
      <c r="IU37" s="170"/>
      <c r="IV37" s="170"/>
    </row>
    <row r="38" spans="1:256" hidden="1">
      <c r="A38" s="823" t="s">
        <v>161</v>
      </c>
      <c r="B38" s="826" t="s">
        <v>162</v>
      </c>
      <c r="C38" s="157" t="s">
        <v>0</v>
      </c>
      <c r="D38" s="158">
        <f>E38+M38</f>
        <v>145000</v>
      </c>
      <c r="E38" s="159">
        <f>F38+I38+J38+K38+L38</f>
        <v>145000</v>
      </c>
      <c r="F38" s="159">
        <f>G38+H38</f>
        <v>5000</v>
      </c>
      <c r="G38" s="159">
        <v>0</v>
      </c>
      <c r="H38" s="159">
        <v>5000</v>
      </c>
      <c r="I38" s="159">
        <v>0</v>
      </c>
      <c r="J38" s="159">
        <v>0</v>
      </c>
      <c r="K38" s="159">
        <f>98000+42000</f>
        <v>140000</v>
      </c>
      <c r="L38" s="159">
        <v>0</v>
      </c>
      <c r="M38" s="159">
        <f>N38+P38</f>
        <v>0</v>
      </c>
      <c r="N38" s="159">
        <v>0</v>
      </c>
      <c r="O38" s="159">
        <v>0</v>
      </c>
      <c r="P38" s="159">
        <v>0</v>
      </c>
      <c r="Q38" s="160"/>
      <c r="R38" s="160"/>
      <c r="S38" s="160"/>
      <c r="T38" s="160"/>
      <c r="U38" s="16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  <c r="IU38" s="151"/>
      <c r="IV38" s="151"/>
    </row>
    <row r="39" spans="1:256" hidden="1">
      <c r="A39" s="824"/>
      <c r="B39" s="827"/>
      <c r="C39" s="157" t="s">
        <v>1</v>
      </c>
      <c r="D39" s="158">
        <f>E39+M39</f>
        <v>0</v>
      </c>
      <c r="E39" s="159">
        <f>F39+I39+J39+K39+L39</f>
        <v>0</v>
      </c>
      <c r="F39" s="159">
        <f>G39+H39</f>
        <v>0</v>
      </c>
      <c r="G39" s="159"/>
      <c r="H39" s="159"/>
      <c r="I39" s="159"/>
      <c r="J39" s="159"/>
      <c r="K39" s="159"/>
      <c r="L39" s="159"/>
      <c r="M39" s="159">
        <f>N39+P39</f>
        <v>0</v>
      </c>
      <c r="N39" s="159"/>
      <c r="O39" s="159"/>
      <c r="P39" s="159"/>
      <c r="Q39" s="160"/>
      <c r="R39" s="160"/>
      <c r="S39" s="160"/>
      <c r="T39" s="160"/>
      <c r="U39" s="16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  <c r="IP39" s="151"/>
      <c r="IQ39" s="151"/>
      <c r="IR39" s="151"/>
      <c r="IS39" s="151"/>
      <c r="IT39" s="151"/>
      <c r="IU39" s="151"/>
      <c r="IV39" s="151"/>
    </row>
    <row r="40" spans="1:256" hidden="1">
      <c r="A40" s="825"/>
      <c r="B40" s="828"/>
      <c r="C40" s="157" t="s">
        <v>2</v>
      </c>
      <c r="D40" s="158">
        <f>D39+D38</f>
        <v>145000</v>
      </c>
      <c r="E40" s="159">
        <f t="shared" ref="E40:P40" si="15">E39+E38</f>
        <v>145000</v>
      </c>
      <c r="F40" s="159">
        <f t="shared" si="15"/>
        <v>5000</v>
      </c>
      <c r="G40" s="159">
        <f t="shared" si="15"/>
        <v>0</v>
      </c>
      <c r="H40" s="159">
        <f t="shared" si="15"/>
        <v>5000</v>
      </c>
      <c r="I40" s="159">
        <f t="shared" si="15"/>
        <v>0</v>
      </c>
      <c r="J40" s="159">
        <f t="shared" si="15"/>
        <v>0</v>
      </c>
      <c r="K40" s="159">
        <f t="shared" si="15"/>
        <v>140000</v>
      </c>
      <c r="L40" s="159">
        <f t="shared" si="15"/>
        <v>0</v>
      </c>
      <c r="M40" s="159">
        <f t="shared" si="15"/>
        <v>0</v>
      </c>
      <c r="N40" s="159">
        <f t="shared" si="15"/>
        <v>0</v>
      </c>
      <c r="O40" s="159">
        <f t="shared" si="15"/>
        <v>0</v>
      </c>
      <c r="P40" s="159">
        <f t="shared" si="15"/>
        <v>0</v>
      </c>
      <c r="Q40" s="160"/>
      <c r="R40" s="160"/>
      <c r="S40" s="160"/>
      <c r="T40" s="160"/>
      <c r="U40" s="16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  <c r="IP40" s="151"/>
      <c r="IQ40" s="151"/>
      <c r="IR40" s="151"/>
      <c r="IS40" s="151"/>
      <c r="IT40" s="151"/>
      <c r="IU40" s="151"/>
      <c r="IV40" s="151"/>
    </row>
    <row r="41" spans="1:256" hidden="1">
      <c r="A41" s="823" t="s">
        <v>163</v>
      </c>
      <c r="B41" s="826" t="s">
        <v>103</v>
      </c>
      <c r="C41" s="157" t="s">
        <v>0</v>
      </c>
      <c r="D41" s="158">
        <f>E41+M41</f>
        <v>105000</v>
      </c>
      <c r="E41" s="159">
        <f>F41+I41+J41+K41+L41</f>
        <v>105000</v>
      </c>
      <c r="F41" s="159">
        <f>G41+H41</f>
        <v>105000</v>
      </c>
      <c r="G41" s="159">
        <v>105000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f>N41+P41</f>
        <v>0</v>
      </c>
      <c r="N41" s="159">
        <v>0</v>
      </c>
      <c r="O41" s="159">
        <v>0</v>
      </c>
      <c r="P41" s="159">
        <v>0</v>
      </c>
      <c r="Q41" s="166"/>
      <c r="R41" s="166"/>
      <c r="S41" s="166"/>
      <c r="T41" s="166"/>
      <c r="U41" s="166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</row>
    <row r="42" spans="1:256" hidden="1">
      <c r="A42" s="824"/>
      <c r="B42" s="827"/>
      <c r="C42" s="157" t="s">
        <v>1</v>
      </c>
      <c r="D42" s="158">
        <f>E42+M42</f>
        <v>0</v>
      </c>
      <c r="E42" s="159">
        <f>F42+I42+J42+K42+L42</f>
        <v>0</v>
      </c>
      <c r="F42" s="159">
        <f>G42+H42</f>
        <v>0</v>
      </c>
      <c r="G42" s="159"/>
      <c r="H42" s="159"/>
      <c r="I42" s="159"/>
      <c r="J42" s="159"/>
      <c r="K42" s="159"/>
      <c r="L42" s="159"/>
      <c r="M42" s="159">
        <f>N42+P42</f>
        <v>0</v>
      </c>
      <c r="N42" s="159"/>
      <c r="O42" s="159"/>
      <c r="P42" s="159"/>
      <c r="Q42" s="166"/>
      <c r="R42" s="166"/>
      <c r="S42" s="166"/>
      <c r="T42" s="166"/>
      <c r="U42" s="166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</row>
    <row r="43" spans="1:256" hidden="1">
      <c r="A43" s="825"/>
      <c r="B43" s="828"/>
      <c r="C43" s="157" t="s">
        <v>2</v>
      </c>
      <c r="D43" s="158">
        <f>D42+D41</f>
        <v>105000</v>
      </c>
      <c r="E43" s="159">
        <f t="shared" ref="E43:P43" si="16">E42+E41</f>
        <v>105000</v>
      </c>
      <c r="F43" s="159">
        <f t="shared" si="16"/>
        <v>105000</v>
      </c>
      <c r="G43" s="159">
        <f t="shared" si="16"/>
        <v>105000</v>
      </c>
      <c r="H43" s="159">
        <f t="shared" si="16"/>
        <v>0</v>
      </c>
      <c r="I43" s="159">
        <f t="shared" si="16"/>
        <v>0</v>
      </c>
      <c r="J43" s="159">
        <f t="shared" si="16"/>
        <v>0</v>
      </c>
      <c r="K43" s="159">
        <f t="shared" si="16"/>
        <v>0</v>
      </c>
      <c r="L43" s="159">
        <f t="shared" si="16"/>
        <v>0</v>
      </c>
      <c r="M43" s="159">
        <f t="shared" si="16"/>
        <v>0</v>
      </c>
      <c r="N43" s="159">
        <f t="shared" si="16"/>
        <v>0</v>
      </c>
      <c r="O43" s="159">
        <f t="shared" si="16"/>
        <v>0</v>
      </c>
      <c r="P43" s="159">
        <f t="shared" si="16"/>
        <v>0</v>
      </c>
      <c r="Q43" s="166"/>
      <c r="R43" s="166"/>
      <c r="S43" s="166"/>
      <c r="T43" s="166"/>
      <c r="U43" s="166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</row>
    <row r="44" spans="1:256" ht="15" hidden="1">
      <c r="A44" s="835" t="s">
        <v>95</v>
      </c>
      <c r="B44" s="838" t="s">
        <v>96</v>
      </c>
      <c r="C44" s="161" t="s">
        <v>0</v>
      </c>
      <c r="D44" s="162">
        <f>D47</f>
        <v>376000</v>
      </c>
      <c r="E44" s="163">
        <f t="shared" ref="E44:P45" si="17">E47</f>
        <v>376000</v>
      </c>
      <c r="F44" s="163">
        <f t="shared" si="17"/>
        <v>376000</v>
      </c>
      <c r="G44" s="163">
        <f t="shared" si="17"/>
        <v>369000</v>
      </c>
      <c r="H44" s="163">
        <f t="shared" si="17"/>
        <v>7000</v>
      </c>
      <c r="I44" s="163">
        <f t="shared" si="17"/>
        <v>0</v>
      </c>
      <c r="J44" s="163">
        <f t="shared" si="17"/>
        <v>0</v>
      </c>
      <c r="K44" s="163">
        <f t="shared" si="17"/>
        <v>0</v>
      </c>
      <c r="L44" s="163">
        <f t="shared" si="17"/>
        <v>0</v>
      </c>
      <c r="M44" s="163">
        <f t="shared" si="17"/>
        <v>0</v>
      </c>
      <c r="N44" s="163">
        <f t="shared" si="17"/>
        <v>0</v>
      </c>
      <c r="O44" s="163">
        <f t="shared" si="17"/>
        <v>0</v>
      </c>
      <c r="P44" s="163">
        <f t="shared" si="17"/>
        <v>0</v>
      </c>
      <c r="Q44" s="171"/>
      <c r="R44" s="171"/>
      <c r="S44" s="171"/>
      <c r="T44" s="171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  <c r="IH44" s="172"/>
      <c r="II44" s="172"/>
      <c r="IJ44" s="172"/>
      <c r="IK44" s="172"/>
      <c r="IL44" s="172"/>
      <c r="IM44" s="172"/>
      <c r="IN44" s="172"/>
      <c r="IO44" s="172"/>
      <c r="IP44" s="172"/>
      <c r="IQ44" s="172"/>
      <c r="IR44" s="172"/>
      <c r="IS44" s="172"/>
      <c r="IT44" s="172"/>
      <c r="IU44" s="172"/>
      <c r="IV44" s="172"/>
    </row>
    <row r="45" spans="1:256" ht="15" hidden="1">
      <c r="A45" s="836"/>
      <c r="B45" s="839"/>
      <c r="C45" s="161" t="s">
        <v>1</v>
      </c>
      <c r="D45" s="162">
        <f>D48</f>
        <v>0</v>
      </c>
      <c r="E45" s="163">
        <f t="shared" si="17"/>
        <v>0</v>
      </c>
      <c r="F45" s="163">
        <f t="shared" si="17"/>
        <v>0</v>
      </c>
      <c r="G45" s="163">
        <f t="shared" si="17"/>
        <v>0</v>
      </c>
      <c r="H45" s="163">
        <f t="shared" si="17"/>
        <v>0</v>
      </c>
      <c r="I45" s="163">
        <f t="shared" si="17"/>
        <v>0</v>
      </c>
      <c r="J45" s="163">
        <f t="shared" si="17"/>
        <v>0</v>
      </c>
      <c r="K45" s="163">
        <f t="shared" si="17"/>
        <v>0</v>
      </c>
      <c r="L45" s="163">
        <f t="shared" si="17"/>
        <v>0</v>
      </c>
      <c r="M45" s="163">
        <f t="shared" si="17"/>
        <v>0</v>
      </c>
      <c r="N45" s="163">
        <f t="shared" si="17"/>
        <v>0</v>
      </c>
      <c r="O45" s="163">
        <f t="shared" si="17"/>
        <v>0</v>
      </c>
      <c r="P45" s="163">
        <f t="shared" si="17"/>
        <v>0</v>
      </c>
      <c r="Q45" s="171"/>
      <c r="R45" s="171"/>
      <c r="S45" s="171"/>
      <c r="T45" s="171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  <c r="IH45" s="172"/>
      <c r="II45" s="172"/>
      <c r="IJ45" s="172"/>
      <c r="IK45" s="172"/>
      <c r="IL45" s="172"/>
      <c r="IM45" s="172"/>
      <c r="IN45" s="172"/>
      <c r="IO45" s="172"/>
      <c r="IP45" s="172"/>
      <c r="IQ45" s="172"/>
      <c r="IR45" s="172"/>
      <c r="IS45" s="172"/>
      <c r="IT45" s="172"/>
      <c r="IU45" s="172"/>
      <c r="IV45" s="172"/>
    </row>
    <row r="46" spans="1:256" ht="15" hidden="1">
      <c r="A46" s="837"/>
      <c r="B46" s="840"/>
      <c r="C46" s="161" t="s">
        <v>2</v>
      </c>
      <c r="D46" s="162">
        <f>D45+D44</f>
        <v>376000</v>
      </c>
      <c r="E46" s="163">
        <f t="shared" ref="E46:P46" si="18">E45+E44</f>
        <v>376000</v>
      </c>
      <c r="F46" s="163">
        <f t="shared" si="18"/>
        <v>376000</v>
      </c>
      <c r="G46" s="163">
        <f t="shared" si="18"/>
        <v>369000</v>
      </c>
      <c r="H46" s="163">
        <f t="shared" si="18"/>
        <v>7000</v>
      </c>
      <c r="I46" s="163">
        <f t="shared" si="18"/>
        <v>0</v>
      </c>
      <c r="J46" s="163">
        <f t="shared" si="18"/>
        <v>0</v>
      </c>
      <c r="K46" s="163">
        <f t="shared" si="18"/>
        <v>0</v>
      </c>
      <c r="L46" s="163">
        <f t="shared" si="18"/>
        <v>0</v>
      </c>
      <c r="M46" s="163">
        <f t="shared" si="18"/>
        <v>0</v>
      </c>
      <c r="N46" s="163">
        <f t="shared" si="18"/>
        <v>0</v>
      </c>
      <c r="O46" s="163">
        <f t="shared" si="18"/>
        <v>0</v>
      </c>
      <c r="P46" s="163">
        <f t="shared" si="18"/>
        <v>0</v>
      </c>
      <c r="Q46" s="171"/>
      <c r="R46" s="171"/>
      <c r="S46" s="171"/>
      <c r="T46" s="171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  <c r="IH46" s="172"/>
      <c r="II46" s="172"/>
      <c r="IJ46" s="172"/>
      <c r="IK46" s="172"/>
      <c r="IL46" s="172"/>
      <c r="IM46" s="172"/>
      <c r="IN46" s="172"/>
      <c r="IO46" s="172"/>
      <c r="IP46" s="172"/>
      <c r="IQ46" s="172"/>
      <c r="IR46" s="172"/>
      <c r="IS46" s="172"/>
      <c r="IT46" s="172"/>
      <c r="IU46" s="172"/>
      <c r="IV46" s="172"/>
    </row>
    <row r="47" spans="1:256" hidden="1">
      <c r="A47" s="823" t="s">
        <v>164</v>
      </c>
      <c r="B47" s="826" t="s">
        <v>103</v>
      </c>
      <c r="C47" s="157" t="s">
        <v>0</v>
      </c>
      <c r="D47" s="158">
        <f>E47+M47</f>
        <v>376000</v>
      </c>
      <c r="E47" s="159">
        <f>F47+I47+J47+K47+L47</f>
        <v>376000</v>
      </c>
      <c r="F47" s="159">
        <f>G47+H47</f>
        <v>376000</v>
      </c>
      <c r="G47" s="159">
        <v>369000</v>
      </c>
      <c r="H47" s="159">
        <f>2000+5000</f>
        <v>7000</v>
      </c>
      <c r="I47" s="159">
        <v>0</v>
      </c>
      <c r="J47" s="159">
        <v>0</v>
      </c>
      <c r="K47" s="159">
        <v>0</v>
      </c>
      <c r="L47" s="159">
        <v>0</v>
      </c>
      <c r="M47" s="159">
        <f>N47+P47</f>
        <v>0</v>
      </c>
      <c r="N47" s="159">
        <v>0</v>
      </c>
      <c r="O47" s="159">
        <v>0</v>
      </c>
      <c r="P47" s="159">
        <v>0</v>
      </c>
      <c r="Q47" s="166"/>
      <c r="R47" s="166"/>
      <c r="S47" s="166"/>
      <c r="T47" s="166"/>
      <c r="U47" s="166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</row>
    <row r="48" spans="1:256" hidden="1">
      <c r="A48" s="824"/>
      <c r="B48" s="827"/>
      <c r="C48" s="157" t="s">
        <v>1</v>
      </c>
      <c r="D48" s="158">
        <f>E48+M48</f>
        <v>0</v>
      </c>
      <c r="E48" s="159">
        <f>F48+I48+J48+K48+L48</f>
        <v>0</v>
      </c>
      <c r="F48" s="159">
        <f>G48+H48</f>
        <v>0</v>
      </c>
      <c r="G48" s="159"/>
      <c r="H48" s="159"/>
      <c r="I48" s="159"/>
      <c r="J48" s="159"/>
      <c r="K48" s="159"/>
      <c r="L48" s="159"/>
      <c r="M48" s="159">
        <f>N48+P48</f>
        <v>0</v>
      </c>
      <c r="N48" s="159"/>
      <c r="O48" s="159"/>
      <c r="P48" s="159"/>
      <c r="Q48" s="166"/>
      <c r="R48" s="166"/>
      <c r="S48" s="166"/>
      <c r="T48" s="166"/>
      <c r="U48" s="166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</row>
    <row r="49" spans="1:256" hidden="1">
      <c r="A49" s="825"/>
      <c r="B49" s="828"/>
      <c r="C49" s="157" t="s">
        <v>2</v>
      </c>
      <c r="D49" s="158">
        <f>D48+D47</f>
        <v>376000</v>
      </c>
      <c r="E49" s="159">
        <f t="shared" ref="E49:P49" si="19">E48+E47</f>
        <v>376000</v>
      </c>
      <c r="F49" s="159">
        <f t="shared" si="19"/>
        <v>376000</v>
      </c>
      <c r="G49" s="159">
        <f t="shared" si="19"/>
        <v>369000</v>
      </c>
      <c r="H49" s="159">
        <f t="shared" si="19"/>
        <v>7000</v>
      </c>
      <c r="I49" s="159">
        <f t="shared" si="19"/>
        <v>0</v>
      </c>
      <c r="J49" s="159">
        <f t="shared" si="19"/>
        <v>0</v>
      </c>
      <c r="K49" s="159">
        <f t="shared" si="19"/>
        <v>0</v>
      </c>
      <c r="L49" s="159">
        <f t="shared" si="19"/>
        <v>0</v>
      </c>
      <c r="M49" s="159">
        <f t="shared" si="19"/>
        <v>0</v>
      </c>
      <c r="N49" s="159">
        <f t="shared" si="19"/>
        <v>0</v>
      </c>
      <c r="O49" s="159">
        <f t="shared" si="19"/>
        <v>0</v>
      </c>
      <c r="P49" s="159">
        <f t="shared" si="19"/>
        <v>0</v>
      </c>
      <c r="Q49" s="166"/>
      <c r="R49" s="166"/>
      <c r="S49" s="166"/>
      <c r="T49" s="166"/>
      <c r="U49" s="166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</row>
    <row r="50" spans="1:256" ht="15">
      <c r="A50" s="835" t="s">
        <v>81</v>
      </c>
      <c r="B50" s="838" t="s">
        <v>82</v>
      </c>
      <c r="C50" s="161" t="s">
        <v>0</v>
      </c>
      <c r="D50" s="162">
        <f>D56+D53+D59</f>
        <v>28808976</v>
      </c>
      <c r="E50" s="163">
        <f t="shared" ref="D50:P51" si="20">E56+E53+E59</f>
        <v>28808976</v>
      </c>
      <c r="F50" s="163">
        <f t="shared" si="20"/>
        <v>20000</v>
      </c>
      <c r="G50" s="163">
        <f t="shared" si="20"/>
        <v>5000</v>
      </c>
      <c r="H50" s="163">
        <f t="shared" si="20"/>
        <v>15000</v>
      </c>
      <c r="I50" s="163">
        <f t="shared" si="20"/>
        <v>0</v>
      </c>
      <c r="J50" s="163">
        <f t="shared" si="20"/>
        <v>0</v>
      </c>
      <c r="K50" s="163">
        <f t="shared" si="20"/>
        <v>28788976</v>
      </c>
      <c r="L50" s="163">
        <f t="shared" si="20"/>
        <v>0</v>
      </c>
      <c r="M50" s="163">
        <f t="shared" si="20"/>
        <v>0</v>
      </c>
      <c r="N50" s="163">
        <f t="shared" si="20"/>
        <v>0</v>
      </c>
      <c r="O50" s="163">
        <f t="shared" si="20"/>
        <v>0</v>
      </c>
      <c r="P50" s="163">
        <f t="shared" si="20"/>
        <v>0</v>
      </c>
      <c r="Q50" s="171"/>
      <c r="R50" s="171"/>
      <c r="S50" s="171"/>
      <c r="T50" s="171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  <c r="IG50" s="172"/>
      <c r="IH50" s="172"/>
      <c r="II50" s="172"/>
      <c r="IJ50" s="172"/>
      <c r="IK50" s="172"/>
      <c r="IL50" s="172"/>
      <c r="IM50" s="172"/>
      <c r="IN50" s="172"/>
      <c r="IO50" s="172"/>
      <c r="IP50" s="172"/>
      <c r="IQ50" s="172"/>
      <c r="IR50" s="172"/>
      <c r="IS50" s="172"/>
      <c r="IT50" s="172"/>
      <c r="IU50" s="172"/>
      <c r="IV50" s="172"/>
    </row>
    <row r="51" spans="1:256" ht="15">
      <c r="A51" s="836"/>
      <c r="B51" s="839"/>
      <c r="C51" s="161" t="s">
        <v>1</v>
      </c>
      <c r="D51" s="162">
        <f t="shared" si="20"/>
        <v>275858</v>
      </c>
      <c r="E51" s="163">
        <f t="shared" si="20"/>
        <v>275858</v>
      </c>
      <c r="F51" s="163">
        <f t="shared" si="20"/>
        <v>0</v>
      </c>
      <c r="G51" s="163">
        <f t="shared" si="20"/>
        <v>0</v>
      </c>
      <c r="H51" s="163">
        <f t="shared" si="20"/>
        <v>0</v>
      </c>
      <c r="I51" s="163">
        <f t="shared" si="20"/>
        <v>0</v>
      </c>
      <c r="J51" s="163">
        <f t="shared" si="20"/>
        <v>0</v>
      </c>
      <c r="K51" s="163">
        <f t="shared" si="20"/>
        <v>275858</v>
      </c>
      <c r="L51" s="163">
        <f t="shared" si="20"/>
        <v>0</v>
      </c>
      <c r="M51" s="163">
        <f t="shared" si="20"/>
        <v>0</v>
      </c>
      <c r="N51" s="163">
        <f t="shared" si="20"/>
        <v>0</v>
      </c>
      <c r="O51" s="163">
        <f t="shared" si="20"/>
        <v>0</v>
      </c>
      <c r="P51" s="163">
        <f t="shared" si="20"/>
        <v>0</v>
      </c>
      <c r="Q51" s="171"/>
      <c r="R51" s="171"/>
      <c r="S51" s="171"/>
      <c r="T51" s="171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  <c r="IA51" s="172"/>
      <c r="IB51" s="172"/>
      <c r="IC51" s="172"/>
      <c r="ID51" s="172"/>
      <c r="IE51" s="172"/>
      <c r="IF51" s="172"/>
      <c r="IG51" s="172"/>
      <c r="IH51" s="172"/>
      <c r="II51" s="172"/>
      <c r="IJ51" s="172"/>
      <c r="IK51" s="172"/>
      <c r="IL51" s="172"/>
      <c r="IM51" s="172"/>
      <c r="IN51" s="172"/>
      <c r="IO51" s="172"/>
      <c r="IP51" s="172"/>
      <c r="IQ51" s="172"/>
      <c r="IR51" s="172"/>
      <c r="IS51" s="172"/>
      <c r="IT51" s="172"/>
      <c r="IU51" s="172"/>
      <c r="IV51" s="172"/>
    </row>
    <row r="52" spans="1:256" ht="15">
      <c r="A52" s="837"/>
      <c r="B52" s="840"/>
      <c r="C52" s="161" t="s">
        <v>2</v>
      </c>
      <c r="D52" s="162">
        <f>D51+D50</f>
        <v>29084834</v>
      </c>
      <c r="E52" s="163">
        <f t="shared" ref="E52:P52" si="21">E51+E50</f>
        <v>29084834</v>
      </c>
      <c r="F52" s="163">
        <f t="shared" si="21"/>
        <v>20000</v>
      </c>
      <c r="G52" s="163">
        <f t="shared" si="21"/>
        <v>5000</v>
      </c>
      <c r="H52" s="163">
        <f t="shared" si="21"/>
        <v>15000</v>
      </c>
      <c r="I52" s="163">
        <f t="shared" si="21"/>
        <v>0</v>
      </c>
      <c r="J52" s="163">
        <f t="shared" si="21"/>
        <v>0</v>
      </c>
      <c r="K52" s="163">
        <f t="shared" si="21"/>
        <v>29064834</v>
      </c>
      <c r="L52" s="163">
        <f t="shared" si="21"/>
        <v>0</v>
      </c>
      <c r="M52" s="163">
        <f t="shared" si="21"/>
        <v>0</v>
      </c>
      <c r="N52" s="163">
        <f t="shared" si="21"/>
        <v>0</v>
      </c>
      <c r="O52" s="163">
        <f t="shared" si="21"/>
        <v>0</v>
      </c>
      <c r="P52" s="163">
        <f t="shared" si="21"/>
        <v>0</v>
      </c>
      <c r="Q52" s="171"/>
      <c r="R52" s="171"/>
      <c r="S52" s="171"/>
      <c r="T52" s="171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  <c r="HG52" s="172"/>
      <c r="HH52" s="172"/>
      <c r="HI52" s="172"/>
      <c r="HJ52" s="172"/>
      <c r="HK52" s="172"/>
      <c r="HL52" s="172"/>
      <c r="HM52" s="172"/>
      <c r="HN52" s="172"/>
      <c r="HO52" s="172"/>
      <c r="HP52" s="172"/>
      <c r="HQ52" s="172"/>
      <c r="HR52" s="172"/>
      <c r="HS52" s="172"/>
      <c r="HT52" s="172"/>
      <c r="HU52" s="172"/>
      <c r="HV52" s="172"/>
      <c r="HW52" s="172"/>
      <c r="HX52" s="172"/>
      <c r="HY52" s="172"/>
      <c r="HZ52" s="172"/>
      <c r="IA52" s="172"/>
      <c r="IB52" s="172"/>
      <c r="IC52" s="172"/>
      <c r="ID52" s="172"/>
      <c r="IE52" s="172"/>
      <c r="IF52" s="172"/>
      <c r="IG52" s="172"/>
      <c r="IH52" s="172"/>
      <c r="II52" s="172"/>
      <c r="IJ52" s="172"/>
      <c r="IK52" s="172"/>
      <c r="IL52" s="172"/>
      <c r="IM52" s="172"/>
      <c r="IN52" s="172"/>
      <c r="IO52" s="172"/>
      <c r="IP52" s="172"/>
      <c r="IQ52" s="172"/>
      <c r="IR52" s="172"/>
      <c r="IS52" s="172"/>
      <c r="IT52" s="172"/>
      <c r="IU52" s="172"/>
      <c r="IV52" s="172"/>
    </row>
    <row r="53" spans="1:256" hidden="1">
      <c r="A53" s="823" t="s">
        <v>165</v>
      </c>
      <c r="B53" s="826" t="s">
        <v>166</v>
      </c>
      <c r="C53" s="157" t="s">
        <v>0</v>
      </c>
      <c r="D53" s="158">
        <f>E53+M53</f>
        <v>5685995</v>
      </c>
      <c r="E53" s="159">
        <f>F53+I53+J53+K53+L53</f>
        <v>5685995</v>
      </c>
      <c r="F53" s="159">
        <f>G53+H53</f>
        <v>0</v>
      </c>
      <c r="G53" s="159">
        <v>0</v>
      </c>
      <c r="H53" s="159">
        <v>0</v>
      </c>
      <c r="I53" s="159">
        <v>0</v>
      </c>
      <c r="J53" s="159">
        <v>0</v>
      </c>
      <c r="K53" s="159">
        <f>4689052+996943</f>
        <v>5685995</v>
      </c>
      <c r="L53" s="159">
        <v>0</v>
      </c>
      <c r="M53" s="159">
        <f>N53+P53</f>
        <v>0</v>
      </c>
      <c r="N53" s="159">
        <v>0</v>
      </c>
      <c r="O53" s="159">
        <v>0</v>
      </c>
      <c r="P53" s="159">
        <v>0</v>
      </c>
      <c r="Q53" s="166"/>
      <c r="R53" s="166"/>
      <c r="S53" s="166"/>
      <c r="T53" s="166"/>
      <c r="U53" s="166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</row>
    <row r="54" spans="1:256" hidden="1">
      <c r="A54" s="824"/>
      <c r="B54" s="827"/>
      <c r="C54" s="157" t="s">
        <v>1</v>
      </c>
      <c r="D54" s="158">
        <f>E54+M54</f>
        <v>0</v>
      </c>
      <c r="E54" s="159">
        <f>F54+I54+J54+K54+L54</f>
        <v>0</v>
      </c>
      <c r="F54" s="159">
        <f>G54+H54</f>
        <v>0</v>
      </c>
      <c r="G54" s="159"/>
      <c r="H54" s="159"/>
      <c r="I54" s="159"/>
      <c r="J54" s="159"/>
      <c r="K54" s="159"/>
      <c r="L54" s="159"/>
      <c r="M54" s="159">
        <f>N54+P54</f>
        <v>0</v>
      </c>
      <c r="N54" s="159"/>
      <c r="O54" s="159"/>
      <c r="P54" s="159"/>
      <c r="Q54" s="166"/>
      <c r="R54" s="166"/>
      <c r="S54" s="166"/>
      <c r="T54" s="166"/>
      <c r="U54" s="166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</row>
    <row r="55" spans="1:256" hidden="1">
      <c r="A55" s="825"/>
      <c r="B55" s="828"/>
      <c r="C55" s="157" t="s">
        <v>2</v>
      </c>
      <c r="D55" s="158">
        <f>D54+D53</f>
        <v>5685995</v>
      </c>
      <c r="E55" s="159">
        <f t="shared" ref="E55:P55" si="22">E54+E53</f>
        <v>5685995</v>
      </c>
      <c r="F55" s="159">
        <f t="shared" si="22"/>
        <v>0</v>
      </c>
      <c r="G55" s="159">
        <f t="shared" si="22"/>
        <v>0</v>
      </c>
      <c r="H55" s="159">
        <f t="shared" si="22"/>
        <v>0</v>
      </c>
      <c r="I55" s="159">
        <f t="shared" si="22"/>
        <v>0</v>
      </c>
      <c r="J55" s="159">
        <f t="shared" si="22"/>
        <v>0</v>
      </c>
      <c r="K55" s="159">
        <f t="shared" si="22"/>
        <v>5685995</v>
      </c>
      <c r="L55" s="159">
        <f t="shared" si="22"/>
        <v>0</v>
      </c>
      <c r="M55" s="159">
        <f t="shared" si="22"/>
        <v>0</v>
      </c>
      <c r="N55" s="159">
        <f t="shared" si="22"/>
        <v>0</v>
      </c>
      <c r="O55" s="159">
        <f t="shared" si="22"/>
        <v>0</v>
      </c>
      <c r="P55" s="159">
        <f t="shared" si="22"/>
        <v>0</v>
      </c>
      <c r="Q55" s="166"/>
      <c r="R55" s="166"/>
      <c r="S55" s="166"/>
      <c r="T55" s="166"/>
      <c r="U55" s="166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</row>
    <row r="56" spans="1:256" hidden="1">
      <c r="A56" s="823" t="s">
        <v>167</v>
      </c>
      <c r="B56" s="826" t="s">
        <v>168</v>
      </c>
      <c r="C56" s="157" t="s">
        <v>0</v>
      </c>
      <c r="D56" s="158">
        <f>E56+M56</f>
        <v>22860448</v>
      </c>
      <c r="E56" s="159">
        <f>F56+I56+J56+K56+L56</f>
        <v>22860448</v>
      </c>
      <c r="F56" s="159">
        <f>G56+H56</f>
        <v>20000</v>
      </c>
      <c r="G56" s="159">
        <v>5000</v>
      </c>
      <c r="H56" s="159">
        <v>15000</v>
      </c>
      <c r="I56" s="159">
        <v>0</v>
      </c>
      <c r="J56" s="159">
        <v>0</v>
      </c>
      <c r="K56" s="159">
        <v>22840448</v>
      </c>
      <c r="L56" s="159">
        <v>0</v>
      </c>
      <c r="M56" s="159">
        <f>N56+P56</f>
        <v>0</v>
      </c>
      <c r="N56" s="159">
        <v>0</v>
      </c>
      <c r="O56" s="159">
        <v>0</v>
      </c>
      <c r="P56" s="159">
        <v>0</v>
      </c>
      <c r="Q56" s="166"/>
      <c r="R56" s="166"/>
      <c r="S56" s="166"/>
      <c r="T56" s="166"/>
      <c r="U56" s="166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</row>
    <row r="57" spans="1:256" hidden="1">
      <c r="A57" s="824"/>
      <c r="B57" s="827"/>
      <c r="C57" s="157" t="s">
        <v>1</v>
      </c>
      <c r="D57" s="158">
        <f>E57+M57</f>
        <v>0</v>
      </c>
      <c r="E57" s="159">
        <f>F57+I57+J57+K57+L57</f>
        <v>0</v>
      </c>
      <c r="F57" s="159">
        <f>G57+H57</f>
        <v>0</v>
      </c>
      <c r="G57" s="159"/>
      <c r="H57" s="159"/>
      <c r="I57" s="159"/>
      <c r="J57" s="159"/>
      <c r="K57" s="159"/>
      <c r="L57" s="159"/>
      <c r="M57" s="159">
        <f>N57+P57</f>
        <v>0</v>
      </c>
      <c r="N57" s="159"/>
      <c r="O57" s="159"/>
      <c r="P57" s="159"/>
      <c r="Q57" s="166"/>
      <c r="R57" s="166"/>
      <c r="S57" s="166"/>
      <c r="T57" s="166"/>
      <c r="U57" s="166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</row>
    <row r="58" spans="1:256" hidden="1">
      <c r="A58" s="825"/>
      <c r="B58" s="828"/>
      <c r="C58" s="157" t="s">
        <v>2</v>
      </c>
      <c r="D58" s="158">
        <f>D57+D56</f>
        <v>22860448</v>
      </c>
      <c r="E58" s="159">
        <f t="shared" ref="E58:P58" si="23">E57+E56</f>
        <v>22860448</v>
      </c>
      <c r="F58" s="159">
        <f t="shared" si="23"/>
        <v>20000</v>
      </c>
      <c r="G58" s="159">
        <f t="shared" si="23"/>
        <v>5000</v>
      </c>
      <c r="H58" s="159">
        <f t="shared" si="23"/>
        <v>15000</v>
      </c>
      <c r="I58" s="159">
        <f t="shared" si="23"/>
        <v>0</v>
      </c>
      <c r="J58" s="159">
        <f t="shared" si="23"/>
        <v>0</v>
      </c>
      <c r="K58" s="159">
        <f t="shared" si="23"/>
        <v>22840448</v>
      </c>
      <c r="L58" s="159">
        <f t="shared" si="23"/>
        <v>0</v>
      </c>
      <c r="M58" s="159">
        <f t="shared" si="23"/>
        <v>0</v>
      </c>
      <c r="N58" s="159">
        <f t="shared" si="23"/>
        <v>0</v>
      </c>
      <c r="O58" s="159">
        <f t="shared" si="23"/>
        <v>0</v>
      </c>
      <c r="P58" s="159">
        <f t="shared" si="23"/>
        <v>0</v>
      </c>
      <c r="Q58" s="166"/>
      <c r="R58" s="166"/>
      <c r="S58" s="166"/>
      <c r="T58" s="166"/>
      <c r="U58" s="166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</row>
    <row r="59" spans="1:256">
      <c r="A59" s="823" t="s">
        <v>169</v>
      </c>
      <c r="B59" s="826" t="s">
        <v>103</v>
      </c>
      <c r="C59" s="157" t="s">
        <v>0</v>
      </c>
      <c r="D59" s="158">
        <f>E59+M59</f>
        <v>262533</v>
      </c>
      <c r="E59" s="159">
        <f>F59+I59+J59+K59+L59</f>
        <v>262533</v>
      </c>
      <c r="F59" s="159">
        <f>G59+H59</f>
        <v>0</v>
      </c>
      <c r="G59" s="159">
        <v>0</v>
      </c>
      <c r="H59" s="159">
        <v>0</v>
      </c>
      <c r="I59" s="159">
        <v>0</v>
      </c>
      <c r="J59" s="159">
        <v>0</v>
      </c>
      <c r="K59" s="159">
        <f>210030+52503</f>
        <v>262533</v>
      </c>
      <c r="L59" s="159">
        <v>0</v>
      </c>
      <c r="M59" s="159">
        <f>N59+P59</f>
        <v>0</v>
      </c>
      <c r="N59" s="159">
        <v>0</v>
      </c>
      <c r="O59" s="159">
        <v>0</v>
      </c>
      <c r="P59" s="159">
        <v>0</v>
      </c>
      <c r="Q59" s="166"/>
      <c r="R59" s="166"/>
      <c r="S59" s="166"/>
      <c r="T59" s="166"/>
      <c r="U59" s="166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</row>
    <row r="60" spans="1:256">
      <c r="A60" s="824"/>
      <c r="B60" s="827"/>
      <c r="C60" s="157" t="s">
        <v>1</v>
      </c>
      <c r="D60" s="158">
        <f>E60+M60</f>
        <v>275858</v>
      </c>
      <c r="E60" s="159">
        <f>F60+I60+J60+K60+L60</f>
        <v>275858</v>
      </c>
      <c r="F60" s="159">
        <f>G60+H60</f>
        <v>0</v>
      </c>
      <c r="G60" s="159"/>
      <c r="H60" s="159"/>
      <c r="I60" s="159"/>
      <c r="J60" s="159"/>
      <c r="K60" s="159">
        <v>275858</v>
      </c>
      <c r="L60" s="159"/>
      <c r="M60" s="159">
        <f>N60+P60</f>
        <v>0</v>
      </c>
      <c r="N60" s="159"/>
      <c r="O60" s="159"/>
      <c r="P60" s="159"/>
      <c r="Q60" s="166"/>
      <c r="R60" s="166"/>
      <c r="S60" s="166"/>
      <c r="T60" s="166"/>
      <c r="U60" s="166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</row>
    <row r="61" spans="1:256">
      <c r="A61" s="825"/>
      <c r="B61" s="828"/>
      <c r="C61" s="157" t="s">
        <v>2</v>
      </c>
      <c r="D61" s="158">
        <f>D60+D59</f>
        <v>538391</v>
      </c>
      <c r="E61" s="159">
        <f t="shared" ref="E61:P61" si="24">E60+E59</f>
        <v>538391</v>
      </c>
      <c r="F61" s="159">
        <f t="shared" si="24"/>
        <v>0</v>
      </c>
      <c r="G61" s="159">
        <f t="shared" si="24"/>
        <v>0</v>
      </c>
      <c r="H61" s="159">
        <f t="shared" si="24"/>
        <v>0</v>
      </c>
      <c r="I61" s="159">
        <f t="shared" si="24"/>
        <v>0</v>
      </c>
      <c r="J61" s="159">
        <f t="shared" si="24"/>
        <v>0</v>
      </c>
      <c r="K61" s="159">
        <f t="shared" si="24"/>
        <v>538391</v>
      </c>
      <c r="L61" s="159">
        <f t="shared" si="24"/>
        <v>0</v>
      </c>
      <c r="M61" s="159">
        <f t="shared" si="24"/>
        <v>0</v>
      </c>
      <c r="N61" s="159">
        <f t="shared" si="24"/>
        <v>0</v>
      </c>
      <c r="O61" s="159">
        <f t="shared" si="24"/>
        <v>0</v>
      </c>
      <c r="P61" s="159">
        <f t="shared" si="24"/>
        <v>0</v>
      </c>
      <c r="Q61" s="166"/>
      <c r="R61" s="166"/>
      <c r="S61" s="166"/>
      <c r="T61" s="166"/>
      <c r="U61" s="166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</row>
    <row r="62" spans="1:256" ht="15" hidden="1">
      <c r="A62" s="835" t="s">
        <v>70</v>
      </c>
      <c r="B62" s="838" t="s">
        <v>71</v>
      </c>
      <c r="C62" s="161" t="s">
        <v>0</v>
      </c>
      <c r="D62" s="162">
        <f>D65</f>
        <v>1986</v>
      </c>
      <c r="E62" s="163">
        <f t="shared" ref="E62:P63" si="25">E65</f>
        <v>68</v>
      </c>
      <c r="F62" s="163">
        <f t="shared" si="25"/>
        <v>68</v>
      </c>
      <c r="G62" s="163">
        <f t="shared" si="25"/>
        <v>0</v>
      </c>
      <c r="H62" s="163">
        <f t="shared" si="25"/>
        <v>68</v>
      </c>
      <c r="I62" s="163">
        <f t="shared" si="25"/>
        <v>0</v>
      </c>
      <c r="J62" s="163">
        <f t="shared" si="25"/>
        <v>0</v>
      </c>
      <c r="K62" s="163">
        <f t="shared" si="25"/>
        <v>0</v>
      </c>
      <c r="L62" s="163">
        <f t="shared" si="25"/>
        <v>0</v>
      </c>
      <c r="M62" s="163">
        <f t="shared" si="25"/>
        <v>1918</v>
      </c>
      <c r="N62" s="163">
        <f t="shared" si="25"/>
        <v>1918</v>
      </c>
      <c r="O62" s="163">
        <f t="shared" si="25"/>
        <v>1918</v>
      </c>
      <c r="P62" s="163">
        <f t="shared" si="25"/>
        <v>0</v>
      </c>
      <c r="Q62" s="171"/>
      <c r="R62" s="171"/>
      <c r="S62" s="171"/>
      <c r="T62" s="171"/>
      <c r="U62" s="171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  <c r="FS62" s="172"/>
      <c r="FT62" s="172"/>
      <c r="FU62" s="172"/>
      <c r="FV62" s="172"/>
      <c r="FW62" s="172"/>
      <c r="FX62" s="172"/>
      <c r="FY62" s="172"/>
      <c r="FZ62" s="172"/>
      <c r="GA62" s="172"/>
      <c r="GB62" s="172"/>
      <c r="GC62" s="172"/>
      <c r="GD62" s="172"/>
      <c r="GE62" s="172"/>
      <c r="GF62" s="172"/>
      <c r="GG62" s="172"/>
      <c r="GH62" s="172"/>
      <c r="GI62" s="172"/>
      <c r="GJ62" s="172"/>
      <c r="GK62" s="172"/>
      <c r="GL62" s="172"/>
      <c r="GM62" s="172"/>
      <c r="GN62" s="172"/>
      <c r="GO62" s="172"/>
      <c r="GP62" s="172"/>
      <c r="GQ62" s="172"/>
      <c r="GR62" s="172"/>
      <c r="GS62" s="172"/>
      <c r="GT62" s="172"/>
      <c r="GU62" s="172"/>
      <c r="GV62" s="172"/>
      <c r="GW62" s="172"/>
      <c r="GX62" s="172"/>
      <c r="GY62" s="172"/>
      <c r="GZ62" s="172"/>
      <c r="HA62" s="172"/>
      <c r="HB62" s="172"/>
      <c r="HC62" s="172"/>
      <c r="HD62" s="172"/>
      <c r="HE62" s="172"/>
      <c r="HF62" s="172"/>
      <c r="HG62" s="172"/>
      <c r="HH62" s="172"/>
      <c r="HI62" s="172"/>
      <c r="HJ62" s="172"/>
      <c r="HK62" s="172"/>
      <c r="HL62" s="172"/>
      <c r="HM62" s="172"/>
      <c r="HN62" s="172"/>
      <c r="HO62" s="172"/>
      <c r="HP62" s="172"/>
      <c r="HQ62" s="172"/>
      <c r="HR62" s="172"/>
      <c r="HS62" s="172"/>
      <c r="HT62" s="172"/>
      <c r="HU62" s="172"/>
      <c r="HV62" s="172"/>
      <c r="HW62" s="172"/>
      <c r="HX62" s="172"/>
      <c r="HY62" s="172"/>
      <c r="HZ62" s="172"/>
      <c r="IA62" s="172"/>
      <c r="IB62" s="172"/>
      <c r="IC62" s="172"/>
      <c r="ID62" s="172"/>
      <c r="IE62" s="172"/>
      <c r="IF62" s="172"/>
      <c r="IG62" s="172"/>
      <c r="IH62" s="172"/>
      <c r="II62" s="172"/>
      <c r="IJ62" s="172"/>
      <c r="IK62" s="172"/>
      <c r="IL62" s="172"/>
      <c r="IM62" s="172"/>
      <c r="IN62" s="172"/>
      <c r="IO62" s="172"/>
      <c r="IP62" s="172"/>
      <c r="IQ62" s="172"/>
      <c r="IR62" s="172"/>
      <c r="IS62" s="172"/>
      <c r="IT62" s="172"/>
      <c r="IU62" s="172"/>
      <c r="IV62" s="172"/>
    </row>
    <row r="63" spans="1:256" ht="15" hidden="1">
      <c r="A63" s="836"/>
      <c r="B63" s="839"/>
      <c r="C63" s="161" t="s">
        <v>1</v>
      </c>
      <c r="D63" s="162">
        <f>D66</f>
        <v>0</v>
      </c>
      <c r="E63" s="163">
        <f t="shared" si="25"/>
        <v>0</v>
      </c>
      <c r="F63" s="163">
        <f t="shared" si="25"/>
        <v>0</v>
      </c>
      <c r="G63" s="163">
        <f t="shared" si="25"/>
        <v>0</v>
      </c>
      <c r="H63" s="163">
        <f t="shared" si="25"/>
        <v>0</v>
      </c>
      <c r="I63" s="163">
        <f t="shared" si="25"/>
        <v>0</v>
      </c>
      <c r="J63" s="163">
        <f t="shared" si="25"/>
        <v>0</v>
      </c>
      <c r="K63" s="163">
        <f t="shared" si="25"/>
        <v>0</v>
      </c>
      <c r="L63" s="163">
        <f t="shared" si="25"/>
        <v>0</v>
      </c>
      <c r="M63" s="163">
        <f t="shared" si="25"/>
        <v>0</v>
      </c>
      <c r="N63" s="163">
        <f t="shared" si="25"/>
        <v>0</v>
      </c>
      <c r="O63" s="163">
        <f t="shared" si="25"/>
        <v>0</v>
      </c>
      <c r="P63" s="163">
        <f t="shared" si="25"/>
        <v>0</v>
      </c>
      <c r="Q63" s="171"/>
      <c r="R63" s="171"/>
      <c r="S63" s="171"/>
      <c r="T63" s="171"/>
      <c r="U63" s="171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  <c r="HG63" s="172"/>
      <c r="HH63" s="172"/>
      <c r="HI63" s="172"/>
      <c r="HJ63" s="172"/>
      <c r="HK63" s="172"/>
      <c r="HL63" s="172"/>
      <c r="HM63" s="172"/>
      <c r="HN63" s="172"/>
      <c r="HO63" s="172"/>
      <c r="HP63" s="172"/>
      <c r="HQ63" s="172"/>
      <c r="HR63" s="172"/>
      <c r="HS63" s="172"/>
      <c r="HT63" s="172"/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172"/>
      <c r="IG63" s="172"/>
      <c r="IH63" s="172"/>
      <c r="II63" s="172"/>
      <c r="IJ63" s="172"/>
      <c r="IK63" s="172"/>
      <c r="IL63" s="172"/>
      <c r="IM63" s="172"/>
      <c r="IN63" s="172"/>
      <c r="IO63" s="172"/>
      <c r="IP63" s="172"/>
      <c r="IQ63" s="172"/>
      <c r="IR63" s="172"/>
      <c r="IS63" s="172"/>
      <c r="IT63" s="172"/>
      <c r="IU63" s="172"/>
      <c r="IV63" s="172"/>
    </row>
    <row r="64" spans="1:256" ht="15" hidden="1">
      <c r="A64" s="837"/>
      <c r="B64" s="840"/>
      <c r="C64" s="161" t="s">
        <v>2</v>
      </c>
      <c r="D64" s="162">
        <f>D63+D62</f>
        <v>1986</v>
      </c>
      <c r="E64" s="163">
        <f t="shared" ref="E64:P64" si="26">E63+E62</f>
        <v>68</v>
      </c>
      <c r="F64" s="163">
        <f t="shared" si="26"/>
        <v>68</v>
      </c>
      <c r="G64" s="163">
        <f t="shared" si="26"/>
        <v>0</v>
      </c>
      <c r="H64" s="163">
        <f t="shared" si="26"/>
        <v>68</v>
      </c>
      <c r="I64" s="163">
        <f t="shared" si="26"/>
        <v>0</v>
      </c>
      <c r="J64" s="163">
        <f t="shared" si="26"/>
        <v>0</v>
      </c>
      <c r="K64" s="163">
        <f t="shared" si="26"/>
        <v>0</v>
      </c>
      <c r="L64" s="163">
        <f t="shared" si="26"/>
        <v>0</v>
      </c>
      <c r="M64" s="163">
        <f t="shared" si="26"/>
        <v>1918</v>
      </c>
      <c r="N64" s="163">
        <f t="shared" si="26"/>
        <v>1918</v>
      </c>
      <c r="O64" s="163">
        <f t="shared" si="26"/>
        <v>1918</v>
      </c>
      <c r="P64" s="163">
        <f t="shared" si="26"/>
        <v>0</v>
      </c>
      <c r="Q64" s="171"/>
      <c r="R64" s="171"/>
      <c r="S64" s="171"/>
      <c r="T64" s="171"/>
      <c r="U64" s="171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172"/>
      <c r="GL64" s="172"/>
      <c r="GM64" s="172"/>
      <c r="GN64" s="172"/>
      <c r="GO64" s="172"/>
      <c r="GP64" s="172"/>
      <c r="GQ64" s="172"/>
      <c r="GR64" s="172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  <c r="HG64" s="172"/>
      <c r="HH64" s="172"/>
      <c r="HI64" s="172"/>
      <c r="HJ64" s="172"/>
      <c r="HK64" s="172"/>
      <c r="HL64" s="172"/>
      <c r="HM64" s="172"/>
      <c r="HN64" s="172"/>
      <c r="HO64" s="172"/>
      <c r="HP64" s="172"/>
      <c r="HQ64" s="172"/>
      <c r="HR64" s="172"/>
      <c r="HS64" s="172"/>
      <c r="HT64" s="172"/>
      <c r="HU64" s="172"/>
      <c r="HV64" s="172"/>
      <c r="HW64" s="172"/>
      <c r="HX64" s="172"/>
      <c r="HY64" s="172"/>
      <c r="HZ64" s="172"/>
      <c r="IA64" s="172"/>
      <c r="IB64" s="172"/>
      <c r="IC64" s="172"/>
      <c r="ID64" s="172"/>
      <c r="IE64" s="172"/>
      <c r="IF64" s="172"/>
      <c r="IG64" s="172"/>
      <c r="IH64" s="172"/>
      <c r="II64" s="172"/>
      <c r="IJ64" s="172"/>
      <c r="IK64" s="172"/>
      <c r="IL64" s="172"/>
      <c r="IM64" s="172"/>
      <c r="IN64" s="172"/>
      <c r="IO64" s="172"/>
      <c r="IP64" s="172"/>
      <c r="IQ64" s="172"/>
      <c r="IR64" s="172"/>
      <c r="IS64" s="172"/>
      <c r="IT64" s="172"/>
      <c r="IU64" s="172"/>
      <c r="IV64" s="172"/>
    </row>
    <row r="65" spans="1:256" hidden="1">
      <c r="A65" s="823" t="s">
        <v>170</v>
      </c>
      <c r="B65" s="826" t="s">
        <v>171</v>
      </c>
      <c r="C65" s="157" t="s">
        <v>0</v>
      </c>
      <c r="D65" s="158">
        <f>E65+M65</f>
        <v>1986</v>
      </c>
      <c r="E65" s="159">
        <f>F65+I65+J65+K65+L65</f>
        <v>68</v>
      </c>
      <c r="F65" s="159">
        <f>G65+H65</f>
        <v>68</v>
      </c>
      <c r="G65" s="159">
        <v>0</v>
      </c>
      <c r="H65" s="159">
        <v>68</v>
      </c>
      <c r="I65" s="159">
        <v>0</v>
      </c>
      <c r="J65" s="159">
        <v>0</v>
      </c>
      <c r="K65" s="159">
        <v>0</v>
      </c>
      <c r="L65" s="159">
        <v>0</v>
      </c>
      <c r="M65" s="159">
        <f>N65+P65</f>
        <v>1918</v>
      </c>
      <c r="N65" s="159">
        <v>1918</v>
      </c>
      <c r="O65" s="159">
        <v>1918</v>
      </c>
      <c r="P65" s="159">
        <v>0</v>
      </c>
      <c r="Q65" s="166"/>
      <c r="R65" s="166"/>
      <c r="S65" s="166"/>
      <c r="T65" s="166"/>
      <c r="U65" s="166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</row>
    <row r="66" spans="1:256" hidden="1">
      <c r="A66" s="824"/>
      <c r="B66" s="827"/>
      <c r="C66" s="157" t="s">
        <v>1</v>
      </c>
      <c r="D66" s="158">
        <f>E66+M66</f>
        <v>0</v>
      </c>
      <c r="E66" s="159">
        <f>F66+I66+J66+K66+L66</f>
        <v>0</v>
      </c>
      <c r="F66" s="159">
        <f>G66+H66</f>
        <v>0</v>
      </c>
      <c r="G66" s="159"/>
      <c r="H66" s="159"/>
      <c r="I66" s="159"/>
      <c r="J66" s="159"/>
      <c r="K66" s="159"/>
      <c r="L66" s="159"/>
      <c r="M66" s="159">
        <f>N66+P66</f>
        <v>0</v>
      </c>
      <c r="N66" s="159"/>
      <c r="O66" s="159"/>
      <c r="P66" s="159"/>
      <c r="Q66" s="166"/>
      <c r="R66" s="166"/>
      <c r="S66" s="166"/>
      <c r="T66" s="166"/>
      <c r="U66" s="166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</row>
    <row r="67" spans="1:256" hidden="1">
      <c r="A67" s="825"/>
      <c r="B67" s="828"/>
      <c r="C67" s="157" t="s">
        <v>2</v>
      </c>
      <c r="D67" s="158">
        <f>D66+D65</f>
        <v>1986</v>
      </c>
      <c r="E67" s="159">
        <f t="shared" ref="E67:P67" si="27">E66+E65</f>
        <v>68</v>
      </c>
      <c r="F67" s="159">
        <f t="shared" si="27"/>
        <v>68</v>
      </c>
      <c r="G67" s="159">
        <f t="shared" si="27"/>
        <v>0</v>
      </c>
      <c r="H67" s="159">
        <f t="shared" si="27"/>
        <v>68</v>
      </c>
      <c r="I67" s="159">
        <f t="shared" si="27"/>
        <v>0</v>
      </c>
      <c r="J67" s="159">
        <f t="shared" si="27"/>
        <v>0</v>
      </c>
      <c r="K67" s="159">
        <f t="shared" si="27"/>
        <v>0</v>
      </c>
      <c r="L67" s="159">
        <f t="shared" si="27"/>
        <v>0</v>
      </c>
      <c r="M67" s="159">
        <f t="shared" si="27"/>
        <v>1918</v>
      </c>
      <c r="N67" s="159">
        <f t="shared" si="27"/>
        <v>1918</v>
      </c>
      <c r="O67" s="159">
        <f t="shared" si="27"/>
        <v>1918</v>
      </c>
      <c r="P67" s="159">
        <f t="shared" si="27"/>
        <v>0</v>
      </c>
      <c r="Q67" s="166"/>
      <c r="R67" s="166"/>
      <c r="S67" s="166"/>
      <c r="T67" s="166"/>
      <c r="U67" s="166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</row>
    <row r="68" spans="1:256" ht="15">
      <c r="A68" s="835" t="s">
        <v>45</v>
      </c>
      <c r="B68" s="838" t="s">
        <v>46</v>
      </c>
      <c r="C68" s="161" t="s">
        <v>0</v>
      </c>
      <c r="D68" s="173">
        <f>D71+D77+D83+D98+D86+D80+D95+D92+D74+D89</f>
        <v>807313147</v>
      </c>
      <c r="E68" s="163">
        <f t="shared" ref="E68:P69" si="28">E71+E77+E83+E98+E86+E80+E95+E92+E74+E89</f>
        <v>394496623</v>
      </c>
      <c r="F68" s="163">
        <f t="shared" si="28"/>
        <v>81715801</v>
      </c>
      <c r="G68" s="163">
        <f t="shared" si="28"/>
        <v>969400</v>
      </c>
      <c r="H68" s="163">
        <f t="shared" si="28"/>
        <v>80746401</v>
      </c>
      <c r="I68" s="163">
        <f t="shared" si="28"/>
        <v>311522083</v>
      </c>
      <c r="J68" s="163">
        <f t="shared" si="28"/>
        <v>0</v>
      </c>
      <c r="K68" s="163">
        <f t="shared" si="28"/>
        <v>1258739</v>
      </c>
      <c r="L68" s="163">
        <f t="shared" si="28"/>
        <v>0</v>
      </c>
      <c r="M68" s="163">
        <f t="shared" si="28"/>
        <v>412816524</v>
      </c>
      <c r="N68" s="163">
        <f t="shared" si="28"/>
        <v>405619899</v>
      </c>
      <c r="O68" s="163">
        <f t="shared" si="28"/>
        <v>73258504</v>
      </c>
      <c r="P68" s="163">
        <f t="shared" si="28"/>
        <v>7196625</v>
      </c>
      <c r="Q68" s="171"/>
      <c r="R68" s="171"/>
      <c r="S68" s="171"/>
      <c r="T68" s="171"/>
      <c r="U68" s="171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  <c r="HG68" s="172"/>
      <c r="HH68" s="172"/>
      <c r="HI68" s="172"/>
      <c r="HJ68" s="172"/>
      <c r="HK68" s="172"/>
      <c r="HL68" s="172"/>
      <c r="HM68" s="172"/>
      <c r="HN68" s="172"/>
      <c r="HO68" s="172"/>
      <c r="HP68" s="172"/>
      <c r="HQ68" s="172"/>
      <c r="HR68" s="172"/>
      <c r="HS68" s="172"/>
      <c r="HT68" s="172"/>
      <c r="HU68" s="172"/>
      <c r="HV68" s="172"/>
      <c r="HW68" s="172"/>
      <c r="HX68" s="172"/>
      <c r="HY68" s="172"/>
      <c r="HZ68" s="172"/>
      <c r="IA68" s="172"/>
      <c r="IB68" s="172"/>
      <c r="IC68" s="172"/>
      <c r="ID68" s="172"/>
      <c r="IE68" s="172"/>
      <c r="IF68" s="172"/>
      <c r="IG68" s="172"/>
      <c r="IH68" s="172"/>
      <c r="II68" s="172"/>
      <c r="IJ68" s="172"/>
      <c r="IK68" s="172"/>
      <c r="IL68" s="172"/>
      <c r="IM68" s="172"/>
      <c r="IN68" s="172"/>
      <c r="IO68" s="172"/>
      <c r="IP68" s="172"/>
      <c r="IQ68" s="172"/>
      <c r="IR68" s="172"/>
      <c r="IS68" s="172"/>
      <c r="IT68" s="172"/>
      <c r="IU68" s="172"/>
      <c r="IV68" s="172"/>
    </row>
    <row r="69" spans="1:256" ht="15">
      <c r="A69" s="836"/>
      <c r="B69" s="839"/>
      <c r="C69" s="161" t="s">
        <v>1</v>
      </c>
      <c r="D69" s="173">
        <f>D72+D78+D84+D99+D87+D81+D96+D93+D75+D90</f>
        <v>61377401</v>
      </c>
      <c r="E69" s="163">
        <f t="shared" si="28"/>
        <v>140041</v>
      </c>
      <c r="F69" s="163">
        <f t="shared" si="28"/>
        <v>0</v>
      </c>
      <c r="G69" s="163">
        <f t="shared" si="28"/>
        <v>0</v>
      </c>
      <c r="H69" s="163">
        <f t="shared" si="28"/>
        <v>0</v>
      </c>
      <c r="I69" s="163">
        <f t="shared" si="28"/>
        <v>0</v>
      </c>
      <c r="J69" s="163">
        <f t="shared" si="28"/>
        <v>0</v>
      </c>
      <c r="K69" s="163">
        <f t="shared" si="28"/>
        <v>140041</v>
      </c>
      <c r="L69" s="163">
        <f t="shared" si="28"/>
        <v>0</v>
      </c>
      <c r="M69" s="163">
        <f t="shared" si="28"/>
        <v>61237360</v>
      </c>
      <c r="N69" s="163">
        <f t="shared" si="28"/>
        <v>61237360</v>
      </c>
      <c r="O69" s="163">
        <f t="shared" si="28"/>
        <v>0</v>
      </c>
      <c r="P69" s="163">
        <f t="shared" si="28"/>
        <v>0</v>
      </c>
      <c r="Q69" s="171"/>
      <c r="R69" s="171"/>
      <c r="S69" s="171"/>
      <c r="T69" s="171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2"/>
      <c r="EL69" s="172"/>
      <c r="EM69" s="172"/>
      <c r="EN69" s="172"/>
      <c r="EO69" s="172"/>
      <c r="EP69" s="172"/>
      <c r="EQ69" s="172"/>
      <c r="ER69" s="172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72"/>
      <c r="FI69" s="172"/>
      <c r="FJ69" s="172"/>
      <c r="FK69" s="172"/>
      <c r="FL69" s="172"/>
      <c r="FM69" s="172"/>
      <c r="FN69" s="172"/>
      <c r="FO69" s="172"/>
      <c r="FP69" s="172"/>
      <c r="FQ69" s="172"/>
      <c r="FR69" s="172"/>
      <c r="FS69" s="172"/>
      <c r="FT69" s="172"/>
      <c r="FU69" s="172"/>
      <c r="FV69" s="172"/>
      <c r="FW69" s="172"/>
      <c r="FX69" s="172"/>
      <c r="FY69" s="172"/>
      <c r="FZ69" s="172"/>
      <c r="GA69" s="172"/>
      <c r="GB69" s="172"/>
      <c r="GC69" s="172"/>
      <c r="GD69" s="172"/>
      <c r="GE69" s="172"/>
      <c r="GF69" s="172"/>
      <c r="GG69" s="172"/>
      <c r="GH69" s="172"/>
      <c r="GI69" s="172"/>
      <c r="GJ69" s="172"/>
      <c r="GK69" s="172"/>
      <c r="GL69" s="172"/>
      <c r="GM69" s="172"/>
      <c r="GN69" s="172"/>
      <c r="GO69" s="172"/>
      <c r="GP69" s="172"/>
      <c r="GQ69" s="172"/>
      <c r="GR69" s="172"/>
      <c r="GS69" s="172"/>
      <c r="GT69" s="172"/>
      <c r="GU69" s="172"/>
      <c r="GV69" s="172"/>
      <c r="GW69" s="172"/>
      <c r="GX69" s="172"/>
      <c r="GY69" s="172"/>
      <c r="GZ69" s="172"/>
      <c r="HA69" s="172"/>
      <c r="HB69" s="172"/>
      <c r="HC69" s="172"/>
      <c r="HD69" s="172"/>
      <c r="HE69" s="172"/>
      <c r="HF69" s="172"/>
      <c r="HG69" s="172"/>
      <c r="HH69" s="172"/>
      <c r="HI69" s="172"/>
      <c r="HJ69" s="172"/>
      <c r="HK69" s="172"/>
      <c r="HL69" s="172"/>
      <c r="HM69" s="172"/>
      <c r="HN69" s="172"/>
      <c r="HO69" s="172"/>
      <c r="HP69" s="172"/>
      <c r="HQ69" s="172"/>
      <c r="HR69" s="172"/>
      <c r="HS69" s="172"/>
      <c r="HT69" s="172"/>
      <c r="HU69" s="172"/>
      <c r="HV69" s="172"/>
      <c r="HW69" s="172"/>
      <c r="HX69" s="172"/>
      <c r="HY69" s="172"/>
      <c r="HZ69" s="172"/>
      <c r="IA69" s="172"/>
      <c r="IB69" s="172"/>
      <c r="IC69" s="172"/>
      <c r="ID69" s="172"/>
      <c r="IE69" s="172"/>
      <c r="IF69" s="172"/>
      <c r="IG69" s="172"/>
      <c r="IH69" s="172"/>
      <c r="II69" s="172"/>
      <c r="IJ69" s="172"/>
      <c r="IK69" s="172"/>
      <c r="IL69" s="172"/>
      <c r="IM69" s="172"/>
      <c r="IN69" s="172"/>
      <c r="IO69" s="172"/>
      <c r="IP69" s="172"/>
      <c r="IQ69" s="172"/>
      <c r="IR69" s="172"/>
      <c r="IS69" s="172"/>
      <c r="IT69" s="172"/>
      <c r="IU69" s="172"/>
      <c r="IV69" s="172"/>
    </row>
    <row r="70" spans="1:256" ht="15">
      <c r="A70" s="837"/>
      <c r="B70" s="840"/>
      <c r="C70" s="161" t="s">
        <v>2</v>
      </c>
      <c r="D70" s="173">
        <f>D69+D68</f>
        <v>868690548</v>
      </c>
      <c r="E70" s="163">
        <f t="shared" ref="E70:P70" si="29">E69+E68</f>
        <v>394636664</v>
      </c>
      <c r="F70" s="163">
        <f t="shared" si="29"/>
        <v>81715801</v>
      </c>
      <c r="G70" s="163">
        <f t="shared" si="29"/>
        <v>969400</v>
      </c>
      <c r="H70" s="163">
        <f t="shared" si="29"/>
        <v>80746401</v>
      </c>
      <c r="I70" s="163">
        <f t="shared" si="29"/>
        <v>311522083</v>
      </c>
      <c r="J70" s="163">
        <f t="shared" si="29"/>
        <v>0</v>
      </c>
      <c r="K70" s="163">
        <f t="shared" si="29"/>
        <v>1398780</v>
      </c>
      <c r="L70" s="163">
        <f t="shared" si="29"/>
        <v>0</v>
      </c>
      <c r="M70" s="163">
        <f t="shared" si="29"/>
        <v>474053884</v>
      </c>
      <c r="N70" s="163">
        <f t="shared" si="29"/>
        <v>466857259</v>
      </c>
      <c r="O70" s="163">
        <f t="shared" si="29"/>
        <v>73258504</v>
      </c>
      <c r="P70" s="163">
        <f t="shared" si="29"/>
        <v>7196625</v>
      </c>
      <c r="Q70" s="171"/>
      <c r="R70" s="171"/>
      <c r="S70" s="171"/>
      <c r="T70" s="171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2"/>
      <c r="EL70" s="172"/>
      <c r="EM70" s="172"/>
      <c r="EN70" s="172"/>
      <c r="EO70" s="172"/>
      <c r="EP70" s="172"/>
      <c r="EQ70" s="172"/>
      <c r="ER70" s="172"/>
      <c r="ES70" s="172"/>
      <c r="ET70" s="172"/>
      <c r="EU70" s="172"/>
      <c r="EV70" s="172"/>
      <c r="EW70" s="172"/>
      <c r="EX70" s="172"/>
      <c r="EY70" s="172"/>
      <c r="EZ70" s="172"/>
      <c r="FA70" s="172"/>
      <c r="FB70" s="172"/>
      <c r="FC70" s="172"/>
      <c r="FD70" s="172"/>
      <c r="FE70" s="172"/>
      <c r="FF70" s="172"/>
      <c r="FG70" s="172"/>
      <c r="FH70" s="172"/>
      <c r="FI70" s="172"/>
      <c r="FJ70" s="172"/>
      <c r="FK70" s="172"/>
      <c r="FL70" s="172"/>
      <c r="FM70" s="172"/>
      <c r="FN70" s="172"/>
      <c r="FO70" s="172"/>
      <c r="FP70" s="172"/>
      <c r="FQ70" s="172"/>
      <c r="FR70" s="172"/>
      <c r="FS70" s="172"/>
      <c r="FT70" s="172"/>
      <c r="FU70" s="172"/>
      <c r="FV70" s="172"/>
      <c r="FW70" s="172"/>
      <c r="FX70" s="172"/>
      <c r="FY70" s="172"/>
      <c r="FZ70" s="172"/>
      <c r="GA70" s="172"/>
      <c r="GB70" s="172"/>
      <c r="GC70" s="172"/>
      <c r="GD70" s="172"/>
      <c r="GE70" s="172"/>
      <c r="GF70" s="172"/>
      <c r="GG70" s="172"/>
      <c r="GH70" s="172"/>
      <c r="GI70" s="172"/>
      <c r="GJ70" s="172"/>
      <c r="GK70" s="172"/>
      <c r="GL70" s="172"/>
      <c r="GM70" s="172"/>
      <c r="GN70" s="172"/>
      <c r="GO70" s="172"/>
      <c r="GP70" s="172"/>
      <c r="GQ70" s="172"/>
      <c r="GR70" s="172"/>
      <c r="GS70" s="172"/>
      <c r="GT70" s="172"/>
      <c r="GU70" s="172"/>
      <c r="GV70" s="172"/>
      <c r="GW70" s="172"/>
      <c r="GX70" s="172"/>
      <c r="GY70" s="172"/>
      <c r="GZ70" s="172"/>
      <c r="HA70" s="172"/>
      <c r="HB70" s="172"/>
      <c r="HC70" s="172"/>
      <c r="HD70" s="172"/>
      <c r="HE70" s="172"/>
      <c r="HF70" s="172"/>
      <c r="HG70" s="172"/>
      <c r="HH70" s="172"/>
      <c r="HI70" s="172"/>
      <c r="HJ70" s="172"/>
      <c r="HK70" s="172"/>
      <c r="HL70" s="172"/>
      <c r="HM70" s="172"/>
      <c r="HN70" s="172"/>
      <c r="HO70" s="172"/>
      <c r="HP70" s="172"/>
      <c r="HQ70" s="172"/>
      <c r="HR70" s="172"/>
      <c r="HS70" s="172"/>
      <c r="HT70" s="172"/>
      <c r="HU70" s="172"/>
      <c r="HV70" s="172"/>
      <c r="HW70" s="172"/>
      <c r="HX70" s="172"/>
      <c r="HY70" s="172"/>
      <c r="HZ70" s="172"/>
      <c r="IA70" s="172"/>
      <c r="IB70" s="172"/>
      <c r="IC70" s="172"/>
      <c r="ID70" s="172"/>
      <c r="IE70" s="172"/>
      <c r="IF70" s="172"/>
      <c r="IG70" s="172"/>
      <c r="IH70" s="172"/>
      <c r="II70" s="172"/>
      <c r="IJ70" s="172"/>
      <c r="IK70" s="172"/>
      <c r="IL70" s="172"/>
      <c r="IM70" s="172"/>
      <c r="IN70" s="172"/>
      <c r="IO70" s="172"/>
      <c r="IP70" s="172"/>
      <c r="IQ70" s="172"/>
      <c r="IR70" s="172"/>
      <c r="IS70" s="172"/>
      <c r="IT70" s="172"/>
      <c r="IU70" s="172"/>
      <c r="IV70" s="172"/>
    </row>
    <row r="71" spans="1:256" hidden="1">
      <c r="A71" s="823" t="s">
        <v>172</v>
      </c>
      <c r="B71" s="826" t="s">
        <v>173</v>
      </c>
      <c r="C71" s="157" t="s">
        <v>0</v>
      </c>
      <c r="D71" s="158">
        <f t="shared" ref="D71:D99" si="30">E71+M71</f>
        <v>239103535</v>
      </c>
      <c r="E71" s="159">
        <f t="shared" ref="E71:E99" si="31">F71+I71+J71+K71+L71</f>
        <v>237243160</v>
      </c>
      <c r="F71" s="159">
        <f t="shared" ref="F71:F99" si="32">G71+H71</f>
        <v>155710</v>
      </c>
      <c r="G71" s="159">
        <v>0</v>
      </c>
      <c r="H71" s="159">
        <v>155710</v>
      </c>
      <c r="I71" s="159">
        <v>237087450</v>
      </c>
      <c r="J71" s="159">
        <v>0</v>
      </c>
      <c r="K71" s="159">
        <v>0</v>
      </c>
      <c r="L71" s="159">
        <v>0</v>
      </c>
      <c r="M71" s="159">
        <f t="shared" ref="M71:M99" si="33">N71+P71</f>
        <v>1860375</v>
      </c>
      <c r="N71" s="159">
        <v>1860375</v>
      </c>
      <c r="O71" s="159">
        <v>0</v>
      </c>
      <c r="P71" s="159">
        <v>0</v>
      </c>
      <c r="Q71" s="166"/>
      <c r="R71" s="166"/>
      <c r="S71" s="166"/>
      <c r="T71" s="166"/>
      <c r="U71" s="166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</row>
    <row r="72" spans="1:256" hidden="1">
      <c r="A72" s="824"/>
      <c r="B72" s="827"/>
      <c r="C72" s="157" t="s">
        <v>1</v>
      </c>
      <c r="D72" s="158">
        <f t="shared" si="30"/>
        <v>0</v>
      </c>
      <c r="E72" s="159">
        <f t="shared" si="31"/>
        <v>0</v>
      </c>
      <c r="F72" s="159">
        <f t="shared" si="32"/>
        <v>0</v>
      </c>
      <c r="G72" s="159"/>
      <c r="H72" s="159"/>
      <c r="I72" s="159"/>
      <c r="J72" s="159"/>
      <c r="K72" s="159"/>
      <c r="L72" s="159"/>
      <c r="M72" s="159">
        <f t="shared" si="33"/>
        <v>0</v>
      </c>
      <c r="N72" s="159"/>
      <c r="O72" s="159"/>
      <c r="P72" s="159"/>
      <c r="Q72" s="166"/>
      <c r="R72" s="166"/>
      <c r="S72" s="166"/>
      <c r="T72" s="166"/>
      <c r="U72" s="166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</row>
    <row r="73" spans="1:256" hidden="1">
      <c r="A73" s="825"/>
      <c r="B73" s="828"/>
      <c r="C73" s="157" t="s">
        <v>2</v>
      </c>
      <c r="D73" s="158">
        <f>D72+D71</f>
        <v>239103535</v>
      </c>
      <c r="E73" s="159">
        <f t="shared" ref="E73:P73" si="34">E72+E71</f>
        <v>237243160</v>
      </c>
      <c r="F73" s="159">
        <f t="shared" si="34"/>
        <v>155710</v>
      </c>
      <c r="G73" s="159">
        <f t="shared" si="34"/>
        <v>0</v>
      </c>
      <c r="H73" s="159">
        <f t="shared" si="34"/>
        <v>155710</v>
      </c>
      <c r="I73" s="159">
        <f t="shared" si="34"/>
        <v>237087450</v>
      </c>
      <c r="J73" s="159">
        <f t="shared" si="34"/>
        <v>0</v>
      </c>
      <c r="K73" s="159">
        <f t="shared" si="34"/>
        <v>0</v>
      </c>
      <c r="L73" s="159">
        <f t="shared" si="34"/>
        <v>0</v>
      </c>
      <c r="M73" s="159">
        <f t="shared" si="34"/>
        <v>1860375</v>
      </c>
      <c r="N73" s="159">
        <f t="shared" si="34"/>
        <v>1860375</v>
      </c>
      <c r="O73" s="159">
        <f t="shared" si="34"/>
        <v>0</v>
      </c>
      <c r="P73" s="159">
        <f t="shared" si="34"/>
        <v>0</v>
      </c>
      <c r="Q73" s="166"/>
      <c r="R73" s="166"/>
      <c r="S73" s="166"/>
      <c r="T73" s="166"/>
      <c r="U73" s="166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</row>
    <row r="74" spans="1:256" hidden="1">
      <c r="A74" s="823">
        <v>60002</v>
      </c>
      <c r="B74" s="826" t="s">
        <v>174</v>
      </c>
      <c r="C74" s="157" t="s">
        <v>0</v>
      </c>
      <c r="D74" s="158">
        <f t="shared" si="30"/>
        <v>65000</v>
      </c>
      <c r="E74" s="159">
        <f t="shared" si="31"/>
        <v>65000</v>
      </c>
      <c r="F74" s="159">
        <f t="shared" si="32"/>
        <v>65000</v>
      </c>
      <c r="G74" s="159">
        <v>0</v>
      </c>
      <c r="H74" s="159">
        <v>65000</v>
      </c>
      <c r="I74" s="159">
        <v>0</v>
      </c>
      <c r="J74" s="159">
        <v>0</v>
      </c>
      <c r="K74" s="159">
        <v>0</v>
      </c>
      <c r="L74" s="159">
        <v>0</v>
      </c>
      <c r="M74" s="159">
        <f t="shared" si="33"/>
        <v>0</v>
      </c>
      <c r="N74" s="159">
        <v>0</v>
      </c>
      <c r="O74" s="159">
        <v>0</v>
      </c>
      <c r="P74" s="159">
        <v>0</v>
      </c>
      <c r="Q74" s="166"/>
      <c r="R74" s="166"/>
      <c r="S74" s="166"/>
      <c r="T74" s="166"/>
      <c r="U74" s="166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</row>
    <row r="75" spans="1:256" hidden="1">
      <c r="A75" s="824"/>
      <c r="B75" s="827"/>
      <c r="C75" s="157" t="s">
        <v>1</v>
      </c>
      <c r="D75" s="158">
        <f t="shared" si="30"/>
        <v>0</v>
      </c>
      <c r="E75" s="159">
        <f t="shared" si="31"/>
        <v>0</v>
      </c>
      <c r="F75" s="159">
        <f t="shared" si="32"/>
        <v>0</v>
      </c>
      <c r="G75" s="159"/>
      <c r="H75" s="159"/>
      <c r="I75" s="159"/>
      <c r="J75" s="159"/>
      <c r="K75" s="159"/>
      <c r="L75" s="159"/>
      <c r="M75" s="159">
        <f t="shared" si="33"/>
        <v>0</v>
      </c>
      <c r="N75" s="159"/>
      <c r="O75" s="159"/>
      <c r="P75" s="159"/>
      <c r="Q75" s="166"/>
      <c r="R75" s="166"/>
      <c r="S75" s="166"/>
      <c r="T75" s="166"/>
      <c r="U75" s="166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</row>
    <row r="76" spans="1:256" hidden="1">
      <c r="A76" s="825"/>
      <c r="B76" s="828"/>
      <c r="C76" s="157" t="s">
        <v>2</v>
      </c>
      <c r="D76" s="158">
        <f>D75+D74</f>
        <v>65000</v>
      </c>
      <c r="E76" s="159">
        <f t="shared" ref="E76:P76" si="35">E75+E74</f>
        <v>65000</v>
      </c>
      <c r="F76" s="159">
        <f t="shared" si="35"/>
        <v>65000</v>
      </c>
      <c r="G76" s="159">
        <f t="shared" si="35"/>
        <v>0</v>
      </c>
      <c r="H76" s="159">
        <f t="shared" si="35"/>
        <v>65000</v>
      </c>
      <c r="I76" s="159">
        <f t="shared" si="35"/>
        <v>0</v>
      </c>
      <c r="J76" s="159">
        <f t="shared" si="35"/>
        <v>0</v>
      </c>
      <c r="K76" s="159">
        <f t="shared" si="35"/>
        <v>0</v>
      </c>
      <c r="L76" s="159">
        <f t="shared" si="35"/>
        <v>0</v>
      </c>
      <c r="M76" s="159">
        <f t="shared" si="35"/>
        <v>0</v>
      </c>
      <c r="N76" s="159">
        <f t="shared" si="35"/>
        <v>0</v>
      </c>
      <c r="O76" s="159">
        <f t="shared" si="35"/>
        <v>0</v>
      </c>
      <c r="P76" s="159">
        <f t="shared" si="35"/>
        <v>0</v>
      </c>
      <c r="Q76" s="166"/>
      <c r="R76" s="166"/>
      <c r="S76" s="166"/>
      <c r="T76" s="166"/>
      <c r="U76" s="166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</row>
    <row r="77" spans="1:256" hidden="1">
      <c r="A77" s="823" t="s">
        <v>175</v>
      </c>
      <c r="B77" s="826" t="s">
        <v>176</v>
      </c>
      <c r="C77" s="157" t="s">
        <v>0</v>
      </c>
      <c r="D77" s="158">
        <f t="shared" si="30"/>
        <v>53115801</v>
      </c>
      <c r="E77" s="159">
        <f t="shared" si="31"/>
        <v>43314801</v>
      </c>
      <c r="F77" s="159">
        <f t="shared" si="32"/>
        <v>93801</v>
      </c>
      <c r="G77" s="159">
        <v>0</v>
      </c>
      <c r="H77" s="159">
        <f>15100+78701</f>
        <v>93801</v>
      </c>
      <c r="I77" s="159">
        <f>43299701-78701</f>
        <v>43221000</v>
      </c>
      <c r="J77" s="159">
        <v>0</v>
      </c>
      <c r="K77" s="159">
        <v>0</v>
      </c>
      <c r="L77" s="159">
        <v>0</v>
      </c>
      <c r="M77" s="159">
        <f t="shared" si="33"/>
        <v>9801000</v>
      </c>
      <c r="N77" s="159">
        <v>9801000</v>
      </c>
      <c r="O77" s="159">
        <v>0</v>
      </c>
      <c r="P77" s="159">
        <v>0</v>
      </c>
      <c r="Q77" s="166"/>
      <c r="R77" s="166"/>
      <c r="S77" s="166"/>
      <c r="T77" s="166"/>
      <c r="U77" s="166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</row>
    <row r="78" spans="1:256" hidden="1">
      <c r="A78" s="824"/>
      <c r="B78" s="827"/>
      <c r="C78" s="157" t="s">
        <v>1</v>
      </c>
      <c r="D78" s="158">
        <f t="shared" si="30"/>
        <v>0</v>
      </c>
      <c r="E78" s="159">
        <f t="shared" si="31"/>
        <v>0</v>
      </c>
      <c r="F78" s="159">
        <f t="shared" si="32"/>
        <v>0</v>
      </c>
      <c r="G78" s="159"/>
      <c r="H78" s="159"/>
      <c r="I78" s="159"/>
      <c r="J78" s="159"/>
      <c r="K78" s="159"/>
      <c r="L78" s="159"/>
      <c r="M78" s="159">
        <f t="shared" si="33"/>
        <v>0</v>
      </c>
      <c r="N78" s="159"/>
      <c r="O78" s="159"/>
      <c r="P78" s="159"/>
      <c r="Q78" s="166"/>
      <c r="R78" s="166"/>
      <c r="S78" s="166"/>
      <c r="T78" s="166"/>
      <c r="U78" s="166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</row>
    <row r="79" spans="1:256" hidden="1">
      <c r="A79" s="825"/>
      <c r="B79" s="828"/>
      <c r="C79" s="157" t="s">
        <v>2</v>
      </c>
      <c r="D79" s="158">
        <f>D78+D77</f>
        <v>53115801</v>
      </c>
      <c r="E79" s="159">
        <f t="shared" ref="E79:P79" si="36">E78+E77</f>
        <v>43314801</v>
      </c>
      <c r="F79" s="159">
        <f t="shared" si="36"/>
        <v>93801</v>
      </c>
      <c r="G79" s="159">
        <f t="shared" si="36"/>
        <v>0</v>
      </c>
      <c r="H79" s="159">
        <f t="shared" si="36"/>
        <v>93801</v>
      </c>
      <c r="I79" s="159">
        <f t="shared" si="36"/>
        <v>43221000</v>
      </c>
      <c r="J79" s="159">
        <f t="shared" si="36"/>
        <v>0</v>
      </c>
      <c r="K79" s="159">
        <f t="shared" si="36"/>
        <v>0</v>
      </c>
      <c r="L79" s="159">
        <f t="shared" si="36"/>
        <v>0</v>
      </c>
      <c r="M79" s="159">
        <f t="shared" si="36"/>
        <v>9801000</v>
      </c>
      <c r="N79" s="159">
        <f t="shared" si="36"/>
        <v>9801000</v>
      </c>
      <c r="O79" s="159">
        <f t="shared" si="36"/>
        <v>0</v>
      </c>
      <c r="P79" s="159">
        <f t="shared" si="36"/>
        <v>0</v>
      </c>
      <c r="Q79" s="166"/>
      <c r="R79" s="166"/>
      <c r="S79" s="166"/>
      <c r="T79" s="166"/>
      <c r="U79" s="166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</row>
    <row r="80" spans="1:256" hidden="1">
      <c r="A80" s="823">
        <v>60004</v>
      </c>
      <c r="B80" s="826" t="s">
        <v>177</v>
      </c>
      <c r="C80" s="157" t="s">
        <v>0</v>
      </c>
      <c r="D80" s="158">
        <f t="shared" si="30"/>
        <v>31207923</v>
      </c>
      <c r="E80" s="159">
        <f t="shared" si="31"/>
        <v>31207923</v>
      </c>
      <c r="F80" s="159">
        <f t="shared" si="32"/>
        <v>44290</v>
      </c>
      <c r="G80" s="159">
        <v>0</v>
      </c>
      <c r="H80" s="159">
        <v>44290</v>
      </c>
      <c r="I80" s="159">
        <v>31163633</v>
      </c>
      <c r="J80" s="159">
        <v>0</v>
      </c>
      <c r="K80" s="159">
        <v>0</v>
      </c>
      <c r="L80" s="159">
        <v>0</v>
      </c>
      <c r="M80" s="159">
        <f t="shared" si="33"/>
        <v>0</v>
      </c>
      <c r="N80" s="159">
        <v>0</v>
      </c>
      <c r="O80" s="159">
        <v>0</v>
      </c>
      <c r="P80" s="159">
        <v>0</v>
      </c>
      <c r="Q80" s="166"/>
      <c r="R80" s="166"/>
      <c r="S80" s="166"/>
      <c r="T80" s="166"/>
      <c r="U80" s="166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</row>
    <row r="81" spans="1:256" hidden="1">
      <c r="A81" s="824"/>
      <c r="B81" s="827"/>
      <c r="C81" s="157" t="s">
        <v>1</v>
      </c>
      <c r="D81" s="158">
        <f t="shared" si="30"/>
        <v>0</v>
      </c>
      <c r="E81" s="159">
        <f t="shared" si="31"/>
        <v>0</v>
      </c>
      <c r="F81" s="159">
        <f t="shared" si="32"/>
        <v>0</v>
      </c>
      <c r="G81" s="159"/>
      <c r="H81" s="159"/>
      <c r="I81" s="159"/>
      <c r="J81" s="159"/>
      <c r="K81" s="159"/>
      <c r="L81" s="159"/>
      <c r="M81" s="159">
        <f t="shared" si="33"/>
        <v>0</v>
      </c>
      <c r="N81" s="159"/>
      <c r="O81" s="159"/>
      <c r="P81" s="159"/>
      <c r="Q81" s="166"/>
      <c r="R81" s="166"/>
      <c r="S81" s="166"/>
      <c r="T81" s="166"/>
      <c r="U81" s="166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</row>
    <row r="82" spans="1:256" hidden="1">
      <c r="A82" s="825"/>
      <c r="B82" s="828"/>
      <c r="C82" s="157" t="s">
        <v>2</v>
      </c>
      <c r="D82" s="158">
        <f>D81+D80</f>
        <v>31207923</v>
      </c>
      <c r="E82" s="159">
        <f t="shared" ref="E82:P82" si="37">E81+E80</f>
        <v>31207923</v>
      </c>
      <c r="F82" s="159">
        <f t="shared" si="37"/>
        <v>44290</v>
      </c>
      <c r="G82" s="159">
        <f t="shared" si="37"/>
        <v>0</v>
      </c>
      <c r="H82" s="159">
        <f t="shared" si="37"/>
        <v>44290</v>
      </c>
      <c r="I82" s="159">
        <f t="shared" si="37"/>
        <v>31163633</v>
      </c>
      <c r="J82" s="159">
        <f t="shared" si="37"/>
        <v>0</v>
      </c>
      <c r="K82" s="159">
        <f t="shared" si="37"/>
        <v>0</v>
      </c>
      <c r="L82" s="159">
        <f t="shared" si="37"/>
        <v>0</v>
      </c>
      <c r="M82" s="159">
        <f t="shared" si="37"/>
        <v>0</v>
      </c>
      <c r="N82" s="159">
        <f t="shared" si="37"/>
        <v>0</v>
      </c>
      <c r="O82" s="159">
        <f t="shared" si="37"/>
        <v>0</v>
      </c>
      <c r="P82" s="159">
        <f t="shared" si="37"/>
        <v>0</v>
      </c>
      <c r="Q82" s="166"/>
      <c r="R82" s="166"/>
      <c r="S82" s="166"/>
      <c r="T82" s="166"/>
      <c r="U82" s="166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</row>
    <row r="83" spans="1:256">
      <c r="A83" s="823" t="s">
        <v>178</v>
      </c>
      <c r="B83" s="826" t="s">
        <v>105</v>
      </c>
      <c r="C83" s="157" t="s">
        <v>0</v>
      </c>
      <c r="D83" s="158">
        <f t="shared" si="30"/>
        <v>463966241</v>
      </c>
      <c r="E83" s="159">
        <f t="shared" si="31"/>
        <v>82166739</v>
      </c>
      <c r="F83" s="159">
        <f t="shared" si="32"/>
        <v>80908000</v>
      </c>
      <c r="G83" s="159">
        <v>686400</v>
      </c>
      <c r="H83" s="159">
        <f>6800000+700000+40034600+30000000+470000+1400000+42000+750000+25000</f>
        <v>80221600</v>
      </c>
      <c r="I83" s="159">
        <v>0</v>
      </c>
      <c r="J83" s="159">
        <v>0</v>
      </c>
      <c r="K83" s="159">
        <f>63339657-62269729+11177586-10988775</f>
        <v>1258739</v>
      </c>
      <c r="L83" s="159">
        <v>0</v>
      </c>
      <c r="M83" s="159">
        <f t="shared" si="33"/>
        <v>381799502</v>
      </c>
      <c r="N83" s="159">
        <v>381799502</v>
      </c>
      <c r="O83" s="159">
        <f>62269729+10988775</f>
        <v>73258504</v>
      </c>
      <c r="P83" s="159">
        <v>0</v>
      </c>
      <c r="Q83" s="166"/>
      <c r="R83" s="166"/>
      <c r="S83" s="166"/>
      <c r="T83" s="166"/>
      <c r="U83" s="16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  <c r="IV83" s="130"/>
    </row>
    <row r="84" spans="1:256">
      <c r="A84" s="824"/>
      <c r="B84" s="827"/>
      <c r="C84" s="157" t="s">
        <v>1</v>
      </c>
      <c r="D84" s="158">
        <f t="shared" si="30"/>
        <v>61237360</v>
      </c>
      <c r="E84" s="159">
        <f t="shared" si="31"/>
        <v>0</v>
      </c>
      <c r="F84" s="159">
        <f t="shared" si="32"/>
        <v>0</v>
      </c>
      <c r="G84" s="159"/>
      <c r="H84" s="159"/>
      <c r="I84" s="159"/>
      <c r="J84" s="159"/>
      <c r="K84" s="159"/>
      <c r="L84" s="159"/>
      <c r="M84" s="159">
        <f t="shared" si="33"/>
        <v>61237360</v>
      </c>
      <c r="N84" s="159">
        <v>61237360</v>
      </c>
      <c r="O84" s="159"/>
      <c r="P84" s="159"/>
      <c r="Q84" s="166"/>
      <c r="R84" s="166"/>
      <c r="S84" s="166"/>
      <c r="T84" s="166"/>
      <c r="U84" s="166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  <c r="DS84" s="130"/>
      <c r="DT84" s="130"/>
      <c r="DU84" s="130"/>
      <c r="DV84" s="130"/>
      <c r="DW84" s="130"/>
      <c r="DX84" s="130"/>
      <c r="DY84" s="130"/>
      <c r="DZ84" s="130"/>
      <c r="EA84" s="130"/>
      <c r="EB84" s="130"/>
      <c r="EC84" s="130"/>
      <c r="ED84" s="130"/>
      <c r="EE84" s="130"/>
      <c r="EF84" s="130"/>
      <c r="EG84" s="130"/>
      <c r="EH84" s="130"/>
      <c r="EI84" s="130"/>
      <c r="EJ84" s="130"/>
      <c r="EK84" s="130"/>
      <c r="EL84" s="130"/>
      <c r="EM84" s="130"/>
      <c r="EN84" s="130"/>
      <c r="EO84" s="130"/>
      <c r="EP84" s="130"/>
      <c r="EQ84" s="130"/>
      <c r="ER84" s="130"/>
      <c r="ES84" s="130"/>
      <c r="ET84" s="130"/>
      <c r="EU84" s="130"/>
      <c r="EV84" s="130"/>
      <c r="EW84" s="130"/>
      <c r="EX84" s="130"/>
      <c r="EY84" s="130"/>
      <c r="EZ84" s="130"/>
      <c r="FA84" s="130"/>
      <c r="FB84" s="130"/>
      <c r="FC84" s="130"/>
      <c r="FD84" s="130"/>
      <c r="FE84" s="130"/>
      <c r="FF84" s="130"/>
      <c r="FG84" s="130"/>
      <c r="FH84" s="130"/>
      <c r="FI84" s="130"/>
      <c r="FJ84" s="130"/>
      <c r="FK84" s="130"/>
      <c r="FL84" s="130"/>
      <c r="FM84" s="130"/>
      <c r="FN84" s="130"/>
      <c r="FO84" s="130"/>
      <c r="FP84" s="130"/>
      <c r="FQ84" s="130"/>
      <c r="FR84" s="130"/>
      <c r="FS84" s="130"/>
      <c r="FT84" s="130"/>
      <c r="FU84" s="130"/>
      <c r="FV84" s="130"/>
      <c r="FW84" s="130"/>
      <c r="FX84" s="130"/>
      <c r="FY84" s="130"/>
      <c r="FZ84" s="130"/>
      <c r="GA84" s="130"/>
      <c r="GB84" s="130"/>
      <c r="GC84" s="130"/>
      <c r="GD84" s="130"/>
      <c r="GE84" s="130"/>
      <c r="GF84" s="130"/>
      <c r="GG84" s="130"/>
      <c r="GH84" s="130"/>
      <c r="GI84" s="130"/>
      <c r="GJ84" s="130"/>
      <c r="GK84" s="130"/>
      <c r="GL84" s="130"/>
      <c r="GM84" s="130"/>
      <c r="GN84" s="130"/>
      <c r="GO84" s="130"/>
      <c r="GP84" s="130"/>
      <c r="GQ84" s="130"/>
      <c r="GR84" s="130"/>
      <c r="GS84" s="130"/>
      <c r="GT84" s="130"/>
      <c r="GU84" s="130"/>
      <c r="GV84" s="130"/>
      <c r="GW84" s="130"/>
      <c r="GX84" s="130"/>
      <c r="GY84" s="130"/>
      <c r="GZ84" s="130"/>
      <c r="HA84" s="130"/>
      <c r="HB84" s="130"/>
      <c r="HC84" s="130"/>
      <c r="HD84" s="130"/>
      <c r="HE84" s="130"/>
      <c r="HF84" s="130"/>
      <c r="HG84" s="130"/>
      <c r="HH84" s="130"/>
      <c r="HI84" s="130"/>
      <c r="HJ84" s="130"/>
      <c r="HK84" s="130"/>
      <c r="HL84" s="130"/>
      <c r="HM84" s="130"/>
      <c r="HN84" s="130"/>
      <c r="HO84" s="130"/>
      <c r="HP84" s="130"/>
      <c r="HQ84" s="130"/>
      <c r="HR84" s="130"/>
      <c r="HS84" s="130"/>
      <c r="HT84" s="130"/>
      <c r="HU84" s="130"/>
      <c r="HV84" s="130"/>
      <c r="HW84" s="130"/>
      <c r="HX84" s="130"/>
      <c r="HY84" s="130"/>
      <c r="HZ84" s="130"/>
      <c r="IA84" s="130"/>
      <c r="IB84" s="130"/>
      <c r="IC84" s="130"/>
      <c r="ID84" s="130"/>
      <c r="IE84" s="130"/>
      <c r="IF84" s="130"/>
      <c r="IG84" s="130"/>
      <c r="IH84" s="130"/>
      <c r="II84" s="130"/>
      <c r="IJ84" s="130"/>
      <c r="IK84" s="130"/>
      <c r="IL84" s="130"/>
      <c r="IM84" s="130"/>
      <c r="IN84" s="130"/>
      <c r="IO84" s="130"/>
      <c r="IP84" s="130"/>
      <c r="IQ84" s="130"/>
      <c r="IR84" s="130"/>
      <c r="IS84" s="130"/>
      <c r="IT84" s="130"/>
      <c r="IU84" s="130"/>
      <c r="IV84" s="130"/>
    </row>
    <row r="85" spans="1:256">
      <c r="A85" s="825"/>
      <c r="B85" s="828"/>
      <c r="C85" s="157" t="s">
        <v>2</v>
      </c>
      <c r="D85" s="158">
        <f>D84+D83</f>
        <v>525203601</v>
      </c>
      <c r="E85" s="159">
        <f t="shared" ref="E85:P85" si="38">E84+E83</f>
        <v>82166739</v>
      </c>
      <c r="F85" s="159">
        <f t="shared" si="38"/>
        <v>80908000</v>
      </c>
      <c r="G85" s="159">
        <f t="shared" si="38"/>
        <v>686400</v>
      </c>
      <c r="H85" s="159">
        <f t="shared" si="38"/>
        <v>80221600</v>
      </c>
      <c r="I85" s="159">
        <f t="shared" si="38"/>
        <v>0</v>
      </c>
      <c r="J85" s="159">
        <f t="shared" si="38"/>
        <v>0</v>
      </c>
      <c r="K85" s="159">
        <f t="shared" si="38"/>
        <v>1258739</v>
      </c>
      <c r="L85" s="159">
        <f t="shared" si="38"/>
        <v>0</v>
      </c>
      <c r="M85" s="159">
        <f t="shared" si="38"/>
        <v>443036862</v>
      </c>
      <c r="N85" s="159">
        <f t="shared" si="38"/>
        <v>443036862</v>
      </c>
      <c r="O85" s="159">
        <f t="shared" si="38"/>
        <v>73258504</v>
      </c>
      <c r="P85" s="159">
        <f t="shared" si="38"/>
        <v>0</v>
      </c>
      <c r="Q85" s="166"/>
      <c r="R85" s="166"/>
      <c r="S85" s="166"/>
      <c r="T85" s="166"/>
      <c r="U85" s="166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</row>
    <row r="86" spans="1:256" hidden="1">
      <c r="A86" s="823" t="s">
        <v>179</v>
      </c>
      <c r="B86" s="826" t="s">
        <v>180</v>
      </c>
      <c r="C86" s="157" t="s">
        <v>0</v>
      </c>
      <c r="D86" s="158">
        <f t="shared" si="30"/>
        <v>3864000</v>
      </c>
      <c r="E86" s="159">
        <f t="shared" si="31"/>
        <v>0</v>
      </c>
      <c r="F86" s="159">
        <f t="shared" si="32"/>
        <v>0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f t="shared" si="33"/>
        <v>3864000</v>
      </c>
      <c r="N86" s="159">
        <v>3864000</v>
      </c>
      <c r="O86" s="159">
        <v>0</v>
      </c>
      <c r="P86" s="159">
        <v>0</v>
      </c>
      <c r="Q86" s="166"/>
      <c r="R86" s="166"/>
      <c r="S86" s="166"/>
      <c r="T86" s="166"/>
      <c r="U86" s="166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  <c r="ET86" s="130"/>
      <c r="EU86" s="130"/>
      <c r="EV86" s="130"/>
      <c r="EW86" s="130"/>
      <c r="EX86" s="130"/>
      <c r="EY86" s="130"/>
      <c r="EZ86" s="130"/>
      <c r="FA86" s="130"/>
      <c r="FB86" s="130"/>
      <c r="FC86" s="130"/>
      <c r="FD86" s="130"/>
      <c r="FE86" s="130"/>
      <c r="FF86" s="130"/>
      <c r="FG86" s="130"/>
      <c r="FH86" s="130"/>
      <c r="FI86" s="130"/>
      <c r="FJ86" s="130"/>
      <c r="FK86" s="130"/>
      <c r="FL86" s="130"/>
      <c r="FM86" s="130"/>
      <c r="FN86" s="130"/>
      <c r="FO86" s="130"/>
      <c r="FP86" s="130"/>
      <c r="FQ86" s="130"/>
      <c r="FR86" s="130"/>
      <c r="FS86" s="130"/>
      <c r="FT86" s="130"/>
      <c r="FU86" s="130"/>
      <c r="FV86" s="130"/>
      <c r="FW86" s="130"/>
      <c r="FX86" s="130"/>
      <c r="FY86" s="130"/>
      <c r="FZ86" s="130"/>
      <c r="GA86" s="130"/>
      <c r="GB86" s="130"/>
      <c r="GC86" s="130"/>
      <c r="GD86" s="130"/>
      <c r="GE86" s="130"/>
      <c r="GF86" s="130"/>
      <c r="GG86" s="130"/>
      <c r="GH86" s="130"/>
      <c r="GI86" s="130"/>
      <c r="GJ86" s="130"/>
      <c r="GK86" s="130"/>
      <c r="GL86" s="130"/>
      <c r="GM86" s="130"/>
      <c r="GN86" s="130"/>
      <c r="GO86" s="130"/>
      <c r="GP86" s="130"/>
      <c r="GQ86" s="130"/>
      <c r="GR86" s="130"/>
      <c r="GS86" s="130"/>
      <c r="GT86" s="130"/>
      <c r="GU86" s="130"/>
      <c r="GV86" s="130"/>
      <c r="GW86" s="130"/>
      <c r="GX86" s="130"/>
      <c r="GY86" s="130"/>
      <c r="GZ86" s="130"/>
      <c r="HA86" s="130"/>
      <c r="HB86" s="130"/>
      <c r="HC86" s="130"/>
      <c r="HD86" s="130"/>
      <c r="HE86" s="130"/>
      <c r="HF86" s="130"/>
      <c r="HG86" s="130"/>
      <c r="HH86" s="130"/>
      <c r="HI86" s="130"/>
      <c r="HJ86" s="130"/>
      <c r="HK86" s="130"/>
      <c r="HL86" s="130"/>
      <c r="HM86" s="130"/>
      <c r="HN86" s="130"/>
      <c r="HO86" s="130"/>
      <c r="HP86" s="130"/>
      <c r="HQ86" s="130"/>
      <c r="HR86" s="130"/>
      <c r="HS86" s="130"/>
      <c r="HT86" s="130"/>
      <c r="HU86" s="130"/>
      <c r="HV86" s="130"/>
      <c r="HW86" s="130"/>
      <c r="HX86" s="130"/>
      <c r="HY86" s="130"/>
      <c r="HZ86" s="130"/>
      <c r="IA86" s="130"/>
      <c r="IB86" s="130"/>
      <c r="IC86" s="130"/>
      <c r="ID86" s="130"/>
      <c r="IE86" s="130"/>
      <c r="IF86" s="130"/>
      <c r="IG86" s="130"/>
      <c r="IH86" s="130"/>
      <c r="II86" s="130"/>
      <c r="IJ86" s="130"/>
      <c r="IK86" s="130"/>
      <c r="IL86" s="130"/>
      <c r="IM86" s="130"/>
      <c r="IN86" s="130"/>
      <c r="IO86" s="130"/>
      <c r="IP86" s="130"/>
      <c r="IQ86" s="130"/>
      <c r="IR86" s="130"/>
      <c r="IS86" s="130"/>
      <c r="IT86" s="130"/>
      <c r="IU86" s="130"/>
      <c r="IV86" s="130"/>
    </row>
    <row r="87" spans="1:256" hidden="1">
      <c r="A87" s="824"/>
      <c r="B87" s="827"/>
      <c r="C87" s="157" t="s">
        <v>1</v>
      </c>
      <c r="D87" s="158">
        <f t="shared" si="30"/>
        <v>0</v>
      </c>
      <c r="E87" s="159">
        <f t="shared" si="31"/>
        <v>0</v>
      </c>
      <c r="F87" s="159">
        <f t="shared" si="32"/>
        <v>0</v>
      </c>
      <c r="G87" s="159"/>
      <c r="H87" s="159"/>
      <c r="I87" s="159"/>
      <c r="J87" s="159"/>
      <c r="K87" s="159"/>
      <c r="L87" s="159"/>
      <c r="M87" s="159">
        <f t="shared" si="33"/>
        <v>0</v>
      </c>
      <c r="N87" s="159"/>
      <c r="O87" s="159"/>
      <c r="P87" s="159"/>
      <c r="Q87" s="166"/>
      <c r="R87" s="166"/>
      <c r="S87" s="166"/>
      <c r="T87" s="166"/>
      <c r="U87" s="166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0"/>
      <c r="EZ87" s="130"/>
      <c r="FA87" s="130"/>
      <c r="FB87" s="130"/>
      <c r="FC87" s="130"/>
      <c r="FD87" s="130"/>
      <c r="FE87" s="130"/>
      <c r="FF87" s="130"/>
      <c r="FG87" s="130"/>
      <c r="FH87" s="130"/>
      <c r="FI87" s="130"/>
      <c r="FJ87" s="130"/>
      <c r="FK87" s="130"/>
      <c r="FL87" s="130"/>
      <c r="FM87" s="130"/>
      <c r="FN87" s="130"/>
      <c r="FO87" s="130"/>
      <c r="FP87" s="130"/>
      <c r="FQ87" s="130"/>
      <c r="FR87" s="130"/>
      <c r="FS87" s="130"/>
      <c r="FT87" s="130"/>
      <c r="FU87" s="130"/>
      <c r="FV87" s="130"/>
      <c r="FW87" s="130"/>
      <c r="FX87" s="130"/>
      <c r="FY87" s="130"/>
      <c r="FZ87" s="130"/>
      <c r="GA87" s="130"/>
      <c r="GB87" s="130"/>
      <c r="GC87" s="130"/>
      <c r="GD87" s="130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</row>
    <row r="88" spans="1:256" hidden="1">
      <c r="A88" s="825"/>
      <c r="B88" s="828"/>
      <c r="C88" s="157" t="s">
        <v>2</v>
      </c>
      <c r="D88" s="158">
        <f>D87+D86</f>
        <v>3864000</v>
      </c>
      <c r="E88" s="159">
        <f t="shared" ref="E88:P88" si="39">E87+E86</f>
        <v>0</v>
      </c>
      <c r="F88" s="159">
        <f t="shared" si="39"/>
        <v>0</v>
      </c>
      <c r="G88" s="159">
        <f t="shared" si="39"/>
        <v>0</v>
      </c>
      <c r="H88" s="159">
        <f t="shared" si="39"/>
        <v>0</v>
      </c>
      <c r="I88" s="159">
        <f t="shared" si="39"/>
        <v>0</v>
      </c>
      <c r="J88" s="159">
        <f t="shared" si="39"/>
        <v>0</v>
      </c>
      <c r="K88" s="159">
        <f t="shared" si="39"/>
        <v>0</v>
      </c>
      <c r="L88" s="159">
        <f t="shared" si="39"/>
        <v>0</v>
      </c>
      <c r="M88" s="159">
        <f t="shared" si="39"/>
        <v>3864000</v>
      </c>
      <c r="N88" s="159">
        <f t="shared" si="39"/>
        <v>3864000</v>
      </c>
      <c r="O88" s="159">
        <f t="shared" si="39"/>
        <v>0</v>
      </c>
      <c r="P88" s="159">
        <f t="shared" si="39"/>
        <v>0</v>
      </c>
      <c r="Q88" s="166"/>
      <c r="R88" s="166"/>
      <c r="S88" s="166"/>
      <c r="T88" s="166"/>
      <c r="U88" s="166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  <c r="ET88" s="130"/>
      <c r="EU88" s="130"/>
      <c r="EV88" s="130"/>
      <c r="EW88" s="130"/>
      <c r="EX88" s="130"/>
      <c r="EY88" s="130"/>
      <c r="EZ88" s="130"/>
      <c r="FA88" s="130"/>
      <c r="FB88" s="130"/>
      <c r="FC88" s="130"/>
      <c r="FD88" s="130"/>
      <c r="FE88" s="130"/>
      <c r="FF88" s="130"/>
      <c r="FG88" s="130"/>
      <c r="FH88" s="130"/>
      <c r="FI88" s="130"/>
      <c r="FJ88" s="130"/>
      <c r="FK88" s="130"/>
      <c r="FL88" s="130"/>
      <c r="FM88" s="130"/>
      <c r="FN88" s="130"/>
      <c r="FO88" s="130"/>
      <c r="FP88" s="130"/>
      <c r="FQ88" s="130"/>
      <c r="FR88" s="130"/>
      <c r="FS88" s="130"/>
      <c r="FT88" s="130"/>
      <c r="FU88" s="130"/>
      <c r="FV88" s="130"/>
      <c r="FW88" s="130"/>
      <c r="FX88" s="130"/>
      <c r="FY88" s="130"/>
      <c r="FZ88" s="130"/>
      <c r="GA88" s="130"/>
      <c r="GB88" s="130"/>
      <c r="GC88" s="130"/>
      <c r="GD88" s="130"/>
      <c r="GE88" s="130"/>
      <c r="GF88" s="130"/>
      <c r="GG88" s="130"/>
      <c r="GH88" s="130"/>
      <c r="GI88" s="130"/>
      <c r="GJ88" s="130"/>
      <c r="GK88" s="130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IT88" s="130"/>
      <c r="IU88" s="130"/>
      <c r="IV88" s="130"/>
    </row>
    <row r="89" spans="1:256" hidden="1">
      <c r="A89" s="823" t="s">
        <v>181</v>
      </c>
      <c r="B89" s="826" t="s">
        <v>182</v>
      </c>
      <c r="C89" s="157" t="s">
        <v>0</v>
      </c>
      <c r="D89" s="158">
        <f>E89+M89</f>
        <v>648680</v>
      </c>
      <c r="E89" s="159">
        <f>F89+I89+J89+K89+L89</f>
        <v>0</v>
      </c>
      <c r="F89" s="159">
        <f>G89+H89</f>
        <v>0</v>
      </c>
      <c r="G89" s="159">
        <v>0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f>N89+P89</f>
        <v>648680</v>
      </c>
      <c r="N89" s="159">
        <v>648680</v>
      </c>
      <c r="O89" s="159">
        <v>0</v>
      </c>
      <c r="P89" s="159">
        <v>0</v>
      </c>
      <c r="Q89" s="166"/>
      <c r="R89" s="166"/>
      <c r="S89" s="166"/>
      <c r="T89" s="166"/>
      <c r="U89" s="166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130"/>
      <c r="EL89" s="130"/>
      <c r="EM89" s="130"/>
      <c r="EN89" s="130"/>
      <c r="EO89" s="130"/>
      <c r="EP89" s="130"/>
      <c r="EQ89" s="130"/>
      <c r="ER89" s="130"/>
      <c r="ES89" s="130"/>
      <c r="ET89" s="130"/>
      <c r="EU89" s="130"/>
      <c r="EV89" s="130"/>
      <c r="EW89" s="130"/>
      <c r="EX89" s="130"/>
      <c r="EY89" s="130"/>
      <c r="EZ89" s="130"/>
      <c r="FA89" s="130"/>
      <c r="FB89" s="130"/>
      <c r="FC89" s="130"/>
      <c r="FD89" s="130"/>
      <c r="FE89" s="130"/>
      <c r="FF89" s="130"/>
      <c r="FG89" s="130"/>
      <c r="FH89" s="130"/>
      <c r="FI89" s="130"/>
      <c r="FJ89" s="130"/>
      <c r="FK89" s="130"/>
      <c r="FL89" s="130"/>
      <c r="FM89" s="130"/>
      <c r="FN89" s="130"/>
      <c r="FO89" s="130"/>
      <c r="FP89" s="130"/>
      <c r="FQ89" s="130"/>
      <c r="FR89" s="130"/>
      <c r="FS89" s="130"/>
      <c r="FT89" s="130"/>
      <c r="FU89" s="130"/>
      <c r="FV89" s="130"/>
      <c r="FW89" s="130"/>
      <c r="FX89" s="130"/>
      <c r="FY89" s="130"/>
      <c r="FZ89" s="130"/>
      <c r="GA89" s="130"/>
      <c r="GB89" s="130"/>
      <c r="GC89" s="130"/>
      <c r="GD89" s="130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IT89" s="130"/>
      <c r="IU89" s="130"/>
      <c r="IV89" s="130"/>
    </row>
    <row r="90" spans="1:256" hidden="1">
      <c r="A90" s="824"/>
      <c r="B90" s="827"/>
      <c r="C90" s="157" t="s">
        <v>1</v>
      </c>
      <c r="D90" s="158">
        <f>E90+M90</f>
        <v>0</v>
      </c>
      <c r="E90" s="159">
        <f>F90+I90+J90+K90+L90</f>
        <v>0</v>
      </c>
      <c r="F90" s="159">
        <f>G90+H90</f>
        <v>0</v>
      </c>
      <c r="G90" s="159"/>
      <c r="H90" s="159"/>
      <c r="I90" s="159"/>
      <c r="J90" s="159"/>
      <c r="K90" s="159"/>
      <c r="L90" s="159"/>
      <c r="M90" s="159">
        <f>N90+P90</f>
        <v>0</v>
      </c>
      <c r="N90" s="159"/>
      <c r="O90" s="159"/>
      <c r="P90" s="159"/>
      <c r="Q90" s="166"/>
      <c r="R90" s="166"/>
      <c r="S90" s="166"/>
      <c r="T90" s="166"/>
      <c r="U90" s="166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130"/>
      <c r="EL90" s="130"/>
      <c r="EM90" s="130"/>
      <c r="EN90" s="130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/>
      <c r="FJ90" s="130"/>
      <c r="FK90" s="130"/>
      <c r="FL90" s="130"/>
      <c r="FM90" s="130"/>
      <c r="FN90" s="130"/>
      <c r="FO90" s="130"/>
      <c r="FP90" s="130"/>
      <c r="FQ90" s="130"/>
      <c r="FR90" s="130"/>
      <c r="FS90" s="130"/>
      <c r="FT90" s="130"/>
      <c r="FU90" s="130"/>
      <c r="FV90" s="130"/>
      <c r="FW90" s="130"/>
      <c r="FX90" s="130"/>
      <c r="FY90" s="130"/>
      <c r="FZ90" s="130"/>
      <c r="GA90" s="130"/>
      <c r="GB90" s="130"/>
      <c r="GC90" s="130"/>
      <c r="GD90" s="130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</row>
    <row r="91" spans="1:256" hidden="1">
      <c r="A91" s="825"/>
      <c r="B91" s="828"/>
      <c r="C91" s="157" t="s">
        <v>2</v>
      </c>
      <c r="D91" s="158">
        <f>D90+D89</f>
        <v>648680</v>
      </c>
      <c r="E91" s="159">
        <f t="shared" ref="E91:P91" si="40">E90+E89</f>
        <v>0</v>
      </c>
      <c r="F91" s="159">
        <f t="shared" si="40"/>
        <v>0</v>
      </c>
      <c r="G91" s="159">
        <f t="shared" si="40"/>
        <v>0</v>
      </c>
      <c r="H91" s="159">
        <f t="shared" si="40"/>
        <v>0</v>
      </c>
      <c r="I91" s="159">
        <f t="shared" si="40"/>
        <v>0</v>
      </c>
      <c r="J91" s="159">
        <f t="shared" si="40"/>
        <v>0</v>
      </c>
      <c r="K91" s="159">
        <f t="shared" si="40"/>
        <v>0</v>
      </c>
      <c r="L91" s="159">
        <f t="shared" si="40"/>
        <v>0</v>
      </c>
      <c r="M91" s="159">
        <f t="shared" si="40"/>
        <v>648680</v>
      </c>
      <c r="N91" s="159">
        <f t="shared" si="40"/>
        <v>648680</v>
      </c>
      <c r="O91" s="159">
        <f t="shared" si="40"/>
        <v>0</v>
      </c>
      <c r="P91" s="159">
        <f t="shared" si="40"/>
        <v>0</v>
      </c>
      <c r="Q91" s="166"/>
      <c r="R91" s="166"/>
      <c r="S91" s="166"/>
      <c r="T91" s="166"/>
      <c r="U91" s="166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3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0"/>
      <c r="FK91" s="130"/>
      <c r="FL91" s="130"/>
      <c r="FM91" s="130"/>
      <c r="FN91" s="130"/>
      <c r="FO91" s="130"/>
      <c r="FP91" s="130"/>
      <c r="FQ91" s="130"/>
      <c r="FR91" s="130"/>
      <c r="FS91" s="130"/>
      <c r="FT91" s="130"/>
      <c r="FU91" s="130"/>
      <c r="FV91" s="130"/>
      <c r="FW91" s="130"/>
      <c r="FX91" s="130"/>
      <c r="FY91" s="130"/>
      <c r="FZ91" s="130"/>
      <c r="GA91" s="130"/>
      <c r="GB91" s="130"/>
      <c r="GC91" s="130"/>
      <c r="GD91" s="130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IT91" s="130"/>
      <c r="IU91" s="130"/>
      <c r="IV91" s="130"/>
    </row>
    <row r="92" spans="1:256" hidden="1">
      <c r="A92" s="823" t="s">
        <v>183</v>
      </c>
      <c r="B92" s="841" t="s">
        <v>184</v>
      </c>
      <c r="C92" s="157" t="s">
        <v>0</v>
      </c>
      <c r="D92" s="158">
        <f t="shared" si="30"/>
        <v>7646342</v>
      </c>
      <c r="E92" s="159">
        <f t="shared" si="31"/>
        <v>0</v>
      </c>
      <c r="F92" s="159">
        <f t="shared" si="32"/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</v>
      </c>
      <c r="L92" s="159">
        <v>0</v>
      </c>
      <c r="M92" s="159">
        <f t="shared" si="33"/>
        <v>7646342</v>
      </c>
      <c r="N92" s="159">
        <v>7646342</v>
      </c>
      <c r="O92" s="159">
        <v>0</v>
      </c>
      <c r="P92" s="159">
        <v>0</v>
      </c>
      <c r="Q92" s="166"/>
      <c r="R92" s="166"/>
      <c r="S92" s="166"/>
      <c r="T92" s="166"/>
      <c r="U92" s="166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  <c r="FB92" s="130"/>
      <c r="FC92" s="130"/>
      <c r="FD92" s="130"/>
      <c r="FE92" s="130"/>
      <c r="FF92" s="130"/>
      <c r="FG92" s="130"/>
      <c r="FH92" s="130"/>
      <c r="FI92" s="130"/>
      <c r="FJ92" s="130"/>
      <c r="FK92" s="130"/>
      <c r="FL92" s="130"/>
      <c r="FM92" s="130"/>
      <c r="FN92" s="130"/>
      <c r="FO92" s="130"/>
      <c r="FP92" s="130"/>
      <c r="FQ92" s="130"/>
      <c r="FR92" s="130"/>
      <c r="FS92" s="130"/>
      <c r="FT92" s="130"/>
      <c r="FU92" s="130"/>
      <c r="FV92" s="130"/>
      <c r="FW92" s="130"/>
      <c r="FX92" s="130"/>
      <c r="FY92" s="130"/>
      <c r="FZ92" s="130"/>
      <c r="GA92" s="130"/>
      <c r="GB92" s="130"/>
      <c r="GC92" s="130"/>
      <c r="GD92" s="130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</row>
    <row r="93" spans="1:256" hidden="1">
      <c r="A93" s="824"/>
      <c r="B93" s="842"/>
      <c r="C93" s="157" t="s">
        <v>1</v>
      </c>
      <c r="D93" s="158">
        <f t="shared" si="30"/>
        <v>0</v>
      </c>
      <c r="E93" s="159">
        <f t="shared" si="31"/>
        <v>0</v>
      </c>
      <c r="F93" s="159">
        <f t="shared" si="32"/>
        <v>0</v>
      </c>
      <c r="G93" s="159"/>
      <c r="H93" s="159"/>
      <c r="I93" s="159"/>
      <c r="J93" s="159"/>
      <c r="K93" s="159"/>
      <c r="L93" s="159"/>
      <c r="M93" s="159">
        <f t="shared" si="33"/>
        <v>0</v>
      </c>
      <c r="N93" s="159"/>
      <c r="O93" s="159"/>
      <c r="P93" s="159"/>
      <c r="Q93" s="166"/>
      <c r="R93" s="166"/>
      <c r="S93" s="166"/>
      <c r="T93" s="166"/>
      <c r="U93" s="166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130"/>
      <c r="EL93" s="130"/>
      <c r="EM93" s="130"/>
      <c r="EN93" s="130"/>
      <c r="EO93" s="130"/>
      <c r="EP93" s="130"/>
      <c r="EQ93" s="130"/>
      <c r="ER93" s="130"/>
      <c r="ES93" s="130"/>
      <c r="ET93" s="130"/>
      <c r="EU93" s="130"/>
      <c r="EV93" s="130"/>
      <c r="EW93" s="130"/>
      <c r="EX93" s="130"/>
      <c r="EY93" s="130"/>
      <c r="EZ93" s="130"/>
      <c r="FA93" s="130"/>
      <c r="FB93" s="130"/>
      <c r="FC93" s="130"/>
      <c r="FD93" s="130"/>
      <c r="FE93" s="130"/>
      <c r="FF93" s="130"/>
      <c r="FG93" s="130"/>
      <c r="FH93" s="130"/>
      <c r="FI93" s="130"/>
      <c r="FJ93" s="130"/>
      <c r="FK93" s="130"/>
      <c r="FL93" s="130"/>
      <c r="FM93" s="130"/>
      <c r="FN93" s="130"/>
      <c r="FO93" s="130"/>
      <c r="FP93" s="130"/>
      <c r="FQ93" s="130"/>
      <c r="FR93" s="130"/>
      <c r="FS93" s="130"/>
      <c r="FT93" s="130"/>
      <c r="FU93" s="130"/>
      <c r="FV93" s="130"/>
      <c r="FW93" s="130"/>
      <c r="FX93" s="130"/>
      <c r="FY93" s="130"/>
      <c r="FZ93" s="130"/>
      <c r="GA93" s="130"/>
      <c r="GB93" s="130"/>
      <c r="GC93" s="130"/>
      <c r="GD93" s="130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IT93" s="130"/>
      <c r="IU93" s="130"/>
      <c r="IV93" s="130"/>
    </row>
    <row r="94" spans="1:256" hidden="1">
      <c r="A94" s="825"/>
      <c r="B94" s="843"/>
      <c r="C94" s="157" t="s">
        <v>2</v>
      </c>
      <c r="D94" s="158">
        <f>D93+D92</f>
        <v>7646342</v>
      </c>
      <c r="E94" s="159">
        <f t="shared" ref="E94:P94" si="41">E93+E92</f>
        <v>0</v>
      </c>
      <c r="F94" s="159">
        <f t="shared" si="41"/>
        <v>0</v>
      </c>
      <c r="G94" s="159">
        <f t="shared" si="41"/>
        <v>0</v>
      </c>
      <c r="H94" s="159">
        <f t="shared" si="41"/>
        <v>0</v>
      </c>
      <c r="I94" s="159">
        <f t="shared" si="41"/>
        <v>0</v>
      </c>
      <c r="J94" s="159">
        <f t="shared" si="41"/>
        <v>0</v>
      </c>
      <c r="K94" s="159">
        <f t="shared" si="41"/>
        <v>0</v>
      </c>
      <c r="L94" s="159">
        <f t="shared" si="41"/>
        <v>0</v>
      </c>
      <c r="M94" s="159">
        <f t="shared" si="41"/>
        <v>7646342</v>
      </c>
      <c r="N94" s="159">
        <f t="shared" si="41"/>
        <v>7646342</v>
      </c>
      <c r="O94" s="159">
        <f t="shared" si="41"/>
        <v>0</v>
      </c>
      <c r="P94" s="159">
        <f t="shared" si="41"/>
        <v>0</v>
      </c>
      <c r="Q94" s="166"/>
      <c r="R94" s="166"/>
      <c r="S94" s="166"/>
      <c r="T94" s="166"/>
      <c r="U94" s="166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30"/>
      <c r="EE94" s="130"/>
      <c r="EF94" s="130"/>
      <c r="EG94" s="130"/>
      <c r="EH94" s="130"/>
      <c r="EI94" s="130"/>
      <c r="EJ94" s="130"/>
      <c r="EK94" s="130"/>
      <c r="EL94" s="130"/>
      <c r="EM94" s="130"/>
      <c r="EN94" s="130"/>
      <c r="EO94" s="130"/>
      <c r="EP94" s="130"/>
      <c r="EQ94" s="130"/>
      <c r="ER94" s="130"/>
      <c r="ES94" s="130"/>
      <c r="ET94" s="130"/>
      <c r="EU94" s="130"/>
      <c r="EV94" s="130"/>
      <c r="EW94" s="130"/>
      <c r="EX94" s="130"/>
      <c r="EY94" s="130"/>
      <c r="EZ94" s="130"/>
      <c r="FA94" s="130"/>
      <c r="FB94" s="130"/>
      <c r="FC94" s="130"/>
      <c r="FD94" s="130"/>
      <c r="FE94" s="130"/>
      <c r="FF94" s="130"/>
      <c r="FG94" s="130"/>
      <c r="FH94" s="130"/>
      <c r="FI94" s="130"/>
      <c r="FJ94" s="130"/>
      <c r="FK94" s="130"/>
      <c r="FL94" s="130"/>
      <c r="FM94" s="130"/>
      <c r="FN94" s="130"/>
      <c r="FO94" s="130"/>
      <c r="FP94" s="130"/>
      <c r="FQ94" s="130"/>
      <c r="FR94" s="130"/>
      <c r="FS94" s="130"/>
      <c r="FT94" s="130"/>
      <c r="FU94" s="130"/>
      <c r="FV94" s="130"/>
      <c r="FW94" s="130"/>
      <c r="FX94" s="130"/>
      <c r="FY94" s="130"/>
      <c r="FZ94" s="130"/>
      <c r="GA94" s="130"/>
      <c r="GB94" s="130"/>
      <c r="GC94" s="130"/>
      <c r="GD94" s="130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IT94" s="130"/>
      <c r="IU94" s="130"/>
      <c r="IV94" s="130"/>
    </row>
    <row r="95" spans="1:256" hidden="1">
      <c r="A95" s="823">
        <v>60041</v>
      </c>
      <c r="B95" s="826" t="s">
        <v>185</v>
      </c>
      <c r="C95" s="157" t="s">
        <v>0</v>
      </c>
      <c r="D95" s="158">
        <f t="shared" si="30"/>
        <v>7196625</v>
      </c>
      <c r="E95" s="159">
        <f t="shared" si="31"/>
        <v>0</v>
      </c>
      <c r="F95" s="159">
        <f t="shared" si="32"/>
        <v>0</v>
      </c>
      <c r="G95" s="159">
        <v>0</v>
      </c>
      <c r="H95" s="159">
        <v>0</v>
      </c>
      <c r="I95" s="159">
        <v>0</v>
      </c>
      <c r="J95" s="159">
        <v>0</v>
      </c>
      <c r="K95" s="159">
        <v>0</v>
      </c>
      <c r="L95" s="159">
        <v>0</v>
      </c>
      <c r="M95" s="159">
        <f t="shared" si="33"/>
        <v>7196625</v>
      </c>
      <c r="N95" s="159">
        <v>0</v>
      </c>
      <c r="O95" s="159">
        <v>0</v>
      </c>
      <c r="P95" s="159">
        <v>7196625</v>
      </c>
      <c r="Q95" s="166"/>
      <c r="R95" s="166"/>
      <c r="S95" s="166"/>
      <c r="T95" s="166"/>
      <c r="U95" s="16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30"/>
      <c r="ES95" s="130"/>
      <c r="ET95" s="130"/>
      <c r="EU95" s="130"/>
      <c r="EV95" s="130"/>
      <c r="EW95" s="130"/>
      <c r="EX95" s="130"/>
      <c r="EY95" s="130"/>
      <c r="EZ95" s="130"/>
      <c r="FA95" s="130"/>
      <c r="FB95" s="130"/>
      <c r="FC95" s="130"/>
      <c r="FD95" s="130"/>
      <c r="FE95" s="130"/>
      <c r="FF95" s="130"/>
      <c r="FG95" s="130"/>
      <c r="FH95" s="130"/>
      <c r="FI95" s="130"/>
      <c r="FJ95" s="130"/>
      <c r="FK95" s="130"/>
      <c r="FL95" s="130"/>
      <c r="FM95" s="130"/>
      <c r="FN95" s="130"/>
      <c r="FO95" s="130"/>
      <c r="FP95" s="130"/>
      <c r="FQ95" s="130"/>
      <c r="FR95" s="130"/>
      <c r="FS95" s="130"/>
      <c r="FT95" s="130"/>
      <c r="FU95" s="130"/>
      <c r="FV95" s="130"/>
      <c r="FW95" s="130"/>
      <c r="FX95" s="130"/>
      <c r="FY95" s="130"/>
      <c r="FZ95" s="130"/>
      <c r="GA95" s="130"/>
      <c r="GB95" s="130"/>
      <c r="GC95" s="130"/>
      <c r="GD95" s="130"/>
      <c r="GE95" s="130"/>
      <c r="GF95" s="130"/>
      <c r="GG95" s="130"/>
      <c r="GH95" s="130"/>
      <c r="GI95" s="130"/>
      <c r="GJ95" s="130"/>
      <c r="GK95" s="130"/>
      <c r="GL95" s="130"/>
      <c r="GM95" s="130"/>
      <c r="GN95" s="130"/>
      <c r="GO95" s="130"/>
      <c r="GP95" s="130"/>
      <c r="GQ95" s="130"/>
      <c r="GR95" s="130"/>
      <c r="GS95" s="130"/>
      <c r="GT95" s="130"/>
      <c r="GU95" s="130"/>
      <c r="GV95" s="130"/>
      <c r="GW95" s="130"/>
      <c r="GX95" s="130"/>
      <c r="GY95" s="130"/>
      <c r="GZ95" s="130"/>
      <c r="HA95" s="130"/>
      <c r="HB95" s="130"/>
      <c r="HC95" s="130"/>
      <c r="HD95" s="130"/>
      <c r="HE95" s="130"/>
      <c r="HF95" s="130"/>
      <c r="HG95" s="130"/>
      <c r="HH95" s="130"/>
      <c r="HI95" s="130"/>
      <c r="HJ95" s="130"/>
      <c r="HK95" s="130"/>
      <c r="HL95" s="130"/>
      <c r="HM95" s="130"/>
      <c r="HN95" s="130"/>
      <c r="HO95" s="130"/>
      <c r="HP95" s="130"/>
      <c r="HQ95" s="130"/>
      <c r="HR95" s="130"/>
      <c r="HS95" s="130"/>
      <c r="HT95" s="130"/>
      <c r="HU95" s="130"/>
      <c r="HV95" s="130"/>
      <c r="HW95" s="130"/>
      <c r="HX95" s="130"/>
      <c r="HY95" s="130"/>
      <c r="HZ95" s="130"/>
      <c r="IA95" s="130"/>
      <c r="IB95" s="130"/>
      <c r="IC95" s="130"/>
      <c r="ID95" s="130"/>
      <c r="IE95" s="130"/>
      <c r="IF95" s="130"/>
      <c r="IG95" s="130"/>
      <c r="IH95" s="130"/>
      <c r="II95" s="130"/>
      <c r="IJ95" s="130"/>
      <c r="IK95" s="130"/>
      <c r="IL95" s="130"/>
      <c r="IM95" s="130"/>
      <c r="IN95" s="130"/>
      <c r="IO95" s="130"/>
      <c r="IP95" s="130"/>
      <c r="IQ95" s="130"/>
      <c r="IR95" s="130"/>
      <c r="IS95" s="130"/>
      <c r="IT95" s="130"/>
      <c r="IU95" s="130"/>
      <c r="IV95" s="130"/>
    </row>
    <row r="96" spans="1:256" hidden="1">
      <c r="A96" s="824"/>
      <c r="B96" s="827"/>
      <c r="C96" s="157" t="s">
        <v>1</v>
      </c>
      <c r="D96" s="158">
        <f t="shared" si="30"/>
        <v>0</v>
      </c>
      <c r="E96" s="159">
        <f t="shared" si="31"/>
        <v>0</v>
      </c>
      <c r="F96" s="159">
        <f t="shared" si="32"/>
        <v>0</v>
      </c>
      <c r="G96" s="159"/>
      <c r="H96" s="159"/>
      <c r="I96" s="159"/>
      <c r="J96" s="159"/>
      <c r="K96" s="159"/>
      <c r="L96" s="159"/>
      <c r="M96" s="159">
        <f t="shared" si="33"/>
        <v>0</v>
      </c>
      <c r="N96" s="159"/>
      <c r="O96" s="159"/>
      <c r="P96" s="159"/>
      <c r="Q96" s="166"/>
      <c r="R96" s="166"/>
      <c r="S96" s="166"/>
      <c r="T96" s="166"/>
      <c r="U96" s="166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130"/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/>
      <c r="EY96" s="130"/>
      <c r="EZ96" s="130"/>
      <c r="FA96" s="130"/>
      <c r="FB96" s="130"/>
      <c r="FC96" s="130"/>
      <c r="FD96" s="130"/>
      <c r="FE96" s="130"/>
      <c r="FF96" s="130"/>
      <c r="FG96" s="130"/>
      <c r="FH96" s="130"/>
      <c r="FI96" s="130"/>
      <c r="FJ96" s="130"/>
      <c r="FK96" s="130"/>
      <c r="FL96" s="130"/>
      <c r="FM96" s="130"/>
      <c r="FN96" s="130"/>
      <c r="FO96" s="130"/>
      <c r="FP96" s="130"/>
      <c r="FQ96" s="130"/>
      <c r="FR96" s="130"/>
      <c r="FS96" s="130"/>
      <c r="FT96" s="130"/>
      <c r="FU96" s="130"/>
      <c r="FV96" s="130"/>
      <c r="FW96" s="130"/>
      <c r="FX96" s="130"/>
      <c r="FY96" s="130"/>
      <c r="FZ96" s="130"/>
      <c r="GA96" s="130"/>
      <c r="GB96" s="130"/>
      <c r="GC96" s="130"/>
      <c r="GD96" s="130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IT96" s="130"/>
      <c r="IU96" s="130"/>
      <c r="IV96" s="130"/>
    </row>
    <row r="97" spans="1:256" hidden="1">
      <c r="A97" s="825"/>
      <c r="B97" s="828"/>
      <c r="C97" s="157" t="s">
        <v>2</v>
      </c>
      <c r="D97" s="158">
        <f>D96+D95</f>
        <v>7196625</v>
      </c>
      <c r="E97" s="159">
        <f t="shared" ref="E97:P97" si="42">E96+E95</f>
        <v>0</v>
      </c>
      <c r="F97" s="159">
        <f t="shared" si="42"/>
        <v>0</v>
      </c>
      <c r="G97" s="159">
        <f t="shared" si="42"/>
        <v>0</v>
      </c>
      <c r="H97" s="159">
        <f t="shared" si="42"/>
        <v>0</v>
      </c>
      <c r="I97" s="159">
        <f t="shared" si="42"/>
        <v>0</v>
      </c>
      <c r="J97" s="159">
        <f t="shared" si="42"/>
        <v>0</v>
      </c>
      <c r="K97" s="159">
        <f t="shared" si="42"/>
        <v>0</v>
      </c>
      <c r="L97" s="159">
        <f t="shared" si="42"/>
        <v>0</v>
      </c>
      <c r="M97" s="159">
        <f t="shared" si="42"/>
        <v>7196625</v>
      </c>
      <c r="N97" s="159">
        <f t="shared" si="42"/>
        <v>0</v>
      </c>
      <c r="O97" s="159">
        <f t="shared" si="42"/>
        <v>0</v>
      </c>
      <c r="P97" s="159">
        <f t="shared" si="42"/>
        <v>7196625</v>
      </c>
      <c r="Q97" s="166"/>
      <c r="R97" s="166"/>
      <c r="S97" s="166"/>
      <c r="T97" s="166"/>
      <c r="U97" s="166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130"/>
      <c r="EL97" s="130"/>
      <c r="EM97" s="130"/>
      <c r="EN97" s="130"/>
      <c r="EO97" s="130"/>
      <c r="EP97" s="130"/>
      <c r="EQ97" s="130"/>
      <c r="ER97" s="130"/>
      <c r="ES97" s="130"/>
      <c r="ET97" s="130"/>
      <c r="EU97" s="130"/>
      <c r="EV97" s="130"/>
      <c r="EW97" s="130"/>
      <c r="EX97" s="130"/>
      <c r="EY97" s="130"/>
      <c r="EZ97" s="130"/>
      <c r="FA97" s="130"/>
      <c r="FB97" s="130"/>
      <c r="FC97" s="130"/>
      <c r="FD97" s="130"/>
      <c r="FE97" s="130"/>
      <c r="FF97" s="130"/>
      <c r="FG97" s="130"/>
      <c r="FH97" s="130"/>
      <c r="FI97" s="130"/>
      <c r="FJ97" s="130"/>
      <c r="FK97" s="130"/>
      <c r="FL97" s="130"/>
      <c r="FM97" s="130"/>
      <c r="FN97" s="130"/>
      <c r="FO97" s="130"/>
      <c r="FP97" s="130"/>
      <c r="FQ97" s="130"/>
      <c r="FR97" s="130"/>
      <c r="FS97" s="130"/>
      <c r="FT97" s="130"/>
      <c r="FU97" s="130"/>
      <c r="FV97" s="130"/>
      <c r="FW97" s="130"/>
      <c r="FX97" s="130"/>
      <c r="FY97" s="130"/>
      <c r="FZ97" s="130"/>
      <c r="GA97" s="130"/>
      <c r="GB97" s="130"/>
      <c r="GC97" s="130"/>
      <c r="GD97" s="130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IT97" s="130"/>
      <c r="IU97" s="130"/>
      <c r="IV97" s="130"/>
    </row>
    <row r="98" spans="1:256">
      <c r="A98" s="823" t="s">
        <v>186</v>
      </c>
      <c r="B98" s="826" t="s">
        <v>103</v>
      </c>
      <c r="C98" s="157" t="s">
        <v>0</v>
      </c>
      <c r="D98" s="158">
        <f t="shared" si="30"/>
        <v>499000</v>
      </c>
      <c r="E98" s="159">
        <f t="shared" si="31"/>
        <v>499000</v>
      </c>
      <c r="F98" s="159">
        <f t="shared" si="32"/>
        <v>449000</v>
      </c>
      <c r="G98" s="159">
        <v>283000</v>
      </c>
      <c r="H98" s="159">
        <f>1000+110000+4500+10000+40000+500</f>
        <v>166000</v>
      </c>
      <c r="I98" s="159">
        <v>50000</v>
      </c>
      <c r="J98" s="159">
        <v>0</v>
      </c>
      <c r="K98" s="159">
        <v>0</v>
      </c>
      <c r="L98" s="159">
        <v>0</v>
      </c>
      <c r="M98" s="159">
        <f t="shared" si="33"/>
        <v>0</v>
      </c>
      <c r="N98" s="159">
        <v>0</v>
      </c>
      <c r="O98" s="159">
        <v>0</v>
      </c>
      <c r="P98" s="159">
        <v>0</v>
      </c>
      <c r="Q98" s="166"/>
      <c r="R98" s="166"/>
      <c r="S98" s="166"/>
      <c r="T98" s="166"/>
      <c r="U98" s="166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130"/>
      <c r="EL98" s="130"/>
      <c r="EM98" s="130"/>
      <c r="EN98" s="130"/>
      <c r="EO98" s="130"/>
      <c r="EP98" s="130"/>
      <c r="EQ98" s="130"/>
      <c r="ER98" s="130"/>
      <c r="ES98" s="130"/>
      <c r="ET98" s="130"/>
      <c r="EU98" s="130"/>
      <c r="EV98" s="130"/>
      <c r="EW98" s="130"/>
      <c r="EX98" s="130"/>
      <c r="EY98" s="130"/>
      <c r="EZ98" s="130"/>
      <c r="FA98" s="130"/>
      <c r="FB98" s="130"/>
      <c r="FC98" s="130"/>
      <c r="FD98" s="130"/>
      <c r="FE98" s="130"/>
      <c r="FF98" s="130"/>
      <c r="FG98" s="130"/>
      <c r="FH98" s="130"/>
      <c r="FI98" s="130"/>
      <c r="FJ98" s="130"/>
      <c r="FK98" s="130"/>
      <c r="FL98" s="130"/>
      <c r="FM98" s="130"/>
      <c r="FN98" s="130"/>
      <c r="FO98" s="130"/>
      <c r="FP98" s="130"/>
      <c r="FQ98" s="130"/>
      <c r="FR98" s="130"/>
      <c r="FS98" s="130"/>
      <c r="FT98" s="130"/>
      <c r="FU98" s="130"/>
      <c r="FV98" s="130"/>
      <c r="FW98" s="130"/>
      <c r="FX98" s="130"/>
      <c r="FY98" s="130"/>
      <c r="FZ98" s="130"/>
      <c r="GA98" s="130"/>
      <c r="GB98" s="130"/>
      <c r="GC98" s="130"/>
      <c r="GD98" s="130"/>
      <c r="GE98" s="130"/>
      <c r="GF98" s="130"/>
      <c r="GG98" s="130"/>
      <c r="GH98" s="130"/>
      <c r="GI98" s="130"/>
      <c r="GJ98" s="130"/>
      <c r="GK98" s="130"/>
      <c r="GL98" s="130"/>
      <c r="GM98" s="130"/>
      <c r="GN98" s="130"/>
      <c r="GO98" s="130"/>
      <c r="GP98" s="130"/>
      <c r="GQ98" s="130"/>
      <c r="GR98" s="130"/>
      <c r="GS98" s="130"/>
      <c r="GT98" s="130"/>
      <c r="GU98" s="130"/>
      <c r="GV98" s="130"/>
      <c r="GW98" s="130"/>
      <c r="GX98" s="130"/>
      <c r="GY98" s="130"/>
      <c r="GZ98" s="130"/>
      <c r="HA98" s="130"/>
      <c r="HB98" s="130"/>
      <c r="HC98" s="130"/>
      <c r="HD98" s="130"/>
      <c r="HE98" s="130"/>
      <c r="HF98" s="130"/>
      <c r="HG98" s="130"/>
      <c r="HH98" s="130"/>
      <c r="HI98" s="130"/>
      <c r="HJ98" s="130"/>
      <c r="HK98" s="130"/>
      <c r="HL98" s="130"/>
      <c r="HM98" s="130"/>
      <c r="HN98" s="130"/>
      <c r="HO98" s="130"/>
      <c r="HP98" s="130"/>
      <c r="HQ98" s="130"/>
      <c r="HR98" s="130"/>
      <c r="HS98" s="130"/>
      <c r="HT98" s="130"/>
      <c r="HU98" s="130"/>
      <c r="HV98" s="130"/>
      <c r="HW98" s="130"/>
      <c r="HX98" s="130"/>
      <c r="HY98" s="130"/>
      <c r="HZ98" s="130"/>
      <c r="IA98" s="130"/>
      <c r="IB98" s="130"/>
      <c r="IC98" s="130"/>
      <c r="ID98" s="130"/>
      <c r="IE98" s="130"/>
      <c r="IF98" s="130"/>
      <c r="IG98" s="130"/>
      <c r="IH98" s="130"/>
      <c r="II98" s="130"/>
      <c r="IJ98" s="130"/>
      <c r="IK98" s="130"/>
      <c r="IL98" s="130"/>
      <c r="IM98" s="130"/>
      <c r="IN98" s="130"/>
      <c r="IO98" s="130"/>
      <c r="IP98" s="130"/>
      <c r="IQ98" s="130"/>
      <c r="IR98" s="130"/>
      <c r="IS98" s="130"/>
      <c r="IT98" s="130"/>
      <c r="IU98" s="130"/>
      <c r="IV98" s="130"/>
    </row>
    <row r="99" spans="1:256">
      <c r="A99" s="824"/>
      <c r="B99" s="827"/>
      <c r="C99" s="157" t="s">
        <v>1</v>
      </c>
      <c r="D99" s="158">
        <f t="shared" si="30"/>
        <v>140041</v>
      </c>
      <c r="E99" s="159">
        <f t="shared" si="31"/>
        <v>140041</v>
      </c>
      <c r="F99" s="159">
        <f t="shared" si="32"/>
        <v>0</v>
      </c>
      <c r="G99" s="159"/>
      <c r="H99" s="159"/>
      <c r="I99" s="159"/>
      <c r="J99" s="159"/>
      <c r="K99" s="159">
        <v>140041</v>
      </c>
      <c r="L99" s="159"/>
      <c r="M99" s="159">
        <f t="shared" si="33"/>
        <v>0</v>
      </c>
      <c r="N99" s="159"/>
      <c r="O99" s="159"/>
      <c r="P99" s="159"/>
      <c r="Q99" s="166"/>
      <c r="R99" s="166"/>
      <c r="S99" s="166"/>
      <c r="T99" s="166"/>
      <c r="U99" s="166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0"/>
      <c r="EK99" s="130"/>
      <c r="EL99" s="130"/>
      <c r="EM99" s="130"/>
      <c r="EN99" s="130"/>
      <c r="EO99" s="130"/>
      <c r="EP99" s="130"/>
      <c r="EQ99" s="130"/>
      <c r="ER99" s="130"/>
      <c r="ES99" s="130"/>
      <c r="ET99" s="130"/>
      <c r="EU99" s="130"/>
      <c r="EV99" s="130"/>
      <c r="EW99" s="130"/>
      <c r="EX99" s="130"/>
      <c r="EY99" s="130"/>
      <c r="EZ99" s="130"/>
      <c r="FA99" s="130"/>
      <c r="FB99" s="130"/>
      <c r="FC99" s="130"/>
      <c r="FD99" s="130"/>
      <c r="FE99" s="130"/>
      <c r="FF99" s="130"/>
      <c r="FG99" s="130"/>
      <c r="FH99" s="130"/>
      <c r="FI99" s="130"/>
      <c r="FJ99" s="130"/>
      <c r="FK99" s="130"/>
      <c r="FL99" s="130"/>
      <c r="FM99" s="130"/>
      <c r="FN99" s="130"/>
      <c r="FO99" s="130"/>
      <c r="FP99" s="130"/>
      <c r="FQ99" s="130"/>
      <c r="FR99" s="130"/>
      <c r="FS99" s="130"/>
      <c r="FT99" s="130"/>
      <c r="FU99" s="130"/>
      <c r="FV99" s="130"/>
      <c r="FW99" s="130"/>
      <c r="FX99" s="130"/>
      <c r="FY99" s="130"/>
      <c r="FZ99" s="130"/>
      <c r="GA99" s="130"/>
      <c r="GB99" s="130"/>
      <c r="GC99" s="130"/>
      <c r="GD99" s="130"/>
      <c r="GE99" s="130"/>
      <c r="GF99" s="130"/>
      <c r="GG99" s="130"/>
      <c r="GH99" s="130"/>
      <c r="GI99" s="130"/>
      <c r="GJ99" s="130"/>
      <c r="GK99" s="130"/>
      <c r="GL99" s="130"/>
      <c r="GM99" s="130"/>
      <c r="GN99" s="130"/>
      <c r="GO99" s="130"/>
      <c r="GP99" s="130"/>
      <c r="GQ99" s="130"/>
      <c r="GR99" s="130"/>
      <c r="GS99" s="130"/>
      <c r="GT99" s="130"/>
      <c r="GU99" s="130"/>
      <c r="GV99" s="130"/>
      <c r="GW99" s="130"/>
      <c r="GX99" s="130"/>
      <c r="GY99" s="130"/>
      <c r="GZ99" s="130"/>
      <c r="HA99" s="130"/>
      <c r="HB99" s="130"/>
      <c r="HC99" s="130"/>
      <c r="HD99" s="130"/>
      <c r="HE99" s="130"/>
      <c r="HF99" s="130"/>
      <c r="HG99" s="130"/>
      <c r="HH99" s="130"/>
      <c r="HI99" s="130"/>
      <c r="HJ99" s="130"/>
      <c r="HK99" s="130"/>
      <c r="HL99" s="130"/>
      <c r="HM99" s="130"/>
      <c r="HN99" s="130"/>
      <c r="HO99" s="130"/>
      <c r="HP99" s="130"/>
      <c r="HQ99" s="130"/>
      <c r="HR99" s="130"/>
      <c r="HS99" s="130"/>
      <c r="HT99" s="130"/>
      <c r="HU99" s="130"/>
      <c r="HV99" s="130"/>
      <c r="HW99" s="130"/>
      <c r="HX99" s="130"/>
      <c r="HY99" s="130"/>
      <c r="HZ99" s="130"/>
      <c r="IA99" s="130"/>
      <c r="IB99" s="130"/>
      <c r="IC99" s="130"/>
      <c r="ID99" s="130"/>
      <c r="IE99" s="130"/>
      <c r="IF99" s="130"/>
      <c r="IG99" s="130"/>
      <c r="IH99" s="130"/>
      <c r="II99" s="130"/>
      <c r="IJ99" s="130"/>
      <c r="IK99" s="130"/>
      <c r="IL99" s="130"/>
      <c r="IM99" s="130"/>
      <c r="IN99" s="130"/>
      <c r="IO99" s="130"/>
      <c r="IP99" s="130"/>
      <c r="IQ99" s="130"/>
      <c r="IR99" s="130"/>
      <c r="IS99" s="130"/>
      <c r="IT99" s="130"/>
      <c r="IU99" s="130"/>
      <c r="IV99" s="130"/>
    </row>
    <row r="100" spans="1:256">
      <c r="A100" s="825"/>
      <c r="B100" s="828"/>
      <c r="C100" s="157" t="s">
        <v>2</v>
      </c>
      <c r="D100" s="158">
        <f>D99+D98</f>
        <v>639041</v>
      </c>
      <c r="E100" s="159">
        <f t="shared" ref="E100:P100" si="43">E99+E98</f>
        <v>639041</v>
      </c>
      <c r="F100" s="159">
        <f t="shared" si="43"/>
        <v>449000</v>
      </c>
      <c r="G100" s="159">
        <f t="shared" si="43"/>
        <v>283000</v>
      </c>
      <c r="H100" s="159">
        <f t="shared" si="43"/>
        <v>166000</v>
      </c>
      <c r="I100" s="159">
        <f t="shared" si="43"/>
        <v>50000</v>
      </c>
      <c r="J100" s="159">
        <f t="shared" si="43"/>
        <v>0</v>
      </c>
      <c r="K100" s="159">
        <f t="shared" si="43"/>
        <v>140041</v>
      </c>
      <c r="L100" s="159">
        <f t="shared" si="43"/>
        <v>0</v>
      </c>
      <c r="M100" s="159">
        <f t="shared" si="43"/>
        <v>0</v>
      </c>
      <c r="N100" s="159">
        <f t="shared" si="43"/>
        <v>0</v>
      </c>
      <c r="O100" s="159">
        <f t="shared" si="43"/>
        <v>0</v>
      </c>
      <c r="P100" s="159">
        <f t="shared" si="43"/>
        <v>0</v>
      </c>
      <c r="Q100" s="166"/>
      <c r="R100" s="166"/>
      <c r="S100" s="166"/>
      <c r="T100" s="166"/>
      <c r="U100" s="166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0"/>
      <c r="EB100" s="130"/>
      <c r="EC100" s="130"/>
      <c r="ED100" s="130"/>
      <c r="EE100" s="130"/>
      <c r="EF100" s="130"/>
      <c r="EG100" s="130"/>
      <c r="EH100" s="130"/>
      <c r="EI100" s="130"/>
      <c r="EJ100" s="130"/>
      <c r="EK100" s="130"/>
      <c r="EL100" s="130"/>
      <c r="EM100" s="130"/>
      <c r="EN100" s="130"/>
      <c r="EO100" s="130"/>
      <c r="EP100" s="130"/>
      <c r="EQ100" s="130"/>
      <c r="ER100" s="130"/>
      <c r="ES100" s="130"/>
      <c r="ET100" s="130"/>
      <c r="EU100" s="130"/>
      <c r="EV100" s="130"/>
      <c r="EW100" s="130"/>
      <c r="EX100" s="130"/>
      <c r="EY100" s="130"/>
      <c r="EZ100" s="130"/>
      <c r="FA100" s="130"/>
      <c r="FB100" s="130"/>
      <c r="FC100" s="130"/>
      <c r="FD100" s="130"/>
      <c r="FE100" s="130"/>
      <c r="FF100" s="130"/>
      <c r="FG100" s="130"/>
      <c r="FH100" s="130"/>
      <c r="FI100" s="130"/>
      <c r="FJ100" s="130"/>
      <c r="FK100" s="130"/>
      <c r="FL100" s="130"/>
      <c r="FM100" s="130"/>
      <c r="FN100" s="130"/>
      <c r="FO100" s="130"/>
      <c r="FP100" s="130"/>
      <c r="FQ100" s="130"/>
      <c r="FR100" s="130"/>
      <c r="FS100" s="130"/>
      <c r="FT100" s="130"/>
      <c r="FU100" s="130"/>
      <c r="FV100" s="130"/>
      <c r="FW100" s="130"/>
      <c r="FX100" s="130"/>
      <c r="FY100" s="130"/>
      <c r="FZ100" s="130"/>
      <c r="GA100" s="130"/>
      <c r="GB100" s="130"/>
      <c r="GC100" s="130"/>
      <c r="GD100" s="130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IT100" s="130"/>
      <c r="IU100" s="130"/>
      <c r="IV100" s="130"/>
    </row>
    <row r="101" spans="1:256" ht="15">
      <c r="A101" s="835" t="s">
        <v>85</v>
      </c>
      <c r="B101" s="838" t="s">
        <v>86</v>
      </c>
      <c r="C101" s="161" t="s">
        <v>0</v>
      </c>
      <c r="D101" s="173">
        <f t="shared" ref="D101:O102" si="44">D104</f>
        <v>2966900</v>
      </c>
      <c r="E101" s="163">
        <f t="shared" si="44"/>
        <v>2706900</v>
      </c>
      <c r="F101" s="163">
        <f t="shared" si="44"/>
        <v>2382900</v>
      </c>
      <c r="G101" s="163">
        <f t="shared" si="44"/>
        <v>266000</v>
      </c>
      <c r="H101" s="163">
        <f t="shared" si="44"/>
        <v>2116900</v>
      </c>
      <c r="I101" s="163">
        <f t="shared" si="44"/>
        <v>250000</v>
      </c>
      <c r="J101" s="163">
        <f t="shared" si="44"/>
        <v>0</v>
      </c>
      <c r="K101" s="163">
        <f t="shared" si="44"/>
        <v>74000</v>
      </c>
      <c r="L101" s="163">
        <f t="shared" si="44"/>
        <v>0</v>
      </c>
      <c r="M101" s="163">
        <f t="shared" si="44"/>
        <v>260000</v>
      </c>
      <c r="N101" s="163">
        <f t="shared" si="44"/>
        <v>260000</v>
      </c>
      <c r="O101" s="163">
        <f t="shared" si="44"/>
        <v>0</v>
      </c>
      <c r="P101" s="163">
        <f>P104</f>
        <v>0</v>
      </c>
      <c r="Q101" s="171"/>
      <c r="R101" s="171"/>
      <c r="S101" s="171"/>
      <c r="T101" s="171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  <c r="DZ101" s="172"/>
      <c r="EA101" s="172"/>
      <c r="EB101" s="172"/>
      <c r="EC101" s="172"/>
      <c r="ED101" s="172"/>
      <c r="EE101" s="172"/>
      <c r="EF101" s="172"/>
      <c r="EG101" s="172"/>
      <c r="EH101" s="172"/>
      <c r="EI101" s="172"/>
      <c r="EJ101" s="172"/>
      <c r="EK101" s="172"/>
      <c r="EL101" s="172"/>
      <c r="EM101" s="172"/>
      <c r="EN101" s="172"/>
      <c r="EO101" s="172"/>
      <c r="EP101" s="172"/>
      <c r="EQ101" s="172"/>
      <c r="ER101" s="172"/>
      <c r="ES101" s="172"/>
      <c r="ET101" s="172"/>
      <c r="EU101" s="172"/>
      <c r="EV101" s="172"/>
      <c r="EW101" s="172"/>
      <c r="EX101" s="172"/>
      <c r="EY101" s="172"/>
      <c r="EZ101" s="172"/>
      <c r="FA101" s="172"/>
      <c r="FB101" s="172"/>
      <c r="FC101" s="172"/>
      <c r="FD101" s="172"/>
      <c r="FE101" s="172"/>
      <c r="FF101" s="172"/>
      <c r="FG101" s="172"/>
      <c r="FH101" s="172"/>
      <c r="FI101" s="172"/>
      <c r="FJ101" s="172"/>
      <c r="FK101" s="172"/>
      <c r="FL101" s="172"/>
      <c r="FM101" s="172"/>
      <c r="FN101" s="172"/>
      <c r="FO101" s="172"/>
      <c r="FP101" s="172"/>
      <c r="FQ101" s="172"/>
      <c r="FR101" s="172"/>
      <c r="FS101" s="172"/>
      <c r="FT101" s="172"/>
      <c r="FU101" s="172"/>
      <c r="FV101" s="172"/>
      <c r="FW101" s="172"/>
      <c r="FX101" s="172"/>
      <c r="FY101" s="172"/>
      <c r="FZ101" s="172"/>
      <c r="GA101" s="172"/>
      <c r="GB101" s="172"/>
      <c r="GC101" s="172"/>
      <c r="GD101" s="172"/>
      <c r="GE101" s="172"/>
      <c r="GF101" s="172"/>
      <c r="GG101" s="172"/>
      <c r="GH101" s="172"/>
      <c r="GI101" s="172"/>
      <c r="GJ101" s="172"/>
      <c r="GK101" s="172"/>
      <c r="GL101" s="172"/>
      <c r="GM101" s="172"/>
      <c r="GN101" s="172"/>
      <c r="GO101" s="172"/>
      <c r="GP101" s="172"/>
      <c r="GQ101" s="172"/>
      <c r="GR101" s="172"/>
      <c r="GS101" s="172"/>
      <c r="GT101" s="172"/>
      <c r="GU101" s="172"/>
      <c r="GV101" s="172"/>
      <c r="GW101" s="172"/>
      <c r="GX101" s="172"/>
      <c r="GY101" s="172"/>
      <c r="GZ101" s="172"/>
      <c r="HA101" s="172"/>
      <c r="HB101" s="172"/>
      <c r="HC101" s="172"/>
      <c r="HD101" s="172"/>
      <c r="HE101" s="172"/>
      <c r="HF101" s="172"/>
      <c r="HG101" s="172"/>
      <c r="HH101" s="172"/>
      <c r="HI101" s="172"/>
      <c r="HJ101" s="172"/>
      <c r="HK101" s="172"/>
      <c r="HL101" s="172"/>
      <c r="HM101" s="172"/>
      <c r="HN101" s="172"/>
      <c r="HO101" s="172"/>
      <c r="HP101" s="172"/>
      <c r="HQ101" s="172"/>
      <c r="HR101" s="172"/>
      <c r="HS101" s="172"/>
      <c r="HT101" s="172"/>
      <c r="HU101" s="172"/>
      <c r="HV101" s="172"/>
      <c r="HW101" s="172"/>
      <c r="HX101" s="172"/>
      <c r="HY101" s="172"/>
      <c r="HZ101" s="172"/>
      <c r="IA101" s="172"/>
      <c r="IB101" s="172"/>
      <c r="IC101" s="172"/>
      <c r="ID101" s="172"/>
      <c r="IE101" s="172"/>
      <c r="IF101" s="172"/>
      <c r="IG101" s="172"/>
      <c r="IH101" s="172"/>
      <c r="II101" s="172"/>
      <c r="IJ101" s="172"/>
      <c r="IK101" s="172"/>
      <c r="IL101" s="172"/>
      <c r="IM101" s="172"/>
      <c r="IN101" s="172"/>
      <c r="IO101" s="172"/>
      <c r="IP101" s="172"/>
      <c r="IQ101" s="172"/>
      <c r="IR101" s="172"/>
      <c r="IS101" s="172"/>
      <c r="IT101" s="172"/>
      <c r="IU101" s="172"/>
      <c r="IV101" s="172"/>
    </row>
    <row r="102" spans="1:256" ht="15">
      <c r="A102" s="836"/>
      <c r="B102" s="839"/>
      <c r="C102" s="161" t="s">
        <v>1</v>
      </c>
      <c r="D102" s="173">
        <f t="shared" si="44"/>
        <v>100000</v>
      </c>
      <c r="E102" s="163">
        <f t="shared" si="44"/>
        <v>100000</v>
      </c>
      <c r="F102" s="163">
        <f t="shared" si="44"/>
        <v>0</v>
      </c>
      <c r="G102" s="163">
        <f t="shared" si="44"/>
        <v>0</v>
      </c>
      <c r="H102" s="163">
        <f t="shared" si="44"/>
        <v>0</v>
      </c>
      <c r="I102" s="163">
        <f t="shared" si="44"/>
        <v>100000</v>
      </c>
      <c r="J102" s="163">
        <f t="shared" si="44"/>
        <v>0</v>
      </c>
      <c r="K102" s="163">
        <f t="shared" si="44"/>
        <v>0</v>
      </c>
      <c r="L102" s="163">
        <f t="shared" si="44"/>
        <v>0</v>
      </c>
      <c r="M102" s="163">
        <f t="shared" si="44"/>
        <v>0</v>
      </c>
      <c r="N102" s="163">
        <f t="shared" si="44"/>
        <v>0</v>
      </c>
      <c r="O102" s="163">
        <f t="shared" si="44"/>
        <v>0</v>
      </c>
      <c r="P102" s="163">
        <f>P105</f>
        <v>0</v>
      </c>
      <c r="Q102" s="171"/>
      <c r="R102" s="171"/>
      <c r="S102" s="171"/>
      <c r="T102" s="171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  <c r="DZ102" s="172"/>
      <c r="EA102" s="172"/>
      <c r="EB102" s="172"/>
      <c r="EC102" s="172"/>
      <c r="ED102" s="172"/>
      <c r="EE102" s="172"/>
      <c r="EF102" s="172"/>
      <c r="EG102" s="172"/>
      <c r="EH102" s="172"/>
      <c r="EI102" s="172"/>
      <c r="EJ102" s="172"/>
      <c r="EK102" s="172"/>
      <c r="EL102" s="172"/>
      <c r="EM102" s="172"/>
      <c r="EN102" s="172"/>
      <c r="EO102" s="172"/>
      <c r="EP102" s="172"/>
      <c r="EQ102" s="172"/>
      <c r="ER102" s="172"/>
      <c r="ES102" s="172"/>
      <c r="ET102" s="172"/>
      <c r="EU102" s="172"/>
      <c r="EV102" s="172"/>
      <c r="EW102" s="172"/>
      <c r="EX102" s="172"/>
      <c r="EY102" s="172"/>
      <c r="EZ102" s="172"/>
      <c r="FA102" s="172"/>
      <c r="FB102" s="172"/>
      <c r="FC102" s="172"/>
      <c r="FD102" s="172"/>
      <c r="FE102" s="172"/>
      <c r="FF102" s="172"/>
      <c r="FG102" s="172"/>
      <c r="FH102" s="172"/>
      <c r="FI102" s="172"/>
      <c r="FJ102" s="172"/>
      <c r="FK102" s="172"/>
      <c r="FL102" s="172"/>
      <c r="FM102" s="172"/>
      <c r="FN102" s="172"/>
      <c r="FO102" s="172"/>
      <c r="FP102" s="172"/>
      <c r="FQ102" s="172"/>
      <c r="FR102" s="172"/>
      <c r="FS102" s="172"/>
      <c r="FT102" s="172"/>
      <c r="FU102" s="172"/>
      <c r="FV102" s="172"/>
      <c r="FW102" s="172"/>
      <c r="FX102" s="172"/>
      <c r="FY102" s="172"/>
      <c r="FZ102" s="172"/>
      <c r="GA102" s="172"/>
      <c r="GB102" s="172"/>
      <c r="GC102" s="172"/>
      <c r="GD102" s="172"/>
      <c r="GE102" s="172"/>
      <c r="GF102" s="172"/>
      <c r="GG102" s="172"/>
      <c r="GH102" s="172"/>
      <c r="GI102" s="172"/>
      <c r="GJ102" s="172"/>
      <c r="GK102" s="172"/>
      <c r="GL102" s="172"/>
      <c r="GM102" s="172"/>
      <c r="GN102" s="172"/>
      <c r="GO102" s="172"/>
      <c r="GP102" s="172"/>
      <c r="GQ102" s="172"/>
      <c r="GR102" s="172"/>
      <c r="GS102" s="172"/>
      <c r="GT102" s="172"/>
      <c r="GU102" s="172"/>
      <c r="GV102" s="172"/>
      <c r="GW102" s="172"/>
      <c r="GX102" s="172"/>
      <c r="GY102" s="172"/>
      <c r="GZ102" s="172"/>
      <c r="HA102" s="172"/>
      <c r="HB102" s="172"/>
      <c r="HC102" s="172"/>
      <c r="HD102" s="172"/>
      <c r="HE102" s="172"/>
      <c r="HF102" s="172"/>
      <c r="HG102" s="172"/>
      <c r="HH102" s="172"/>
      <c r="HI102" s="172"/>
      <c r="HJ102" s="172"/>
      <c r="HK102" s="172"/>
      <c r="HL102" s="172"/>
      <c r="HM102" s="172"/>
      <c r="HN102" s="172"/>
      <c r="HO102" s="172"/>
      <c r="HP102" s="172"/>
      <c r="HQ102" s="172"/>
      <c r="HR102" s="172"/>
      <c r="HS102" s="172"/>
      <c r="HT102" s="172"/>
      <c r="HU102" s="172"/>
      <c r="HV102" s="172"/>
      <c r="HW102" s="172"/>
      <c r="HX102" s="172"/>
      <c r="HY102" s="172"/>
      <c r="HZ102" s="172"/>
      <c r="IA102" s="172"/>
      <c r="IB102" s="172"/>
      <c r="IC102" s="172"/>
      <c r="ID102" s="172"/>
      <c r="IE102" s="172"/>
      <c r="IF102" s="172"/>
      <c r="IG102" s="172"/>
      <c r="IH102" s="172"/>
      <c r="II102" s="172"/>
      <c r="IJ102" s="172"/>
      <c r="IK102" s="172"/>
      <c r="IL102" s="172"/>
      <c r="IM102" s="172"/>
      <c r="IN102" s="172"/>
      <c r="IO102" s="172"/>
      <c r="IP102" s="172"/>
      <c r="IQ102" s="172"/>
      <c r="IR102" s="172"/>
      <c r="IS102" s="172"/>
      <c r="IT102" s="172"/>
      <c r="IU102" s="172"/>
      <c r="IV102" s="172"/>
    </row>
    <row r="103" spans="1:256" ht="15">
      <c r="A103" s="837"/>
      <c r="B103" s="840"/>
      <c r="C103" s="161" t="s">
        <v>2</v>
      </c>
      <c r="D103" s="173">
        <f>D102+D101</f>
        <v>3066900</v>
      </c>
      <c r="E103" s="163">
        <f t="shared" ref="E103:P103" si="45">E102+E101</f>
        <v>2806900</v>
      </c>
      <c r="F103" s="163">
        <f t="shared" si="45"/>
        <v>2382900</v>
      </c>
      <c r="G103" s="163">
        <f t="shared" si="45"/>
        <v>266000</v>
      </c>
      <c r="H103" s="163">
        <f t="shared" si="45"/>
        <v>2116900</v>
      </c>
      <c r="I103" s="163">
        <f t="shared" si="45"/>
        <v>350000</v>
      </c>
      <c r="J103" s="163">
        <f t="shared" si="45"/>
        <v>0</v>
      </c>
      <c r="K103" s="163">
        <f t="shared" si="45"/>
        <v>74000</v>
      </c>
      <c r="L103" s="163">
        <f t="shared" si="45"/>
        <v>0</v>
      </c>
      <c r="M103" s="163">
        <f t="shared" si="45"/>
        <v>260000</v>
      </c>
      <c r="N103" s="163">
        <f t="shared" si="45"/>
        <v>260000</v>
      </c>
      <c r="O103" s="163">
        <f t="shared" si="45"/>
        <v>0</v>
      </c>
      <c r="P103" s="163">
        <f t="shared" si="45"/>
        <v>0</v>
      </c>
      <c r="Q103" s="171"/>
      <c r="R103" s="171"/>
      <c r="S103" s="171"/>
      <c r="T103" s="171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  <c r="DZ103" s="172"/>
      <c r="EA103" s="172"/>
      <c r="EB103" s="172"/>
      <c r="EC103" s="172"/>
      <c r="ED103" s="172"/>
      <c r="EE103" s="172"/>
      <c r="EF103" s="172"/>
      <c r="EG103" s="172"/>
      <c r="EH103" s="172"/>
      <c r="EI103" s="172"/>
      <c r="EJ103" s="172"/>
      <c r="EK103" s="172"/>
      <c r="EL103" s="172"/>
      <c r="EM103" s="172"/>
      <c r="EN103" s="172"/>
      <c r="EO103" s="172"/>
      <c r="EP103" s="172"/>
      <c r="EQ103" s="172"/>
      <c r="ER103" s="172"/>
      <c r="ES103" s="172"/>
      <c r="ET103" s="172"/>
      <c r="EU103" s="172"/>
      <c r="EV103" s="172"/>
      <c r="EW103" s="172"/>
      <c r="EX103" s="172"/>
      <c r="EY103" s="172"/>
      <c r="EZ103" s="172"/>
      <c r="FA103" s="172"/>
      <c r="FB103" s="172"/>
      <c r="FC103" s="172"/>
      <c r="FD103" s="172"/>
      <c r="FE103" s="172"/>
      <c r="FF103" s="172"/>
      <c r="FG103" s="172"/>
      <c r="FH103" s="172"/>
      <c r="FI103" s="172"/>
      <c r="FJ103" s="172"/>
      <c r="FK103" s="172"/>
      <c r="FL103" s="172"/>
      <c r="FM103" s="172"/>
      <c r="FN103" s="172"/>
      <c r="FO103" s="172"/>
      <c r="FP103" s="172"/>
      <c r="FQ103" s="172"/>
      <c r="FR103" s="172"/>
      <c r="FS103" s="172"/>
      <c r="FT103" s="172"/>
      <c r="FU103" s="172"/>
      <c r="FV103" s="172"/>
      <c r="FW103" s="172"/>
      <c r="FX103" s="172"/>
      <c r="FY103" s="172"/>
      <c r="FZ103" s="172"/>
      <c r="GA103" s="172"/>
      <c r="GB103" s="172"/>
      <c r="GC103" s="172"/>
      <c r="GD103" s="172"/>
      <c r="GE103" s="172"/>
      <c r="GF103" s="172"/>
      <c r="GG103" s="172"/>
      <c r="GH103" s="172"/>
      <c r="GI103" s="172"/>
      <c r="GJ103" s="172"/>
      <c r="GK103" s="172"/>
      <c r="GL103" s="172"/>
      <c r="GM103" s="172"/>
      <c r="GN103" s="172"/>
      <c r="GO103" s="172"/>
      <c r="GP103" s="172"/>
      <c r="GQ103" s="172"/>
      <c r="GR103" s="172"/>
      <c r="GS103" s="172"/>
      <c r="GT103" s="172"/>
      <c r="GU103" s="172"/>
      <c r="GV103" s="172"/>
      <c r="GW103" s="172"/>
      <c r="GX103" s="172"/>
      <c r="GY103" s="172"/>
      <c r="GZ103" s="172"/>
      <c r="HA103" s="172"/>
      <c r="HB103" s="172"/>
      <c r="HC103" s="172"/>
      <c r="HD103" s="172"/>
      <c r="HE103" s="172"/>
      <c r="HF103" s="172"/>
      <c r="HG103" s="172"/>
      <c r="HH103" s="172"/>
      <c r="HI103" s="172"/>
      <c r="HJ103" s="172"/>
      <c r="HK103" s="172"/>
      <c r="HL103" s="172"/>
      <c r="HM103" s="172"/>
      <c r="HN103" s="172"/>
      <c r="HO103" s="172"/>
      <c r="HP103" s="172"/>
      <c r="HQ103" s="172"/>
      <c r="HR103" s="172"/>
      <c r="HS103" s="172"/>
      <c r="HT103" s="172"/>
      <c r="HU103" s="172"/>
      <c r="HV103" s="172"/>
      <c r="HW103" s="172"/>
      <c r="HX103" s="172"/>
      <c r="HY103" s="172"/>
      <c r="HZ103" s="172"/>
      <c r="IA103" s="172"/>
      <c r="IB103" s="172"/>
      <c r="IC103" s="172"/>
      <c r="ID103" s="172"/>
      <c r="IE103" s="172"/>
      <c r="IF103" s="172"/>
      <c r="IG103" s="172"/>
      <c r="IH103" s="172"/>
      <c r="II103" s="172"/>
      <c r="IJ103" s="172"/>
      <c r="IK103" s="172"/>
      <c r="IL103" s="172"/>
      <c r="IM103" s="172"/>
      <c r="IN103" s="172"/>
      <c r="IO103" s="172"/>
      <c r="IP103" s="172"/>
      <c r="IQ103" s="172"/>
      <c r="IR103" s="172"/>
      <c r="IS103" s="172"/>
      <c r="IT103" s="172"/>
      <c r="IU103" s="172"/>
      <c r="IV103" s="172"/>
    </row>
    <row r="104" spans="1:256">
      <c r="A104" s="823" t="s">
        <v>187</v>
      </c>
      <c r="B104" s="826" t="s">
        <v>103</v>
      </c>
      <c r="C104" s="157" t="s">
        <v>0</v>
      </c>
      <c r="D104" s="158">
        <f>E104+M104</f>
        <v>2966900</v>
      </c>
      <c r="E104" s="159">
        <f>F104+I104+J104+K104+L104</f>
        <v>2706900</v>
      </c>
      <c r="F104" s="159">
        <f>G104+H104</f>
        <v>2382900</v>
      </c>
      <c r="G104" s="159">
        <v>266000</v>
      </c>
      <c r="H104" s="159">
        <f>905000+1200000+11900</f>
        <v>2116900</v>
      </c>
      <c r="I104" s="159">
        <v>250000</v>
      </c>
      <c r="J104" s="159">
        <v>0</v>
      </c>
      <c r="K104" s="159">
        <f>74000</f>
        <v>74000</v>
      </c>
      <c r="L104" s="159">
        <v>0</v>
      </c>
      <c r="M104" s="159">
        <f>N104+P104</f>
        <v>260000</v>
      </c>
      <c r="N104" s="159">
        <v>260000</v>
      </c>
      <c r="O104" s="159">
        <v>0</v>
      </c>
      <c r="P104" s="159">
        <v>0</v>
      </c>
      <c r="Q104" s="166"/>
      <c r="R104" s="166"/>
      <c r="S104" s="166"/>
      <c r="T104" s="166"/>
      <c r="U104" s="16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  <c r="DS104" s="130"/>
      <c r="DT104" s="130"/>
      <c r="DU104" s="130"/>
      <c r="DV104" s="130"/>
      <c r="DW104" s="130"/>
      <c r="DX104" s="130"/>
      <c r="DY104" s="130"/>
      <c r="DZ104" s="130"/>
      <c r="EA104" s="130"/>
      <c r="EB104" s="130"/>
      <c r="EC104" s="130"/>
      <c r="ED104" s="130"/>
      <c r="EE104" s="130"/>
      <c r="EF104" s="130"/>
      <c r="EG104" s="130"/>
      <c r="EH104" s="130"/>
      <c r="EI104" s="130"/>
      <c r="EJ104" s="130"/>
      <c r="EK104" s="130"/>
      <c r="EL104" s="130"/>
      <c r="EM104" s="130"/>
      <c r="EN104" s="130"/>
      <c r="EO104" s="130"/>
      <c r="EP104" s="130"/>
      <c r="EQ104" s="130"/>
      <c r="ER104" s="130"/>
      <c r="ES104" s="130"/>
      <c r="ET104" s="130"/>
      <c r="EU104" s="130"/>
      <c r="EV104" s="130"/>
      <c r="EW104" s="130"/>
      <c r="EX104" s="130"/>
      <c r="EY104" s="130"/>
      <c r="EZ104" s="130"/>
      <c r="FA104" s="130"/>
      <c r="FB104" s="130"/>
      <c r="FC104" s="130"/>
      <c r="FD104" s="130"/>
      <c r="FE104" s="130"/>
      <c r="FF104" s="130"/>
      <c r="FG104" s="130"/>
      <c r="FH104" s="130"/>
      <c r="FI104" s="130"/>
      <c r="FJ104" s="130"/>
      <c r="FK104" s="130"/>
      <c r="FL104" s="130"/>
      <c r="FM104" s="130"/>
      <c r="FN104" s="130"/>
      <c r="FO104" s="130"/>
      <c r="FP104" s="130"/>
      <c r="FQ104" s="130"/>
      <c r="FR104" s="130"/>
      <c r="FS104" s="130"/>
      <c r="FT104" s="130"/>
      <c r="FU104" s="130"/>
      <c r="FV104" s="130"/>
      <c r="FW104" s="130"/>
      <c r="FX104" s="130"/>
      <c r="FY104" s="130"/>
      <c r="FZ104" s="130"/>
      <c r="GA104" s="130"/>
      <c r="GB104" s="130"/>
      <c r="GC104" s="130"/>
      <c r="GD104" s="130"/>
      <c r="GE104" s="130"/>
      <c r="GF104" s="130"/>
      <c r="GG104" s="130"/>
      <c r="GH104" s="130"/>
      <c r="GI104" s="130"/>
      <c r="GJ104" s="130"/>
      <c r="GK104" s="130"/>
      <c r="GL104" s="130"/>
      <c r="GM104" s="130"/>
      <c r="GN104" s="130"/>
      <c r="GO104" s="130"/>
      <c r="GP104" s="130"/>
      <c r="GQ104" s="130"/>
      <c r="GR104" s="130"/>
      <c r="GS104" s="130"/>
      <c r="GT104" s="130"/>
      <c r="GU104" s="130"/>
      <c r="GV104" s="130"/>
      <c r="GW104" s="130"/>
      <c r="GX104" s="130"/>
      <c r="GY104" s="130"/>
      <c r="GZ104" s="130"/>
      <c r="HA104" s="130"/>
      <c r="HB104" s="130"/>
      <c r="HC104" s="130"/>
      <c r="HD104" s="130"/>
      <c r="HE104" s="130"/>
      <c r="HF104" s="130"/>
      <c r="HG104" s="130"/>
      <c r="HH104" s="130"/>
      <c r="HI104" s="130"/>
      <c r="HJ104" s="130"/>
      <c r="HK104" s="130"/>
      <c r="HL104" s="130"/>
      <c r="HM104" s="130"/>
      <c r="HN104" s="130"/>
      <c r="HO104" s="130"/>
      <c r="HP104" s="130"/>
      <c r="HQ104" s="130"/>
      <c r="HR104" s="130"/>
      <c r="HS104" s="130"/>
      <c r="HT104" s="130"/>
      <c r="HU104" s="130"/>
      <c r="HV104" s="130"/>
      <c r="HW104" s="130"/>
      <c r="HX104" s="130"/>
      <c r="HY104" s="130"/>
      <c r="HZ104" s="130"/>
      <c r="IA104" s="130"/>
      <c r="IB104" s="130"/>
      <c r="IC104" s="130"/>
      <c r="ID104" s="130"/>
      <c r="IE104" s="130"/>
      <c r="IF104" s="130"/>
      <c r="IG104" s="130"/>
      <c r="IH104" s="130"/>
      <c r="II104" s="130"/>
      <c r="IJ104" s="130"/>
      <c r="IK104" s="130"/>
      <c r="IL104" s="130"/>
      <c r="IM104" s="130"/>
      <c r="IN104" s="130"/>
      <c r="IO104" s="130"/>
      <c r="IP104" s="130"/>
      <c r="IQ104" s="130"/>
      <c r="IR104" s="130"/>
      <c r="IS104" s="130"/>
      <c r="IT104" s="130"/>
      <c r="IU104" s="130"/>
      <c r="IV104" s="130"/>
    </row>
    <row r="105" spans="1:256">
      <c r="A105" s="824"/>
      <c r="B105" s="827"/>
      <c r="C105" s="157" t="s">
        <v>1</v>
      </c>
      <c r="D105" s="158">
        <f>E105+M105</f>
        <v>100000</v>
      </c>
      <c r="E105" s="159">
        <f>F105+I105+J105+K105+L105</f>
        <v>100000</v>
      </c>
      <c r="F105" s="159">
        <f>G105+H105</f>
        <v>0</v>
      </c>
      <c r="G105" s="159"/>
      <c r="H105" s="159"/>
      <c r="I105" s="159">
        <v>100000</v>
      </c>
      <c r="J105" s="159"/>
      <c r="K105" s="159"/>
      <c r="L105" s="159"/>
      <c r="M105" s="159">
        <f>N105+P105</f>
        <v>0</v>
      </c>
      <c r="N105" s="159"/>
      <c r="O105" s="159"/>
      <c r="P105" s="159"/>
      <c r="Q105" s="166"/>
      <c r="R105" s="166"/>
      <c r="S105" s="166"/>
      <c r="T105" s="166"/>
      <c r="U105" s="166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30"/>
      <c r="ES105" s="130"/>
      <c r="ET105" s="130"/>
      <c r="EU105" s="130"/>
      <c r="EV105" s="130"/>
      <c r="EW105" s="130"/>
      <c r="EX105" s="130"/>
      <c r="EY105" s="130"/>
      <c r="EZ105" s="130"/>
      <c r="FA105" s="130"/>
      <c r="FB105" s="130"/>
      <c r="FC105" s="130"/>
      <c r="FD105" s="130"/>
      <c r="FE105" s="130"/>
      <c r="FF105" s="130"/>
      <c r="FG105" s="130"/>
      <c r="FH105" s="130"/>
      <c r="FI105" s="130"/>
      <c r="FJ105" s="130"/>
      <c r="FK105" s="130"/>
      <c r="FL105" s="130"/>
      <c r="FM105" s="130"/>
      <c r="FN105" s="130"/>
      <c r="FO105" s="130"/>
      <c r="FP105" s="130"/>
      <c r="FQ105" s="130"/>
      <c r="FR105" s="130"/>
      <c r="FS105" s="130"/>
      <c r="FT105" s="130"/>
      <c r="FU105" s="130"/>
      <c r="FV105" s="130"/>
      <c r="FW105" s="130"/>
      <c r="FX105" s="130"/>
      <c r="FY105" s="130"/>
      <c r="FZ105" s="130"/>
      <c r="GA105" s="130"/>
      <c r="GB105" s="130"/>
      <c r="GC105" s="130"/>
      <c r="GD105" s="130"/>
      <c r="GE105" s="130"/>
      <c r="GF105" s="130"/>
      <c r="GG105" s="130"/>
      <c r="GH105" s="130"/>
      <c r="GI105" s="130"/>
      <c r="GJ105" s="130"/>
      <c r="GK105" s="130"/>
      <c r="GL105" s="130"/>
      <c r="GM105" s="130"/>
      <c r="GN105" s="130"/>
      <c r="GO105" s="130"/>
      <c r="GP105" s="130"/>
      <c r="GQ105" s="130"/>
      <c r="GR105" s="130"/>
      <c r="GS105" s="130"/>
      <c r="GT105" s="130"/>
      <c r="GU105" s="130"/>
      <c r="GV105" s="130"/>
      <c r="GW105" s="130"/>
      <c r="GX105" s="130"/>
      <c r="GY105" s="130"/>
      <c r="GZ105" s="130"/>
      <c r="HA105" s="130"/>
      <c r="HB105" s="130"/>
      <c r="HC105" s="130"/>
      <c r="HD105" s="130"/>
      <c r="HE105" s="130"/>
      <c r="HF105" s="130"/>
      <c r="HG105" s="130"/>
      <c r="HH105" s="130"/>
      <c r="HI105" s="130"/>
      <c r="HJ105" s="130"/>
      <c r="HK105" s="130"/>
      <c r="HL105" s="130"/>
      <c r="HM105" s="130"/>
      <c r="HN105" s="130"/>
      <c r="HO105" s="130"/>
      <c r="HP105" s="130"/>
      <c r="HQ105" s="130"/>
      <c r="HR105" s="130"/>
      <c r="HS105" s="130"/>
      <c r="HT105" s="130"/>
      <c r="HU105" s="130"/>
      <c r="HV105" s="130"/>
      <c r="HW105" s="130"/>
      <c r="HX105" s="130"/>
      <c r="HY105" s="130"/>
      <c r="HZ105" s="130"/>
      <c r="IA105" s="130"/>
      <c r="IB105" s="130"/>
      <c r="IC105" s="130"/>
      <c r="ID105" s="130"/>
      <c r="IE105" s="130"/>
      <c r="IF105" s="130"/>
      <c r="IG105" s="130"/>
      <c r="IH105" s="130"/>
      <c r="II105" s="130"/>
      <c r="IJ105" s="130"/>
      <c r="IK105" s="130"/>
      <c r="IL105" s="130"/>
      <c r="IM105" s="130"/>
      <c r="IN105" s="130"/>
      <c r="IO105" s="130"/>
      <c r="IP105" s="130"/>
      <c r="IQ105" s="130"/>
      <c r="IR105" s="130"/>
      <c r="IS105" s="130"/>
      <c r="IT105" s="130"/>
      <c r="IU105" s="130"/>
      <c r="IV105" s="130"/>
    </row>
    <row r="106" spans="1:256">
      <c r="A106" s="825"/>
      <c r="B106" s="828"/>
      <c r="C106" s="157" t="s">
        <v>2</v>
      </c>
      <c r="D106" s="158">
        <f>D105+D104</f>
        <v>3066900</v>
      </c>
      <c r="E106" s="159">
        <f t="shared" ref="E106:P106" si="46">E105+E104</f>
        <v>2806900</v>
      </c>
      <c r="F106" s="159">
        <f t="shared" si="46"/>
        <v>2382900</v>
      </c>
      <c r="G106" s="159">
        <f t="shared" si="46"/>
        <v>266000</v>
      </c>
      <c r="H106" s="159">
        <f t="shared" si="46"/>
        <v>2116900</v>
      </c>
      <c r="I106" s="159">
        <f t="shared" si="46"/>
        <v>350000</v>
      </c>
      <c r="J106" s="159">
        <f t="shared" si="46"/>
        <v>0</v>
      </c>
      <c r="K106" s="159">
        <f t="shared" si="46"/>
        <v>74000</v>
      </c>
      <c r="L106" s="159">
        <f t="shared" si="46"/>
        <v>0</v>
      </c>
      <c r="M106" s="159">
        <f t="shared" si="46"/>
        <v>260000</v>
      </c>
      <c r="N106" s="159">
        <f t="shared" si="46"/>
        <v>260000</v>
      </c>
      <c r="O106" s="159">
        <f t="shared" si="46"/>
        <v>0</v>
      </c>
      <c r="P106" s="159">
        <f t="shared" si="46"/>
        <v>0</v>
      </c>
      <c r="Q106" s="166"/>
      <c r="R106" s="166"/>
      <c r="S106" s="166"/>
      <c r="T106" s="166"/>
      <c r="U106" s="166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0"/>
      <c r="EV106" s="130"/>
      <c r="EW106" s="130"/>
      <c r="EX106" s="130"/>
      <c r="EY106" s="130"/>
      <c r="EZ106" s="130"/>
      <c r="FA106" s="130"/>
      <c r="FB106" s="130"/>
      <c r="FC106" s="130"/>
      <c r="FD106" s="130"/>
      <c r="FE106" s="130"/>
      <c r="FF106" s="130"/>
      <c r="FG106" s="130"/>
      <c r="FH106" s="130"/>
      <c r="FI106" s="130"/>
      <c r="FJ106" s="130"/>
      <c r="FK106" s="130"/>
      <c r="FL106" s="130"/>
      <c r="FM106" s="130"/>
      <c r="FN106" s="130"/>
      <c r="FO106" s="130"/>
      <c r="FP106" s="130"/>
      <c r="FQ106" s="130"/>
      <c r="FR106" s="130"/>
      <c r="FS106" s="130"/>
      <c r="FT106" s="130"/>
      <c r="FU106" s="130"/>
      <c r="FV106" s="130"/>
      <c r="FW106" s="130"/>
      <c r="FX106" s="130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30"/>
      <c r="GI106" s="130"/>
      <c r="GJ106" s="130"/>
      <c r="GK106" s="130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  <c r="HB106" s="130"/>
      <c r="HC106" s="130"/>
      <c r="HD106" s="130"/>
      <c r="HE106" s="130"/>
      <c r="HF106" s="130"/>
      <c r="HG106" s="130"/>
      <c r="HH106" s="130"/>
      <c r="HI106" s="130"/>
      <c r="HJ106" s="130"/>
      <c r="HK106" s="130"/>
      <c r="HL106" s="130"/>
      <c r="HM106" s="130"/>
      <c r="HN106" s="130"/>
      <c r="HO106" s="130"/>
      <c r="HP106" s="130"/>
      <c r="HQ106" s="130"/>
      <c r="HR106" s="130"/>
      <c r="HS106" s="130"/>
      <c r="HT106" s="130"/>
      <c r="HU106" s="130"/>
      <c r="HV106" s="130"/>
      <c r="HW106" s="130"/>
      <c r="HX106" s="130"/>
      <c r="HY106" s="130"/>
      <c r="HZ106" s="130"/>
      <c r="IA106" s="130"/>
      <c r="IB106" s="130"/>
      <c r="IC106" s="130"/>
      <c r="ID106" s="130"/>
      <c r="IE106" s="130"/>
      <c r="IF106" s="130"/>
      <c r="IG106" s="130"/>
      <c r="IH106" s="130"/>
      <c r="II106" s="130"/>
      <c r="IJ106" s="130"/>
      <c r="IK106" s="130"/>
      <c r="IL106" s="130"/>
      <c r="IM106" s="130"/>
      <c r="IN106" s="130"/>
      <c r="IO106" s="130"/>
      <c r="IP106" s="130"/>
      <c r="IQ106" s="130"/>
      <c r="IR106" s="130"/>
      <c r="IS106" s="130"/>
      <c r="IT106" s="130"/>
      <c r="IU106" s="130"/>
      <c r="IV106" s="130"/>
    </row>
    <row r="107" spans="1:256" ht="15" hidden="1">
      <c r="A107" s="835" t="s">
        <v>47</v>
      </c>
      <c r="B107" s="838" t="s">
        <v>48</v>
      </c>
      <c r="C107" s="161" t="s">
        <v>0</v>
      </c>
      <c r="D107" s="173">
        <f t="shared" ref="D107:P108" si="47">D110</f>
        <v>7638588</v>
      </c>
      <c r="E107" s="163">
        <f t="shared" si="47"/>
        <v>902500</v>
      </c>
      <c r="F107" s="163">
        <f t="shared" si="47"/>
        <v>902500</v>
      </c>
      <c r="G107" s="163">
        <f t="shared" si="47"/>
        <v>0</v>
      </c>
      <c r="H107" s="163">
        <f t="shared" si="47"/>
        <v>902500</v>
      </c>
      <c r="I107" s="163">
        <f t="shared" si="47"/>
        <v>0</v>
      </c>
      <c r="J107" s="163">
        <f t="shared" si="47"/>
        <v>0</v>
      </c>
      <c r="K107" s="163">
        <f t="shared" si="47"/>
        <v>0</v>
      </c>
      <c r="L107" s="163">
        <f t="shared" si="47"/>
        <v>0</v>
      </c>
      <c r="M107" s="163">
        <f t="shared" si="47"/>
        <v>6736088</v>
      </c>
      <c r="N107" s="163">
        <f t="shared" si="47"/>
        <v>6736088</v>
      </c>
      <c r="O107" s="163">
        <f t="shared" si="47"/>
        <v>0</v>
      </c>
      <c r="P107" s="163">
        <f t="shared" si="47"/>
        <v>0</v>
      </c>
      <c r="Q107" s="171"/>
      <c r="R107" s="171"/>
      <c r="S107" s="171"/>
      <c r="T107" s="171"/>
      <c r="U107" s="171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72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ET107" s="172"/>
      <c r="EU107" s="172"/>
      <c r="EV107" s="172"/>
      <c r="EW107" s="172"/>
      <c r="EX107" s="172"/>
      <c r="EY107" s="172"/>
      <c r="EZ107" s="172"/>
      <c r="FA107" s="172"/>
      <c r="FB107" s="172"/>
      <c r="FC107" s="172"/>
      <c r="FD107" s="172"/>
      <c r="FE107" s="172"/>
      <c r="FF107" s="172"/>
      <c r="FG107" s="172"/>
      <c r="FH107" s="172"/>
      <c r="FI107" s="172"/>
      <c r="FJ107" s="172"/>
      <c r="FK107" s="172"/>
      <c r="FL107" s="172"/>
      <c r="FM107" s="172"/>
      <c r="FN107" s="172"/>
      <c r="FO107" s="172"/>
      <c r="FP107" s="172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2"/>
      <c r="GT107" s="172"/>
      <c r="GU107" s="172"/>
      <c r="GV107" s="172"/>
      <c r="GW107" s="172"/>
      <c r="GX107" s="172"/>
      <c r="GY107" s="172"/>
      <c r="GZ107" s="172"/>
      <c r="HA107" s="172"/>
      <c r="HB107" s="172"/>
      <c r="HC107" s="172"/>
      <c r="HD107" s="172"/>
      <c r="HE107" s="172"/>
      <c r="HF107" s="172"/>
      <c r="HG107" s="172"/>
      <c r="HH107" s="172"/>
      <c r="HI107" s="172"/>
      <c r="HJ107" s="172"/>
      <c r="HK107" s="172"/>
      <c r="HL107" s="172"/>
      <c r="HM107" s="172"/>
      <c r="HN107" s="172"/>
      <c r="HO107" s="172"/>
      <c r="HP107" s="172"/>
      <c r="HQ107" s="172"/>
      <c r="HR107" s="172"/>
      <c r="HS107" s="172"/>
      <c r="HT107" s="172"/>
      <c r="HU107" s="172"/>
      <c r="HV107" s="172"/>
      <c r="HW107" s="172"/>
      <c r="HX107" s="172"/>
      <c r="HY107" s="172"/>
      <c r="HZ107" s="172"/>
      <c r="IA107" s="172"/>
      <c r="IB107" s="172"/>
      <c r="IC107" s="172"/>
      <c r="ID107" s="172"/>
      <c r="IE107" s="172"/>
      <c r="IF107" s="172"/>
      <c r="IG107" s="172"/>
      <c r="IH107" s="172"/>
      <c r="II107" s="172"/>
      <c r="IJ107" s="172"/>
      <c r="IK107" s="172"/>
      <c r="IL107" s="172"/>
      <c r="IM107" s="172"/>
      <c r="IN107" s="172"/>
      <c r="IO107" s="172"/>
      <c r="IP107" s="172"/>
      <c r="IQ107" s="172"/>
      <c r="IR107" s="172"/>
      <c r="IS107" s="172"/>
      <c r="IT107" s="172"/>
      <c r="IU107" s="172"/>
      <c r="IV107" s="172"/>
    </row>
    <row r="108" spans="1:256" ht="15" hidden="1">
      <c r="A108" s="836"/>
      <c r="B108" s="839"/>
      <c r="C108" s="161" t="s">
        <v>1</v>
      </c>
      <c r="D108" s="173">
        <f t="shared" si="47"/>
        <v>0</v>
      </c>
      <c r="E108" s="163">
        <f t="shared" si="47"/>
        <v>0</v>
      </c>
      <c r="F108" s="163">
        <f t="shared" si="47"/>
        <v>0</v>
      </c>
      <c r="G108" s="163">
        <f t="shared" si="47"/>
        <v>0</v>
      </c>
      <c r="H108" s="163">
        <f t="shared" si="47"/>
        <v>0</v>
      </c>
      <c r="I108" s="163">
        <f t="shared" si="47"/>
        <v>0</v>
      </c>
      <c r="J108" s="163">
        <f t="shared" si="47"/>
        <v>0</v>
      </c>
      <c r="K108" s="163">
        <f t="shared" si="47"/>
        <v>0</v>
      </c>
      <c r="L108" s="163">
        <f t="shared" si="47"/>
        <v>0</v>
      </c>
      <c r="M108" s="163">
        <f t="shared" si="47"/>
        <v>0</v>
      </c>
      <c r="N108" s="163">
        <f t="shared" si="47"/>
        <v>0</v>
      </c>
      <c r="O108" s="163">
        <f t="shared" si="47"/>
        <v>0</v>
      </c>
      <c r="P108" s="163">
        <f t="shared" si="47"/>
        <v>0</v>
      </c>
      <c r="Q108" s="171"/>
      <c r="R108" s="171"/>
      <c r="S108" s="171"/>
      <c r="T108" s="171"/>
      <c r="U108" s="171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2"/>
      <c r="CW108" s="172"/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  <c r="DZ108" s="172"/>
      <c r="EA108" s="172"/>
      <c r="EB108" s="172"/>
      <c r="EC108" s="172"/>
      <c r="ED108" s="172"/>
      <c r="EE108" s="172"/>
      <c r="EF108" s="172"/>
      <c r="EG108" s="172"/>
      <c r="EH108" s="172"/>
      <c r="EI108" s="172"/>
      <c r="EJ108" s="172"/>
      <c r="EK108" s="172"/>
      <c r="EL108" s="172"/>
      <c r="EM108" s="172"/>
      <c r="EN108" s="172"/>
      <c r="EO108" s="172"/>
      <c r="EP108" s="172"/>
      <c r="EQ108" s="172"/>
      <c r="ER108" s="172"/>
      <c r="ES108" s="172"/>
      <c r="ET108" s="172"/>
      <c r="EU108" s="172"/>
      <c r="EV108" s="172"/>
      <c r="EW108" s="172"/>
      <c r="EX108" s="172"/>
      <c r="EY108" s="172"/>
      <c r="EZ108" s="172"/>
      <c r="FA108" s="172"/>
      <c r="FB108" s="172"/>
      <c r="FC108" s="172"/>
      <c r="FD108" s="172"/>
      <c r="FE108" s="172"/>
      <c r="FF108" s="172"/>
      <c r="FG108" s="172"/>
      <c r="FH108" s="172"/>
      <c r="FI108" s="172"/>
      <c r="FJ108" s="172"/>
      <c r="FK108" s="172"/>
      <c r="FL108" s="172"/>
      <c r="FM108" s="172"/>
      <c r="FN108" s="172"/>
      <c r="FO108" s="172"/>
      <c r="FP108" s="172"/>
      <c r="FQ108" s="172"/>
      <c r="FR108" s="172"/>
      <c r="FS108" s="172"/>
      <c r="FT108" s="172"/>
      <c r="FU108" s="172"/>
      <c r="FV108" s="172"/>
      <c r="FW108" s="172"/>
      <c r="FX108" s="172"/>
      <c r="FY108" s="172"/>
      <c r="FZ108" s="172"/>
      <c r="GA108" s="172"/>
      <c r="GB108" s="172"/>
      <c r="GC108" s="172"/>
      <c r="GD108" s="172"/>
      <c r="GE108" s="172"/>
      <c r="GF108" s="172"/>
      <c r="GG108" s="172"/>
      <c r="GH108" s="172"/>
      <c r="GI108" s="172"/>
      <c r="GJ108" s="172"/>
      <c r="GK108" s="172"/>
      <c r="GL108" s="172"/>
      <c r="GM108" s="172"/>
      <c r="GN108" s="172"/>
      <c r="GO108" s="172"/>
      <c r="GP108" s="172"/>
      <c r="GQ108" s="172"/>
      <c r="GR108" s="172"/>
      <c r="GS108" s="172"/>
      <c r="GT108" s="172"/>
      <c r="GU108" s="172"/>
      <c r="GV108" s="172"/>
      <c r="GW108" s="172"/>
      <c r="GX108" s="172"/>
      <c r="GY108" s="172"/>
      <c r="GZ108" s="172"/>
      <c r="HA108" s="172"/>
      <c r="HB108" s="172"/>
      <c r="HC108" s="172"/>
      <c r="HD108" s="172"/>
      <c r="HE108" s="172"/>
      <c r="HF108" s="172"/>
      <c r="HG108" s="172"/>
      <c r="HH108" s="172"/>
      <c r="HI108" s="172"/>
      <c r="HJ108" s="172"/>
      <c r="HK108" s="172"/>
      <c r="HL108" s="172"/>
      <c r="HM108" s="172"/>
      <c r="HN108" s="172"/>
      <c r="HO108" s="172"/>
      <c r="HP108" s="172"/>
      <c r="HQ108" s="172"/>
      <c r="HR108" s="172"/>
      <c r="HS108" s="172"/>
      <c r="HT108" s="172"/>
      <c r="HU108" s="172"/>
      <c r="HV108" s="172"/>
      <c r="HW108" s="172"/>
      <c r="HX108" s="172"/>
      <c r="HY108" s="172"/>
      <c r="HZ108" s="172"/>
      <c r="IA108" s="172"/>
      <c r="IB108" s="172"/>
      <c r="IC108" s="172"/>
      <c r="ID108" s="172"/>
      <c r="IE108" s="172"/>
      <c r="IF108" s="172"/>
      <c r="IG108" s="172"/>
      <c r="IH108" s="172"/>
      <c r="II108" s="172"/>
      <c r="IJ108" s="172"/>
      <c r="IK108" s="172"/>
      <c r="IL108" s="172"/>
      <c r="IM108" s="172"/>
      <c r="IN108" s="172"/>
      <c r="IO108" s="172"/>
      <c r="IP108" s="172"/>
      <c r="IQ108" s="172"/>
      <c r="IR108" s="172"/>
      <c r="IS108" s="172"/>
      <c r="IT108" s="172"/>
      <c r="IU108" s="172"/>
      <c r="IV108" s="172"/>
    </row>
    <row r="109" spans="1:256" ht="15" hidden="1">
      <c r="A109" s="837"/>
      <c r="B109" s="840"/>
      <c r="C109" s="161" t="s">
        <v>2</v>
      </c>
      <c r="D109" s="173">
        <f>D108+D107</f>
        <v>7638588</v>
      </c>
      <c r="E109" s="163">
        <f t="shared" ref="E109:P109" si="48">E108+E107</f>
        <v>902500</v>
      </c>
      <c r="F109" s="163">
        <f t="shared" si="48"/>
        <v>902500</v>
      </c>
      <c r="G109" s="163">
        <f t="shared" si="48"/>
        <v>0</v>
      </c>
      <c r="H109" s="163">
        <f t="shared" si="48"/>
        <v>902500</v>
      </c>
      <c r="I109" s="163">
        <f t="shared" si="48"/>
        <v>0</v>
      </c>
      <c r="J109" s="163">
        <f t="shared" si="48"/>
        <v>0</v>
      </c>
      <c r="K109" s="163">
        <f t="shared" si="48"/>
        <v>0</v>
      </c>
      <c r="L109" s="163">
        <f t="shared" si="48"/>
        <v>0</v>
      </c>
      <c r="M109" s="163">
        <f t="shared" si="48"/>
        <v>6736088</v>
      </c>
      <c r="N109" s="163">
        <f t="shared" si="48"/>
        <v>6736088</v>
      </c>
      <c r="O109" s="163">
        <f t="shared" si="48"/>
        <v>0</v>
      </c>
      <c r="P109" s="163">
        <f t="shared" si="48"/>
        <v>0</v>
      </c>
      <c r="Q109" s="171"/>
      <c r="R109" s="171"/>
      <c r="S109" s="171"/>
      <c r="T109" s="171"/>
      <c r="U109" s="171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BY109" s="172"/>
      <c r="BZ109" s="172"/>
      <c r="CA109" s="172"/>
      <c r="CB109" s="172"/>
      <c r="CC109" s="172"/>
      <c r="CD109" s="172"/>
      <c r="CE109" s="172"/>
      <c r="CF109" s="172"/>
      <c r="CG109" s="172"/>
      <c r="CH109" s="172"/>
      <c r="CI109" s="172"/>
      <c r="CJ109" s="172"/>
      <c r="CK109" s="172"/>
      <c r="CL109" s="172"/>
      <c r="CM109" s="172"/>
      <c r="CN109" s="172"/>
      <c r="CO109" s="172"/>
      <c r="CP109" s="172"/>
      <c r="CQ109" s="172"/>
      <c r="CR109" s="172"/>
      <c r="CS109" s="172"/>
      <c r="CT109" s="172"/>
      <c r="CU109" s="172"/>
      <c r="CV109" s="172"/>
      <c r="CW109" s="172"/>
      <c r="CX109" s="172"/>
      <c r="CY109" s="172"/>
      <c r="CZ109" s="172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72"/>
      <c r="DK109" s="172"/>
      <c r="DL109" s="172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  <c r="DZ109" s="172"/>
      <c r="EA109" s="172"/>
      <c r="EB109" s="172"/>
      <c r="EC109" s="172"/>
      <c r="ED109" s="172"/>
      <c r="EE109" s="172"/>
      <c r="EF109" s="172"/>
      <c r="EG109" s="172"/>
      <c r="EH109" s="172"/>
      <c r="EI109" s="172"/>
      <c r="EJ109" s="172"/>
      <c r="EK109" s="172"/>
      <c r="EL109" s="172"/>
      <c r="EM109" s="172"/>
      <c r="EN109" s="172"/>
      <c r="EO109" s="172"/>
      <c r="EP109" s="172"/>
      <c r="EQ109" s="172"/>
      <c r="ER109" s="172"/>
      <c r="ES109" s="172"/>
      <c r="ET109" s="172"/>
      <c r="EU109" s="172"/>
      <c r="EV109" s="172"/>
      <c r="EW109" s="172"/>
      <c r="EX109" s="172"/>
      <c r="EY109" s="172"/>
      <c r="EZ109" s="172"/>
      <c r="FA109" s="172"/>
      <c r="FB109" s="172"/>
      <c r="FC109" s="172"/>
      <c r="FD109" s="172"/>
      <c r="FE109" s="172"/>
      <c r="FF109" s="172"/>
      <c r="FG109" s="172"/>
      <c r="FH109" s="172"/>
      <c r="FI109" s="172"/>
      <c r="FJ109" s="172"/>
      <c r="FK109" s="172"/>
      <c r="FL109" s="172"/>
      <c r="FM109" s="172"/>
      <c r="FN109" s="172"/>
      <c r="FO109" s="172"/>
      <c r="FP109" s="172"/>
      <c r="FQ109" s="172"/>
      <c r="FR109" s="172"/>
      <c r="FS109" s="172"/>
      <c r="FT109" s="172"/>
      <c r="FU109" s="172"/>
      <c r="FV109" s="172"/>
      <c r="FW109" s="172"/>
      <c r="FX109" s="172"/>
      <c r="FY109" s="172"/>
      <c r="FZ109" s="172"/>
      <c r="GA109" s="172"/>
      <c r="GB109" s="172"/>
      <c r="GC109" s="172"/>
      <c r="GD109" s="172"/>
      <c r="GE109" s="172"/>
      <c r="GF109" s="172"/>
      <c r="GG109" s="172"/>
      <c r="GH109" s="172"/>
      <c r="GI109" s="172"/>
      <c r="GJ109" s="172"/>
      <c r="GK109" s="172"/>
      <c r="GL109" s="172"/>
      <c r="GM109" s="172"/>
      <c r="GN109" s="172"/>
      <c r="GO109" s="172"/>
      <c r="GP109" s="172"/>
      <c r="GQ109" s="172"/>
      <c r="GR109" s="172"/>
      <c r="GS109" s="172"/>
      <c r="GT109" s="172"/>
      <c r="GU109" s="172"/>
      <c r="GV109" s="172"/>
      <c r="GW109" s="172"/>
      <c r="GX109" s="172"/>
      <c r="GY109" s="172"/>
      <c r="GZ109" s="172"/>
      <c r="HA109" s="172"/>
      <c r="HB109" s="172"/>
      <c r="HC109" s="172"/>
      <c r="HD109" s="172"/>
      <c r="HE109" s="172"/>
      <c r="HF109" s="172"/>
      <c r="HG109" s="172"/>
      <c r="HH109" s="172"/>
      <c r="HI109" s="172"/>
      <c r="HJ109" s="172"/>
      <c r="HK109" s="172"/>
      <c r="HL109" s="172"/>
      <c r="HM109" s="172"/>
      <c r="HN109" s="172"/>
      <c r="HO109" s="172"/>
      <c r="HP109" s="172"/>
      <c r="HQ109" s="172"/>
      <c r="HR109" s="172"/>
      <c r="HS109" s="172"/>
      <c r="HT109" s="172"/>
      <c r="HU109" s="172"/>
      <c r="HV109" s="172"/>
      <c r="HW109" s="172"/>
      <c r="HX109" s="172"/>
      <c r="HY109" s="172"/>
      <c r="HZ109" s="172"/>
      <c r="IA109" s="172"/>
      <c r="IB109" s="172"/>
      <c r="IC109" s="172"/>
      <c r="ID109" s="172"/>
      <c r="IE109" s="172"/>
      <c r="IF109" s="172"/>
      <c r="IG109" s="172"/>
      <c r="IH109" s="172"/>
      <c r="II109" s="172"/>
      <c r="IJ109" s="172"/>
      <c r="IK109" s="172"/>
      <c r="IL109" s="172"/>
      <c r="IM109" s="172"/>
      <c r="IN109" s="172"/>
      <c r="IO109" s="172"/>
      <c r="IP109" s="172"/>
      <c r="IQ109" s="172"/>
      <c r="IR109" s="172"/>
      <c r="IS109" s="172"/>
      <c r="IT109" s="172"/>
      <c r="IU109" s="172"/>
      <c r="IV109" s="172"/>
    </row>
    <row r="110" spans="1:256" hidden="1">
      <c r="A110" s="823" t="s">
        <v>188</v>
      </c>
      <c r="B110" s="826" t="s">
        <v>189</v>
      </c>
      <c r="C110" s="157" t="s">
        <v>0</v>
      </c>
      <c r="D110" s="158">
        <f>E110+M110</f>
        <v>7638588</v>
      </c>
      <c r="E110" s="159">
        <f>F110+I110+J110+K110+L110</f>
        <v>902500</v>
      </c>
      <c r="F110" s="159">
        <f>G110+H110</f>
        <v>902500</v>
      </c>
      <c r="G110" s="159">
        <v>0</v>
      </c>
      <c r="H110" s="159">
        <f>959140-56640</f>
        <v>902500</v>
      </c>
      <c r="I110" s="159">
        <v>0</v>
      </c>
      <c r="J110" s="159">
        <v>0</v>
      </c>
      <c r="K110" s="159">
        <v>0</v>
      </c>
      <c r="L110" s="159">
        <v>0</v>
      </c>
      <c r="M110" s="159">
        <f>N110+P110</f>
        <v>6736088</v>
      </c>
      <c r="N110" s="159">
        <v>6736088</v>
      </c>
      <c r="O110" s="159">
        <v>0</v>
      </c>
      <c r="P110" s="159">
        <v>0</v>
      </c>
      <c r="Q110" s="166"/>
      <c r="R110" s="166"/>
      <c r="S110" s="166"/>
      <c r="T110" s="166"/>
      <c r="U110" s="166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</row>
    <row r="111" spans="1:256" hidden="1">
      <c r="A111" s="824"/>
      <c r="B111" s="827"/>
      <c r="C111" s="157" t="s">
        <v>1</v>
      </c>
      <c r="D111" s="158">
        <f>E111+M111</f>
        <v>0</v>
      </c>
      <c r="E111" s="159">
        <f>F111+I111+J111+K111+L111</f>
        <v>0</v>
      </c>
      <c r="F111" s="159">
        <f>G111+H111</f>
        <v>0</v>
      </c>
      <c r="G111" s="159"/>
      <c r="H111" s="159"/>
      <c r="I111" s="159"/>
      <c r="J111" s="159"/>
      <c r="K111" s="159"/>
      <c r="L111" s="159"/>
      <c r="M111" s="159">
        <f>N111+P111</f>
        <v>0</v>
      </c>
      <c r="N111" s="159"/>
      <c r="O111" s="159"/>
      <c r="P111" s="159"/>
      <c r="Q111" s="166"/>
      <c r="R111" s="166"/>
      <c r="S111" s="166"/>
      <c r="T111" s="166"/>
      <c r="U111" s="166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</row>
    <row r="112" spans="1:256" hidden="1">
      <c r="A112" s="825"/>
      <c r="B112" s="828"/>
      <c r="C112" s="157" t="s">
        <v>2</v>
      </c>
      <c r="D112" s="158">
        <f>D111+D110</f>
        <v>7638588</v>
      </c>
      <c r="E112" s="159">
        <f t="shared" ref="E112:P112" si="49">E111+E110</f>
        <v>902500</v>
      </c>
      <c r="F112" s="159">
        <f t="shared" si="49"/>
        <v>902500</v>
      </c>
      <c r="G112" s="159">
        <f t="shared" si="49"/>
        <v>0</v>
      </c>
      <c r="H112" s="159">
        <f t="shared" si="49"/>
        <v>902500</v>
      </c>
      <c r="I112" s="159">
        <f t="shared" si="49"/>
        <v>0</v>
      </c>
      <c r="J112" s="159">
        <f t="shared" si="49"/>
        <v>0</v>
      </c>
      <c r="K112" s="159">
        <f t="shared" si="49"/>
        <v>0</v>
      </c>
      <c r="L112" s="159">
        <f t="shared" si="49"/>
        <v>0</v>
      </c>
      <c r="M112" s="159">
        <f t="shared" si="49"/>
        <v>6736088</v>
      </c>
      <c r="N112" s="159">
        <f t="shared" si="49"/>
        <v>6736088</v>
      </c>
      <c r="O112" s="159">
        <f t="shared" si="49"/>
        <v>0</v>
      </c>
      <c r="P112" s="159">
        <f t="shared" si="49"/>
        <v>0</v>
      </c>
      <c r="Q112" s="166"/>
      <c r="R112" s="166"/>
      <c r="S112" s="166"/>
      <c r="T112" s="166"/>
      <c r="U112" s="166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</row>
    <row r="113" spans="1:256" ht="15" hidden="1">
      <c r="A113" s="835" t="s">
        <v>49</v>
      </c>
      <c r="B113" s="838" t="s">
        <v>50</v>
      </c>
      <c r="C113" s="161" t="s">
        <v>0</v>
      </c>
      <c r="D113" s="173">
        <f t="shared" ref="D113:O114" si="50">D116+D119+D122</f>
        <v>7871635</v>
      </c>
      <c r="E113" s="163">
        <f t="shared" si="50"/>
        <v>7871635</v>
      </c>
      <c r="F113" s="163">
        <f t="shared" si="50"/>
        <v>7863635</v>
      </c>
      <c r="G113" s="163">
        <f t="shared" si="50"/>
        <v>6559295</v>
      </c>
      <c r="H113" s="163">
        <f t="shared" si="50"/>
        <v>1304340</v>
      </c>
      <c r="I113" s="163">
        <f t="shared" si="50"/>
        <v>0</v>
      </c>
      <c r="J113" s="163">
        <f t="shared" si="50"/>
        <v>8000</v>
      </c>
      <c r="K113" s="163">
        <f t="shared" si="50"/>
        <v>0</v>
      </c>
      <c r="L113" s="163">
        <f t="shared" si="50"/>
        <v>0</v>
      </c>
      <c r="M113" s="163">
        <f t="shared" si="50"/>
        <v>0</v>
      </c>
      <c r="N113" s="163">
        <f t="shared" si="50"/>
        <v>0</v>
      </c>
      <c r="O113" s="163">
        <f t="shared" si="50"/>
        <v>0</v>
      </c>
      <c r="P113" s="163">
        <f>P116+P119+P122</f>
        <v>0</v>
      </c>
      <c r="Q113" s="171"/>
      <c r="R113" s="171"/>
      <c r="S113" s="171"/>
      <c r="T113" s="171"/>
      <c r="U113" s="171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BY113" s="172"/>
      <c r="BZ113" s="172"/>
      <c r="CA113" s="172"/>
      <c r="CB113" s="172"/>
      <c r="CC113" s="172"/>
      <c r="CD113" s="172"/>
      <c r="CE113" s="172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72"/>
      <c r="CQ113" s="172"/>
      <c r="CR113" s="172"/>
      <c r="CS113" s="172"/>
      <c r="CT113" s="172"/>
      <c r="CU113" s="172"/>
      <c r="CV113" s="172"/>
      <c r="CW113" s="172"/>
      <c r="CX113" s="172"/>
      <c r="CY113" s="172"/>
      <c r="CZ113" s="172"/>
      <c r="DA113" s="172"/>
      <c r="DB113" s="172"/>
      <c r="DC113" s="172"/>
      <c r="DD113" s="172"/>
      <c r="DE113" s="172"/>
      <c r="DF113" s="172"/>
      <c r="DG113" s="172"/>
      <c r="DH113" s="172"/>
      <c r="DI113" s="172"/>
      <c r="DJ113" s="172"/>
      <c r="DK113" s="172"/>
      <c r="DL113" s="172"/>
      <c r="DM113" s="172"/>
      <c r="DN113" s="172"/>
      <c r="DO113" s="172"/>
      <c r="DP113" s="172"/>
      <c r="DQ113" s="172"/>
      <c r="DR113" s="172"/>
      <c r="DS113" s="172"/>
      <c r="DT113" s="172"/>
      <c r="DU113" s="172"/>
      <c r="DV113" s="172"/>
      <c r="DW113" s="172"/>
      <c r="DX113" s="172"/>
      <c r="DY113" s="172"/>
      <c r="DZ113" s="172"/>
      <c r="EA113" s="172"/>
      <c r="EB113" s="172"/>
      <c r="EC113" s="172"/>
      <c r="ED113" s="172"/>
      <c r="EE113" s="172"/>
      <c r="EF113" s="172"/>
      <c r="EG113" s="172"/>
      <c r="EH113" s="172"/>
      <c r="EI113" s="172"/>
      <c r="EJ113" s="172"/>
      <c r="EK113" s="172"/>
      <c r="EL113" s="172"/>
      <c r="EM113" s="172"/>
      <c r="EN113" s="172"/>
      <c r="EO113" s="172"/>
      <c r="EP113" s="172"/>
      <c r="EQ113" s="172"/>
      <c r="ER113" s="172"/>
      <c r="ES113" s="172"/>
      <c r="ET113" s="172"/>
      <c r="EU113" s="172"/>
      <c r="EV113" s="172"/>
      <c r="EW113" s="172"/>
      <c r="EX113" s="172"/>
      <c r="EY113" s="172"/>
      <c r="EZ113" s="172"/>
      <c r="FA113" s="172"/>
      <c r="FB113" s="172"/>
      <c r="FC113" s="172"/>
      <c r="FD113" s="172"/>
      <c r="FE113" s="172"/>
      <c r="FF113" s="172"/>
      <c r="FG113" s="172"/>
      <c r="FH113" s="172"/>
      <c r="FI113" s="172"/>
      <c r="FJ113" s="172"/>
      <c r="FK113" s="172"/>
      <c r="FL113" s="172"/>
      <c r="FM113" s="172"/>
      <c r="FN113" s="172"/>
      <c r="FO113" s="172"/>
      <c r="FP113" s="172"/>
      <c r="FQ113" s="172"/>
      <c r="FR113" s="172"/>
      <c r="FS113" s="172"/>
      <c r="FT113" s="172"/>
      <c r="FU113" s="172"/>
      <c r="FV113" s="172"/>
      <c r="FW113" s="172"/>
      <c r="FX113" s="172"/>
      <c r="FY113" s="172"/>
      <c r="FZ113" s="172"/>
      <c r="GA113" s="172"/>
      <c r="GB113" s="172"/>
      <c r="GC113" s="172"/>
      <c r="GD113" s="172"/>
      <c r="GE113" s="172"/>
      <c r="GF113" s="172"/>
      <c r="GG113" s="172"/>
      <c r="GH113" s="172"/>
      <c r="GI113" s="172"/>
      <c r="GJ113" s="172"/>
      <c r="GK113" s="172"/>
      <c r="GL113" s="172"/>
      <c r="GM113" s="172"/>
      <c r="GN113" s="172"/>
      <c r="GO113" s="172"/>
      <c r="GP113" s="172"/>
      <c r="GQ113" s="172"/>
      <c r="GR113" s="172"/>
      <c r="GS113" s="172"/>
      <c r="GT113" s="172"/>
      <c r="GU113" s="172"/>
      <c r="GV113" s="172"/>
      <c r="GW113" s="172"/>
      <c r="GX113" s="172"/>
      <c r="GY113" s="172"/>
      <c r="GZ113" s="172"/>
      <c r="HA113" s="172"/>
      <c r="HB113" s="172"/>
      <c r="HC113" s="172"/>
      <c r="HD113" s="172"/>
      <c r="HE113" s="172"/>
      <c r="HF113" s="172"/>
      <c r="HG113" s="172"/>
      <c r="HH113" s="172"/>
      <c r="HI113" s="172"/>
      <c r="HJ113" s="172"/>
      <c r="HK113" s="172"/>
      <c r="HL113" s="172"/>
      <c r="HM113" s="172"/>
      <c r="HN113" s="172"/>
      <c r="HO113" s="172"/>
      <c r="HP113" s="172"/>
      <c r="HQ113" s="172"/>
      <c r="HR113" s="172"/>
      <c r="HS113" s="172"/>
      <c r="HT113" s="172"/>
      <c r="HU113" s="172"/>
      <c r="HV113" s="172"/>
      <c r="HW113" s="172"/>
      <c r="HX113" s="172"/>
      <c r="HY113" s="172"/>
      <c r="HZ113" s="172"/>
      <c r="IA113" s="172"/>
      <c r="IB113" s="172"/>
      <c r="IC113" s="172"/>
      <c r="ID113" s="172"/>
      <c r="IE113" s="172"/>
      <c r="IF113" s="172"/>
      <c r="IG113" s="172"/>
      <c r="IH113" s="172"/>
      <c r="II113" s="172"/>
      <c r="IJ113" s="172"/>
      <c r="IK113" s="172"/>
      <c r="IL113" s="172"/>
      <c r="IM113" s="172"/>
      <c r="IN113" s="172"/>
      <c r="IO113" s="172"/>
      <c r="IP113" s="172"/>
      <c r="IQ113" s="172"/>
      <c r="IR113" s="172"/>
      <c r="IS113" s="172"/>
      <c r="IT113" s="172"/>
      <c r="IU113" s="172"/>
      <c r="IV113" s="172"/>
    </row>
    <row r="114" spans="1:256" ht="15" hidden="1">
      <c r="A114" s="836"/>
      <c r="B114" s="839"/>
      <c r="C114" s="161" t="s">
        <v>1</v>
      </c>
      <c r="D114" s="173">
        <f t="shared" si="50"/>
        <v>0</v>
      </c>
      <c r="E114" s="163">
        <f t="shared" si="50"/>
        <v>0</v>
      </c>
      <c r="F114" s="163">
        <f t="shared" si="50"/>
        <v>0</v>
      </c>
      <c r="G114" s="163">
        <f t="shared" si="50"/>
        <v>0</v>
      </c>
      <c r="H114" s="163">
        <f t="shared" si="50"/>
        <v>0</v>
      </c>
      <c r="I114" s="163">
        <f t="shared" si="50"/>
        <v>0</v>
      </c>
      <c r="J114" s="163">
        <f t="shared" si="50"/>
        <v>0</v>
      </c>
      <c r="K114" s="163">
        <f t="shared" si="50"/>
        <v>0</v>
      </c>
      <c r="L114" s="163">
        <f t="shared" si="50"/>
        <v>0</v>
      </c>
      <c r="M114" s="163">
        <f t="shared" si="50"/>
        <v>0</v>
      </c>
      <c r="N114" s="163">
        <f t="shared" si="50"/>
        <v>0</v>
      </c>
      <c r="O114" s="163">
        <f t="shared" si="50"/>
        <v>0</v>
      </c>
      <c r="P114" s="163">
        <f>P117+P120+P123</f>
        <v>0</v>
      </c>
      <c r="Q114" s="171"/>
      <c r="R114" s="171"/>
      <c r="S114" s="171"/>
      <c r="T114" s="171"/>
      <c r="U114" s="171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  <c r="BY114" s="172"/>
      <c r="BZ114" s="172"/>
      <c r="CA114" s="172"/>
      <c r="CB114" s="172"/>
      <c r="CC114" s="172"/>
      <c r="CD114" s="172"/>
      <c r="CE114" s="172"/>
      <c r="CF114" s="172"/>
      <c r="CG114" s="172"/>
      <c r="CH114" s="172"/>
      <c r="CI114" s="172"/>
      <c r="CJ114" s="172"/>
      <c r="CK114" s="172"/>
      <c r="CL114" s="172"/>
      <c r="CM114" s="172"/>
      <c r="CN114" s="172"/>
      <c r="CO114" s="172"/>
      <c r="CP114" s="172"/>
      <c r="CQ114" s="172"/>
      <c r="CR114" s="172"/>
      <c r="CS114" s="172"/>
      <c r="CT114" s="172"/>
      <c r="CU114" s="172"/>
      <c r="CV114" s="172"/>
      <c r="CW114" s="172"/>
      <c r="CX114" s="172"/>
      <c r="CY114" s="172"/>
      <c r="CZ114" s="172"/>
      <c r="DA114" s="172"/>
      <c r="DB114" s="172"/>
      <c r="DC114" s="172"/>
      <c r="DD114" s="172"/>
      <c r="DE114" s="172"/>
      <c r="DF114" s="172"/>
      <c r="DG114" s="172"/>
      <c r="DH114" s="172"/>
      <c r="DI114" s="172"/>
      <c r="DJ114" s="172"/>
      <c r="DK114" s="172"/>
      <c r="DL114" s="172"/>
      <c r="DM114" s="172"/>
      <c r="DN114" s="172"/>
      <c r="DO114" s="172"/>
      <c r="DP114" s="172"/>
      <c r="DQ114" s="172"/>
      <c r="DR114" s="172"/>
      <c r="DS114" s="172"/>
      <c r="DT114" s="172"/>
      <c r="DU114" s="172"/>
      <c r="DV114" s="172"/>
      <c r="DW114" s="172"/>
      <c r="DX114" s="172"/>
      <c r="DY114" s="172"/>
      <c r="DZ114" s="172"/>
      <c r="EA114" s="172"/>
      <c r="EB114" s="172"/>
      <c r="EC114" s="172"/>
      <c r="ED114" s="172"/>
      <c r="EE114" s="172"/>
      <c r="EF114" s="172"/>
      <c r="EG114" s="172"/>
      <c r="EH114" s="172"/>
      <c r="EI114" s="172"/>
      <c r="EJ114" s="172"/>
      <c r="EK114" s="172"/>
      <c r="EL114" s="172"/>
      <c r="EM114" s="172"/>
      <c r="EN114" s="172"/>
      <c r="EO114" s="172"/>
      <c r="EP114" s="172"/>
      <c r="EQ114" s="172"/>
      <c r="ER114" s="172"/>
      <c r="ES114" s="172"/>
      <c r="ET114" s="172"/>
      <c r="EU114" s="172"/>
      <c r="EV114" s="172"/>
      <c r="EW114" s="172"/>
      <c r="EX114" s="172"/>
      <c r="EY114" s="172"/>
      <c r="EZ114" s="172"/>
      <c r="FA114" s="172"/>
      <c r="FB114" s="172"/>
      <c r="FC114" s="172"/>
      <c r="FD114" s="172"/>
      <c r="FE114" s="172"/>
      <c r="FF114" s="172"/>
      <c r="FG114" s="172"/>
      <c r="FH114" s="172"/>
      <c r="FI114" s="172"/>
      <c r="FJ114" s="172"/>
      <c r="FK114" s="172"/>
      <c r="FL114" s="172"/>
      <c r="FM114" s="172"/>
      <c r="FN114" s="172"/>
      <c r="FO114" s="172"/>
      <c r="FP114" s="172"/>
      <c r="FQ114" s="172"/>
      <c r="FR114" s="172"/>
      <c r="FS114" s="172"/>
      <c r="FT114" s="172"/>
      <c r="FU114" s="172"/>
      <c r="FV114" s="172"/>
      <c r="FW114" s="172"/>
      <c r="FX114" s="172"/>
      <c r="FY114" s="172"/>
      <c r="FZ114" s="172"/>
      <c r="GA114" s="172"/>
      <c r="GB114" s="172"/>
      <c r="GC114" s="172"/>
      <c r="GD114" s="172"/>
      <c r="GE114" s="172"/>
      <c r="GF114" s="172"/>
      <c r="GG114" s="172"/>
      <c r="GH114" s="172"/>
      <c r="GI114" s="172"/>
      <c r="GJ114" s="172"/>
      <c r="GK114" s="172"/>
      <c r="GL114" s="172"/>
      <c r="GM114" s="172"/>
      <c r="GN114" s="172"/>
      <c r="GO114" s="172"/>
      <c r="GP114" s="172"/>
      <c r="GQ114" s="172"/>
      <c r="GR114" s="172"/>
      <c r="GS114" s="172"/>
      <c r="GT114" s="172"/>
      <c r="GU114" s="172"/>
      <c r="GV114" s="172"/>
      <c r="GW114" s="172"/>
      <c r="GX114" s="172"/>
      <c r="GY114" s="172"/>
      <c r="GZ114" s="172"/>
      <c r="HA114" s="172"/>
      <c r="HB114" s="172"/>
      <c r="HC114" s="172"/>
      <c r="HD114" s="172"/>
      <c r="HE114" s="172"/>
      <c r="HF114" s="172"/>
      <c r="HG114" s="172"/>
      <c r="HH114" s="172"/>
      <c r="HI114" s="172"/>
      <c r="HJ114" s="172"/>
      <c r="HK114" s="172"/>
      <c r="HL114" s="172"/>
      <c r="HM114" s="172"/>
      <c r="HN114" s="172"/>
      <c r="HO114" s="172"/>
      <c r="HP114" s="172"/>
      <c r="HQ114" s="172"/>
      <c r="HR114" s="172"/>
      <c r="HS114" s="172"/>
      <c r="HT114" s="172"/>
      <c r="HU114" s="172"/>
      <c r="HV114" s="172"/>
      <c r="HW114" s="172"/>
      <c r="HX114" s="172"/>
      <c r="HY114" s="172"/>
      <c r="HZ114" s="172"/>
      <c r="IA114" s="172"/>
      <c r="IB114" s="172"/>
      <c r="IC114" s="172"/>
      <c r="ID114" s="172"/>
      <c r="IE114" s="172"/>
      <c r="IF114" s="172"/>
      <c r="IG114" s="172"/>
      <c r="IH114" s="172"/>
      <c r="II114" s="172"/>
      <c r="IJ114" s="172"/>
      <c r="IK114" s="172"/>
      <c r="IL114" s="172"/>
      <c r="IM114" s="172"/>
      <c r="IN114" s="172"/>
      <c r="IO114" s="172"/>
      <c r="IP114" s="172"/>
      <c r="IQ114" s="172"/>
      <c r="IR114" s="172"/>
      <c r="IS114" s="172"/>
      <c r="IT114" s="172"/>
      <c r="IU114" s="172"/>
      <c r="IV114" s="172"/>
    </row>
    <row r="115" spans="1:256" ht="15" hidden="1">
      <c r="A115" s="837"/>
      <c r="B115" s="840"/>
      <c r="C115" s="161" t="s">
        <v>2</v>
      </c>
      <c r="D115" s="173">
        <f>D114+D113</f>
        <v>7871635</v>
      </c>
      <c r="E115" s="163">
        <f t="shared" ref="E115:P115" si="51">E114+E113</f>
        <v>7871635</v>
      </c>
      <c r="F115" s="163">
        <f t="shared" si="51"/>
        <v>7863635</v>
      </c>
      <c r="G115" s="163">
        <f t="shared" si="51"/>
        <v>6559295</v>
      </c>
      <c r="H115" s="163">
        <f t="shared" si="51"/>
        <v>1304340</v>
      </c>
      <c r="I115" s="163">
        <f t="shared" si="51"/>
        <v>0</v>
      </c>
      <c r="J115" s="163">
        <f t="shared" si="51"/>
        <v>8000</v>
      </c>
      <c r="K115" s="163">
        <f t="shared" si="51"/>
        <v>0</v>
      </c>
      <c r="L115" s="163">
        <f t="shared" si="51"/>
        <v>0</v>
      </c>
      <c r="M115" s="163">
        <f t="shared" si="51"/>
        <v>0</v>
      </c>
      <c r="N115" s="163">
        <f t="shared" si="51"/>
        <v>0</v>
      </c>
      <c r="O115" s="163">
        <f t="shared" si="51"/>
        <v>0</v>
      </c>
      <c r="P115" s="163">
        <f t="shared" si="51"/>
        <v>0</v>
      </c>
      <c r="Q115" s="171"/>
      <c r="R115" s="171"/>
      <c r="S115" s="171"/>
      <c r="T115" s="171"/>
      <c r="U115" s="171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172"/>
      <c r="CS115" s="172"/>
      <c r="CT115" s="172"/>
      <c r="CU115" s="172"/>
      <c r="CV115" s="172"/>
      <c r="CW115" s="172"/>
      <c r="CX115" s="172"/>
      <c r="CY115" s="172"/>
      <c r="CZ115" s="172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72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  <c r="DZ115" s="172"/>
      <c r="EA115" s="172"/>
      <c r="EB115" s="172"/>
      <c r="EC115" s="172"/>
      <c r="ED115" s="172"/>
      <c r="EE115" s="172"/>
      <c r="EF115" s="172"/>
      <c r="EG115" s="172"/>
      <c r="EH115" s="172"/>
      <c r="EI115" s="172"/>
      <c r="EJ115" s="172"/>
      <c r="EK115" s="172"/>
      <c r="EL115" s="172"/>
      <c r="EM115" s="172"/>
      <c r="EN115" s="172"/>
      <c r="EO115" s="172"/>
      <c r="EP115" s="172"/>
      <c r="EQ115" s="172"/>
      <c r="ER115" s="172"/>
      <c r="ES115" s="172"/>
      <c r="ET115" s="172"/>
      <c r="EU115" s="172"/>
      <c r="EV115" s="172"/>
      <c r="EW115" s="172"/>
      <c r="EX115" s="172"/>
      <c r="EY115" s="172"/>
      <c r="EZ115" s="172"/>
      <c r="FA115" s="172"/>
      <c r="FB115" s="172"/>
      <c r="FC115" s="172"/>
      <c r="FD115" s="172"/>
      <c r="FE115" s="172"/>
      <c r="FF115" s="172"/>
      <c r="FG115" s="172"/>
      <c r="FH115" s="172"/>
      <c r="FI115" s="172"/>
      <c r="FJ115" s="172"/>
      <c r="FK115" s="172"/>
      <c r="FL115" s="172"/>
      <c r="FM115" s="172"/>
      <c r="FN115" s="172"/>
      <c r="FO115" s="172"/>
      <c r="FP115" s="172"/>
      <c r="FQ115" s="172"/>
      <c r="FR115" s="172"/>
      <c r="FS115" s="172"/>
      <c r="FT115" s="172"/>
      <c r="FU115" s="172"/>
      <c r="FV115" s="172"/>
      <c r="FW115" s="172"/>
      <c r="FX115" s="172"/>
      <c r="FY115" s="172"/>
      <c r="FZ115" s="172"/>
      <c r="GA115" s="172"/>
      <c r="GB115" s="172"/>
      <c r="GC115" s="172"/>
      <c r="GD115" s="172"/>
      <c r="GE115" s="172"/>
      <c r="GF115" s="172"/>
      <c r="GG115" s="172"/>
      <c r="GH115" s="172"/>
      <c r="GI115" s="172"/>
      <c r="GJ115" s="172"/>
      <c r="GK115" s="172"/>
      <c r="GL115" s="172"/>
      <c r="GM115" s="172"/>
      <c r="GN115" s="172"/>
      <c r="GO115" s="172"/>
      <c r="GP115" s="172"/>
      <c r="GQ115" s="172"/>
      <c r="GR115" s="172"/>
      <c r="GS115" s="172"/>
      <c r="GT115" s="172"/>
      <c r="GU115" s="172"/>
      <c r="GV115" s="172"/>
      <c r="GW115" s="172"/>
      <c r="GX115" s="172"/>
      <c r="GY115" s="172"/>
      <c r="GZ115" s="172"/>
      <c r="HA115" s="172"/>
      <c r="HB115" s="172"/>
      <c r="HC115" s="172"/>
      <c r="HD115" s="172"/>
      <c r="HE115" s="172"/>
      <c r="HF115" s="172"/>
      <c r="HG115" s="172"/>
      <c r="HH115" s="172"/>
      <c r="HI115" s="172"/>
      <c r="HJ115" s="172"/>
      <c r="HK115" s="172"/>
      <c r="HL115" s="172"/>
      <c r="HM115" s="172"/>
      <c r="HN115" s="172"/>
      <c r="HO115" s="172"/>
      <c r="HP115" s="172"/>
      <c r="HQ115" s="172"/>
      <c r="HR115" s="172"/>
      <c r="HS115" s="172"/>
      <c r="HT115" s="172"/>
      <c r="HU115" s="172"/>
      <c r="HV115" s="172"/>
      <c r="HW115" s="172"/>
      <c r="HX115" s="172"/>
      <c r="HY115" s="172"/>
      <c r="HZ115" s="172"/>
      <c r="IA115" s="172"/>
      <c r="IB115" s="172"/>
      <c r="IC115" s="172"/>
      <c r="ID115" s="172"/>
      <c r="IE115" s="172"/>
      <c r="IF115" s="172"/>
      <c r="IG115" s="172"/>
      <c r="IH115" s="172"/>
      <c r="II115" s="172"/>
      <c r="IJ115" s="172"/>
      <c r="IK115" s="172"/>
      <c r="IL115" s="172"/>
      <c r="IM115" s="172"/>
      <c r="IN115" s="172"/>
      <c r="IO115" s="172"/>
      <c r="IP115" s="172"/>
      <c r="IQ115" s="172"/>
      <c r="IR115" s="172"/>
      <c r="IS115" s="172"/>
      <c r="IT115" s="172"/>
      <c r="IU115" s="172"/>
      <c r="IV115" s="172"/>
    </row>
    <row r="116" spans="1:256" hidden="1">
      <c r="A116" s="823" t="s">
        <v>190</v>
      </c>
      <c r="B116" s="826" t="s">
        <v>191</v>
      </c>
      <c r="C116" s="157" t="s">
        <v>0</v>
      </c>
      <c r="D116" s="158">
        <f>E116+M116</f>
        <v>7579635</v>
      </c>
      <c r="E116" s="159">
        <f>F116+I116+J116+K116+L116</f>
        <v>7579635</v>
      </c>
      <c r="F116" s="159">
        <f>G116+H116</f>
        <v>7571635</v>
      </c>
      <c r="G116" s="159">
        <v>6549295</v>
      </c>
      <c r="H116" s="159">
        <f>144000+120000+1000+150000+163000+5000+180000+60000+9000+11000+135360+16800+17180+10000</f>
        <v>1022340</v>
      </c>
      <c r="I116" s="159">
        <v>0</v>
      </c>
      <c r="J116" s="159">
        <v>8000</v>
      </c>
      <c r="K116" s="159">
        <v>0</v>
      </c>
      <c r="L116" s="159">
        <v>0</v>
      </c>
      <c r="M116" s="159">
        <f>N116+P116</f>
        <v>0</v>
      </c>
      <c r="N116" s="159">
        <v>0</v>
      </c>
      <c r="O116" s="159">
        <v>0</v>
      </c>
      <c r="P116" s="159">
        <v>0</v>
      </c>
      <c r="Q116" s="166"/>
      <c r="R116" s="166"/>
      <c r="S116" s="166"/>
      <c r="T116" s="166"/>
      <c r="U116" s="166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</row>
    <row r="117" spans="1:256" hidden="1">
      <c r="A117" s="824"/>
      <c r="B117" s="827"/>
      <c r="C117" s="157" t="s">
        <v>1</v>
      </c>
      <c r="D117" s="158">
        <f>E117+M117</f>
        <v>0</v>
      </c>
      <c r="E117" s="159">
        <f>F117+I117+J117+K117+L117</f>
        <v>0</v>
      </c>
      <c r="F117" s="159">
        <f>G117+H117</f>
        <v>0</v>
      </c>
      <c r="G117" s="159"/>
      <c r="H117" s="159"/>
      <c r="I117" s="159"/>
      <c r="J117" s="159"/>
      <c r="K117" s="159"/>
      <c r="L117" s="159"/>
      <c r="M117" s="159">
        <f>N117+P117</f>
        <v>0</v>
      </c>
      <c r="N117" s="159"/>
      <c r="O117" s="159"/>
      <c r="P117" s="159"/>
      <c r="Q117" s="166"/>
      <c r="R117" s="166"/>
      <c r="S117" s="166"/>
      <c r="T117" s="166"/>
      <c r="U117" s="16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</row>
    <row r="118" spans="1:256" hidden="1">
      <c r="A118" s="825"/>
      <c r="B118" s="828"/>
      <c r="C118" s="157" t="s">
        <v>2</v>
      </c>
      <c r="D118" s="158">
        <f>D117+D116</f>
        <v>7579635</v>
      </c>
      <c r="E118" s="159">
        <f t="shared" ref="E118:P118" si="52">E117+E116</f>
        <v>7579635</v>
      </c>
      <c r="F118" s="159">
        <f t="shared" si="52"/>
        <v>7571635</v>
      </c>
      <c r="G118" s="159">
        <f t="shared" si="52"/>
        <v>6549295</v>
      </c>
      <c r="H118" s="159">
        <f t="shared" si="52"/>
        <v>1022340</v>
      </c>
      <c r="I118" s="159">
        <f t="shared" si="52"/>
        <v>0</v>
      </c>
      <c r="J118" s="159">
        <f t="shared" si="52"/>
        <v>8000</v>
      </c>
      <c r="K118" s="159">
        <f t="shared" si="52"/>
        <v>0</v>
      </c>
      <c r="L118" s="159">
        <f t="shared" si="52"/>
        <v>0</v>
      </c>
      <c r="M118" s="159">
        <f t="shared" si="52"/>
        <v>0</v>
      </c>
      <c r="N118" s="159">
        <f t="shared" si="52"/>
        <v>0</v>
      </c>
      <c r="O118" s="159">
        <f t="shared" si="52"/>
        <v>0</v>
      </c>
      <c r="P118" s="159">
        <f t="shared" si="52"/>
        <v>0</v>
      </c>
      <c r="Q118" s="166"/>
      <c r="R118" s="166"/>
      <c r="S118" s="166"/>
      <c r="T118" s="166"/>
      <c r="U118" s="166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</row>
    <row r="119" spans="1:256" hidden="1">
      <c r="A119" s="823" t="s">
        <v>192</v>
      </c>
      <c r="B119" s="826" t="s">
        <v>193</v>
      </c>
      <c r="C119" s="157" t="s">
        <v>0</v>
      </c>
      <c r="D119" s="158">
        <f>E119+M119</f>
        <v>55000</v>
      </c>
      <c r="E119" s="159">
        <f>F119+I119+J119+K119+L119</f>
        <v>55000</v>
      </c>
      <c r="F119" s="159">
        <f>G119+H119</f>
        <v>55000</v>
      </c>
      <c r="G119" s="159">
        <v>10000</v>
      </c>
      <c r="H119" s="159">
        <f>500+3000+11500+10000+20000</f>
        <v>45000</v>
      </c>
      <c r="I119" s="159">
        <v>0</v>
      </c>
      <c r="J119" s="159">
        <v>0</v>
      </c>
      <c r="K119" s="159">
        <v>0</v>
      </c>
      <c r="L119" s="159">
        <v>0</v>
      </c>
      <c r="M119" s="159">
        <f>N119+P119</f>
        <v>0</v>
      </c>
      <c r="N119" s="159">
        <v>0</v>
      </c>
      <c r="O119" s="159">
        <v>0</v>
      </c>
      <c r="P119" s="159">
        <v>0</v>
      </c>
      <c r="Q119" s="166"/>
      <c r="R119" s="166"/>
      <c r="S119" s="166"/>
      <c r="T119" s="166"/>
      <c r="U119" s="166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</row>
    <row r="120" spans="1:256" hidden="1">
      <c r="A120" s="824"/>
      <c r="B120" s="827"/>
      <c r="C120" s="157" t="s">
        <v>1</v>
      </c>
      <c r="D120" s="158">
        <f>E120+M120</f>
        <v>0</v>
      </c>
      <c r="E120" s="159">
        <f>F120+I120+J120+K120+L120</f>
        <v>0</v>
      </c>
      <c r="F120" s="159">
        <f>G120+H120</f>
        <v>0</v>
      </c>
      <c r="G120" s="159"/>
      <c r="H120" s="159"/>
      <c r="I120" s="159"/>
      <c r="J120" s="159"/>
      <c r="K120" s="159"/>
      <c r="L120" s="159"/>
      <c r="M120" s="159">
        <f>N120+P120</f>
        <v>0</v>
      </c>
      <c r="N120" s="159"/>
      <c r="O120" s="159"/>
      <c r="P120" s="159"/>
      <c r="Q120" s="166"/>
      <c r="R120" s="166"/>
      <c r="S120" s="166"/>
      <c r="T120" s="166"/>
      <c r="U120" s="166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</row>
    <row r="121" spans="1:256" hidden="1">
      <c r="A121" s="825"/>
      <c r="B121" s="828"/>
      <c r="C121" s="157" t="s">
        <v>2</v>
      </c>
      <c r="D121" s="158">
        <f>D120+D119</f>
        <v>55000</v>
      </c>
      <c r="E121" s="159">
        <f t="shared" ref="E121:P121" si="53">E120+E119</f>
        <v>55000</v>
      </c>
      <c r="F121" s="159">
        <f t="shared" si="53"/>
        <v>55000</v>
      </c>
      <c r="G121" s="159">
        <f t="shared" si="53"/>
        <v>10000</v>
      </c>
      <c r="H121" s="159">
        <f t="shared" si="53"/>
        <v>45000</v>
      </c>
      <c r="I121" s="159">
        <f t="shared" si="53"/>
        <v>0</v>
      </c>
      <c r="J121" s="159">
        <f t="shared" si="53"/>
        <v>0</v>
      </c>
      <c r="K121" s="159">
        <f t="shared" si="53"/>
        <v>0</v>
      </c>
      <c r="L121" s="159">
        <f t="shared" si="53"/>
        <v>0</v>
      </c>
      <c r="M121" s="159">
        <f t="shared" si="53"/>
        <v>0</v>
      </c>
      <c r="N121" s="159">
        <f t="shared" si="53"/>
        <v>0</v>
      </c>
      <c r="O121" s="159">
        <f t="shared" si="53"/>
        <v>0</v>
      </c>
      <c r="P121" s="159">
        <f t="shared" si="53"/>
        <v>0</v>
      </c>
      <c r="Q121" s="166"/>
      <c r="R121" s="166"/>
      <c r="S121" s="166"/>
      <c r="T121" s="166"/>
      <c r="U121" s="166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</row>
    <row r="122" spans="1:256" hidden="1">
      <c r="A122" s="823" t="s">
        <v>194</v>
      </c>
      <c r="B122" s="826" t="s">
        <v>195</v>
      </c>
      <c r="C122" s="157" t="s">
        <v>0</v>
      </c>
      <c r="D122" s="158">
        <f>E122+M122</f>
        <v>237000</v>
      </c>
      <c r="E122" s="159">
        <f>F122+I122+J122+K122+L122</f>
        <v>237000</v>
      </c>
      <c r="F122" s="159">
        <f>G122+H122</f>
        <v>237000</v>
      </c>
      <c r="G122" s="159">
        <v>0</v>
      </c>
      <c r="H122" s="159">
        <v>237000</v>
      </c>
      <c r="I122" s="159">
        <v>0</v>
      </c>
      <c r="J122" s="159">
        <v>0</v>
      </c>
      <c r="K122" s="159">
        <v>0</v>
      </c>
      <c r="L122" s="159">
        <v>0</v>
      </c>
      <c r="M122" s="159">
        <f>N122+P122</f>
        <v>0</v>
      </c>
      <c r="N122" s="159">
        <v>0</v>
      </c>
      <c r="O122" s="159">
        <v>0</v>
      </c>
      <c r="P122" s="159">
        <v>0</v>
      </c>
      <c r="Q122" s="166"/>
      <c r="R122" s="166"/>
      <c r="S122" s="166"/>
      <c r="T122" s="166"/>
      <c r="U122" s="166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</row>
    <row r="123" spans="1:256" hidden="1">
      <c r="A123" s="824"/>
      <c r="B123" s="827"/>
      <c r="C123" s="157" t="s">
        <v>1</v>
      </c>
      <c r="D123" s="158">
        <f>E123+M123</f>
        <v>0</v>
      </c>
      <c r="E123" s="159">
        <f>F123+I123+J123+K123+L123</f>
        <v>0</v>
      </c>
      <c r="F123" s="159">
        <f>G123+H123</f>
        <v>0</v>
      </c>
      <c r="G123" s="159"/>
      <c r="H123" s="159"/>
      <c r="I123" s="159"/>
      <c r="J123" s="159"/>
      <c r="K123" s="159"/>
      <c r="L123" s="159"/>
      <c r="M123" s="159">
        <f>N123+P123</f>
        <v>0</v>
      </c>
      <c r="N123" s="159"/>
      <c r="O123" s="159"/>
      <c r="P123" s="159"/>
      <c r="Q123" s="166"/>
      <c r="R123" s="166"/>
      <c r="S123" s="166"/>
      <c r="T123" s="166"/>
      <c r="U123" s="166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</row>
    <row r="124" spans="1:256" hidden="1">
      <c r="A124" s="825"/>
      <c r="B124" s="828"/>
      <c r="C124" s="157" t="s">
        <v>2</v>
      </c>
      <c r="D124" s="158">
        <f>D123+D122</f>
        <v>237000</v>
      </c>
      <c r="E124" s="159">
        <f t="shared" ref="E124:P124" si="54">E123+E122</f>
        <v>237000</v>
      </c>
      <c r="F124" s="159">
        <f t="shared" si="54"/>
        <v>237000</v>
      </c>
      <c r="G124" s="159">
        <f t="shared" si="54"/>
        <v>0</v>
      </c>
      <c r="H124" s="159">
        <f t="shared" si="54"/>
        <v>237000</v>
      </c>
      <c r="I124" s="159">
        <f t="shared" si="54"/>
        <v>0</v>
      </c>
      <c r="J124" s="159">
        <f t="shared" si="54"/>
        <v>0</v>
      </c>
      <c r="K124" s="159">
        <f t="shared" si="54"/>
        <v>0</v>
      </c>
      <c r="L124" s="159">
        <f t="shared" si="54"/>
        <v>0</v>
      </c>
      <c r="M124" s="159">
        <f t="shared" si="54"/>
        <v>0</v>
      </c>
      <c r="N124" s="159">
        <f t="shared" si="54"/>
        <v>0</v>
      </c>
      <c r="O124" s="159">
        <f t="shared" si="54"/>
        <v>0</v>
      </c>
      <c r="P124" s="159">
        <f t="shared" si="54"/>
        <v>0</v>
      </c>
      <c r="Q124" s="166"/>
      <c r="R124" s="166"/>
      <c r="S124" s="166"/>
      <c r="T124" s="166"/>
      <c r="U124" s="166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</row>
    <row r="125" spans="1:256" ht="15">
      <c r="A125" s="835" t="s">
        <v>51</v>
      </c>
      <c r="B125" s="838" t="s">
        <v>52</v>
      </c>
      <c r="C125" s="161" t="s">
        <v>0</v>
      </c>
      <c r="D125" s="162">
        <f t="shared" ref="D125:P126" si="55">D128</f>
        <v>23610231</v>
      </c>
      <c r="E125" s="163">
        <f t="shared" si="55"/>
        <v>1312814</v>
      </c>
      <c r="F125" s="163">
        <f t="shared" si="55"/>
        <v>700000</v>
      </c>
      <c r="G125" s="163">
        <f t="shared" si="55"/>
        <v>100000</v>
      </c>
      <c r="H125" s="163">
        <f t="shared" si="55"/>
        <v>600000</v>
      </c>
      <c r="I125" s="163">
        <f t="shared" si="55"/>
        <v>0</v>
      </c>
      <c r="J125" s="163">
        <f t="shared" si="55"/>
        <v>0</v>
      </c>
      <c r="K125" s="163">
        <f t="shared" si="55"/>
        <v>612814</v>
      </c>
      <c r="L125" s="163">
        <f t="shared" si="55"/>
        <v>0</v>
      </c>
      <c r="M125" s="163">
        <f t="shared" si="55"/>
        <v>22297417</v>
      </c>
      <c r="N125" s="163">
        <f t="shared" si="55"/>
        <v>22297417</v>
      </c>
      <c r="O125" s="163">
        <f t="shared" si="55"/>
        <v>22080139</v>
      </c>
      <c r="P125" s="163">
        <f t="shared" si="55"/>
        <v>0</v>
      </c>
      <c r="Q125" s="171"/>
      <c r="R125" s="171"/>
      <c r="S125" s="171"/>
      <c r="T125" s="171"/>
      <c r="U125" s="171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  <c r="DZ125" s="172"/>
      <c r="EA125" s="172"/>
      <c r="EB125" s="172"/>
      <c r="EC125" s="172"/>
      <c r="ED125" s="172"/>
      <c r="EE125" s="172"/>
      <c r="EF125" s="172"/>
      <c r="EG125" s="172"/>
      <c r="EH125" s="172"/>
      <c r="EI125" s="172"/>
      <c r="EJ125" s="172"/>
      <c r="EK125" s="172"/>
      <c r="EL125" s="172"/>
      <c r="EM125" s="172"/>
      <c r="EN125" s="172"/>
      <c r="EO125" s="172"/>
      <c r="EP125" s="172"/>
      <c r="EQ125" s="172"/>
      <c r="ER125" s="172"/>
      <c r="ES125" s="172"/>
      <c r="ET125" s="172"/>
      <c r="EU125" s="172"/>
      <c r="EV125" s="172"/>
      <c r="EW125" s="172"/>
      <c r="EX125" s="172"/>
      <c r="EY125" s="172"/>
      <c r="EZ125" s="172"/>
      <c r="FA125" s="172"/>
      <c r="FB125" s="172"/>
      <c r="FC125" s="172"/>
      <c r="FD125" s="172"/>
      <c r="FE125" s="172"/>
      <c r="FF125" s="172"/>
      <c r="FG125" s="172"/>
      <c r="FH125" s="172"/>
      <c r="FI125" s="172"/>
      <c r="FJ125" s="172"/>
      <c r="FK125" s="172"/>
      <c r="FL125" s="172"/>
      <c r="FM125" s="172"/>
      <c r="FN125" s="172"/>
      <c r="FO125" s="172"/>
      <c r="FP125" s="172"/>
      <c r="FQ125" s="172"/>
      <c r="FR125" s="172"/>
      <c r="FS125" s="172"/>
      <c r="FT125" s="172"/>
      <c r="FU125" s="172"/>
      <c r="FV125" s="172"/>
      <c r="FW125" s="172"/>
      <c r="FX125" s="172"/>
      <c r="FY125" s="172"/>
      <c r="FZ125" s="172"/>
      <c r="GA125" s="172"/>
      <c r="GB125" s="172"/>
      <c r="GC125" s="172"/>
      <c r="GD125" s="172"/>
      <c r="GE125" s="172"/>
      <c r="GF125" s="172"/>
      <c r="GG125" s="172"/>
      <c r="GH125" s="172"/>
      <c r="GI125" s="172"/>
      <c r="GJ125" s="172"/>
      <c r="GK125" s="172"/>
      <c r="GL125" s="172"/>
      <c r="GM125" s="172"/>
      <c r="GN125" s="172"/>
      <c r="GO125" s="172"/>
      <c r="GP125" s="172"/>
      <c r="GQ125" s="172"/>
      <c r="GR125" s="172"/>
      <c r="GS125" s="172"/>
      <c r="GT125" s="172"/>
      <c r="GU125" s="172"/>
      <c r="GV125" s="172"/>
      <c r="GW125" s="172"/>
      <c r="GX125" s="172"/>
      <c r="GY125" s="172"/>
      <c r="GZ125" s="172"/>
      <c r="HA125" s="172"/>
      <c r="HB125" s="172"/>
      <c r="HC125" s="172"/>
      <c r="HD125" s="172"/>
      <c r="HE125" s="172"/>
      <c r="HF125" s="172"/>
      <c r="HG125" s="172"/>
      <c r="HH125" s="172"/>
      <c r="HI125" s="172"/>
      <c r="HJ125" s="172"/>
      <c r="HK125" s="172"/>
      <c r="HL125" s="172"/>
      <c r="HM125" s="172"/>
      <c r="HN125" s="172"/>
      <c r="HO125" s="172"/>
      <c r="HP125" s="172"/>
      <c r="HQ125" s="172"/>
      <c r="HR125" s="172"/>
      <c r="HS125" s="172"/>
      <c r="HT125" s="172"/>
      <c r="HU125" s="172"/>
      <c r="HV125" s="172"/>
      <c r="HW125" s="172"/>
      <c r="HX125" s="172"/>
      <c r="HY125" s="172"/>
      <c r="HZ125" s="172"/>
      <c r="IA125" s="172"/>
      <c r="IB125" s="172"/>
      <c r="IC125" s="172"/>
      <c r="ID125" s="172"/>
      <c r="IE125" s="172"/>
      <c r="IF125" s="172"/>
      <c r="IG125" s="172"/>
      <c r="IH125" s="172"/>
      <c r="II125" s="172"/>
      <c r="IJ125" s="172"/>
      <c r="IK125" s="172"/>
      <c r="IL125" s="172"/>
      <c r="IM125" s="172"/>
      <c r="IN125" s="172"/>
      <c r="IO125" s="172"/>
      <c r="IP125" s="172"/>
      <c r="IQ125" s="172"/>
      <c r="IR125" s="172"/>
      <c r="IS125" s="172"/>
      <c r="IT125" s="172"/>
      <c r="IU125" s="172"/>
      <c r="IV125" s="172"/>
    </row>
    <row r="126" spans="1:256" ht="15">
      <c r="A126" s="836"/>
      <c r="B126" s="839"/>
      <c r="C126" s="161" t="s">
        <v>1</v>
      </c>
      <c r="D126" s="162">
        <f t="shared" si="55"/>
        <v>50000</v>
      </c>
      <c r="E126" s="163">
        <f t="shared" si="55"/>
        <v>50000</v>
      </c>
      <c r="F126" s="163">
        <f t="shared" si="55"/>
        <v>50000</v>
      </c>
      <c r="G126" s="163">
        <f t="shared" si="55"/>
        <v>0</v>
      </c>
      <c r="H126" s="163">
        <f t="shared" si="55"/>
        <v>50000</v>
      </c>
      <c r="I126" s="163">
        <f t="shared" si="55"/>
        <v>0</v>
      </c>
      <c r="J126" s="163">
        <f t="shared" si="55"/>
        <v>0</v>
      </c>
      <c r="K126" s="163">
        <f t="shared" si="55"/>
        <v>0</v>
      </c>
      <c r="L126" s="163">
        <f t="shared" si="55"/>
        <v>0</v>
      </c>
      <c r="M126" s="163">
        <f t="shared" si="55"/>
        <v>0</v>
      </c>
      <c r="N126" s="163">
        <f t="shared" si="55"/>
        <v>0</v>
      </c>
      <c r="O126" s="163">
        <f t="shared" si="55"/>
        <v>0</v>
      </c>
      <c r="P126" s="163">
        <f t="shared" si="55"/>
        <v>0</v>
      </c>
      <c r="Q126" s="171"/>
      <c r="R126" s="171"/>
      <c r="S126" s="171"/>
      <c r="T126" s="171"/>
      <c r="U126" s="171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  <c r="DZ126" s="172"/>
      <c r="EA126" s="172"/>
      <c r="EB126" s="172"/>
      <c r="EC126" s="172"/>
      <c r="ED126" s="172"/>
      <c r="EE126" s="172"/>
      <c r="EF126" s="172"/>
      <c r="EG126" s="172"/>
      <c r="EH126" s="172"/>
      <c r="EI126" s="172"/>
      <c r="EJ126" s="172"/>
      <c r="EK126" s="172"/>
      <c r="EL126" s="172"/>
      <c r="EM126" s="172"/>
      <c r="EN126" s="172"/>
      <c r="EO126" s="172"/>
      <c r="EP126" s="172"/>
      <c r="EQ126" s="172"/>
      <c r="ER126" s="172"/>
      <c r="ES126" s="172"/>
      <c r="ET126" s="172"/>
      <c r="EU126" s="172"/>
      <c r="EV126" s="172"/>
      <c r="EW126" s="172"/>
      <c r="EX126" s="172"/>
      <c r="EY126" s="172"/>
      <c r="EZ126" s="172"/>
      <c r="FA126" s="172"/>
      <c r="FB126" s="172"/>
      <c r="FC126" s="172"/>
      <c r="FD126" s="172"/>
      <c r="FE126" s="172"/>
      <c r="FF126" s="172"/>
      <c r="FG126" s="172"/>
      <c r="FH126" s="172"/>
      <c r="FI126" s="172"/>
      <c r="FJ126" s="172"/>
      <c r="FK126" s="172"/>
      <c r="FL126" s="172"/>
      <c r="FM126" s="172"/>
      <c r="FN126" s="172"/>
      <c r="FO126" s="172"/>
      <c r="FP126" s="172"/>
      <c r="FQ126" s="172"/>
      <c r="FR126" s="172"/>
      <c r="FS126" s="172"/>
      <c r="FT126" s="172"/>
      <c r="FU126" s="172"/>
      <c r="FV126" s="172"/>
      <c r="FW126" s="172"/>
      <c r="FX126" s="172"/>
      <c r="FY126" s="172"/>
      <c r="FZ126" s="172"/>
      <c r="GA126" s="172"/>
      <c r="GB126" s="172"/>
      <c r="GC126" s="172"/>
      <c r="GD126" s="172"/>
      <c r="GE126" s="172"/>
      <c r="GF126" s="172"/>
      <c r="GG126" s="172"/>
      <c r="GH126" s="172"/>
      <c r="GI126" s="172"/>
      <c r="GJ126" s="172"/>
      <c r="GK126" s="172"/>
      <c r="GL126" s="172"/>
      <c r="GM126" s="172"/>
      <c r="GN126" s="172"/>
      <c r="GO126" s="172"/>
      <c r="GP126" s="172"/>
      <c r="GQ126" s="172"/>
      <c r="GR126" s="172"/>
      <c r="GS126" s="172"/>
      <c r="GT126" s="172"/>
      <c r="GU126" s="172"/>
      <c r="GV126" s="172"/>
      <c r="GW126" s="172"/>
      <c r="GX126" s="172"/>
      <c r="GY126" s="172"/>
      <c r="GZ126" s="172"/>
      <c r="HA126" s="172"/>
      <c r="HB126" s="172"/>
      <c r="HC126" s="172"/>
      <c r="HD126" s="172"/>
      <c r="HE126" s="172"/>
      <c r="HF126" s="172"/>
      <c r="HG126" s="172"/>
      <c r="HH126" s="172"/>
      <c r="HI126" s="172"/>
      <c r="HJ126" s="172"/>
      <c r="HK126" s="172"/>
      <c r="HL126" s="172"/>
      <c r="HM126" s="172"/>
      <c r="HN126" s="172"/>
      <c r="HO126" s="172"/>
      <c r="HP126" s="172"/>
      <c r="HQ126" s="172"/>
      <c r="HR126" s="172"/>
      <c r="HS126" s="172"/>
      <c r="HT126" s="172"/>
      <c r="HU126" s="172"/>
      <c r="HV126" s="172"/>
      <c r="HW126" s="172"/>
      <c r="HX126" s="172"/>
      <c r="HY126" s="172"/>
      <c r="HZ126" s="172"/>
      <c r="IA126" s="172"/>
      <c r="IB126" s="172"/>
      <c r="IC126" s="172"/>
      <c r="ID126" s="172"/>
      <c r="IE126" s="172"/>
      <c r="IF126" s="172"/>
      <c r="IG126" s="172"/>
      <c r="IH126" s="172"/>
      <c r="II126" s="172"/>
      <c r="IJ126" s="172"/>
      <c r="IK126" s="172"/>
      <c r="IL126" s="172"/>
      <c r="IM126" s="172"/>
      <c r="IN126" s="172"/>
      <c r="IO126" s="172"/>
      <c r="IP126" s="172"/>
      <c r="IQ126" s="172"/>
      <c r="IR126" s="172"/>
      <c r="IS126" s="172"/>
      <c r="IT126" s="172"/>
      <c r="IU126" s="172"/>
      <c r="IV126" s="172"/>
    </row>
    <row r="127" spans="1:256" ht="15">
      <c r="A127" s="837"/>
      <c r="B127" s="840"/>
      <c r="C127" s="161" t="s">
        <v>2</v>
      </c>
      <c r="D127" s="162">
        <f>D126+D125</f>
        <v>23660231</v>
      </c>
      <c r="E127" s="163">
        <f t="shared" ref="E127:P127" si="56">E126+E125</f>
        <v>1362814</v>
      </c>
      <c r="F127" s="163">
        <f t="shared" si="56"/>
        <v>750000</v>
      </c>
      <c r="G127" s="163">
        <f t="shared" si="56"/>
        <v>100000</v>
      </c>
      <c r="H127" s="163">
        <f t="shared" si="56"/>
        <v>650000</v>
      </c>
      <c r="I127" s="163">
        <f t="shared" si="56"/>
        <v>0</v>
      </c>
      <c r="J127" s="163">
        <f t="shared" si="56"/>
        <v>0</v>
      </c>
      <c r="K127" s="163">
        <f t="shared" si="56"/>
        <v>612814</v>
      </c>
      <c r="L127" s="163">
        <f t="shared" si="56"/>
        <v>0</v>
      </c>
      <c r="M127" s="163">
        <f t="shared" si="56"/>
        <v>22297417</v>
      </c>
      <c r="N127" s="163">
        <f t="shared" si="56"/>
        <v>22297417</v>
      </c>
      <c r="O127" s="163">
        <f t="shared" si="56"/>
        <v>22080139</v>
      </c>
      <c r="P127" s="163">
        <f t="shared" si="56"/>
        <v>0</v>
      </c>
      <c r="Q127" s="171"/>
      <c r="R127" s="171"/>
      <c r="S127" s="171"/>
      <c r="T127" s="171"/>
      <c r="U127" s="171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  <c r="DZ127" s="172"/>
      <c r="EA127" s="172"/>
      <c r="EB127" s="172"/>
      <c r="EC127" s="172"/>
      <c r="ED127" s="172"/>
      <c r="EE127" s="172"/>
      <c r="EF127" s="172"/>
      <c r="EG127" s="172"/>
      <c r="EH127" s="172"/>
      <c r="EI127" s="172"/>
      <c r="EJ127" s="172"/>
      <c r="EK127" s="172"/>
      <c r="EL127" s="172"/>
      <c r="EM127" s="172"/>
      <c r="EN127" s="172"/>
      <c r="EO127" s="172"/>
      <c r="EP127" s="172"/>
      <c r="EQ127" s="172"/>
      <c r="ER127" s="172"/>
      <c r="ES127" s="172"/>
      <c r="ET127" s="172"/>
      <c r="EU127" s="172"/>
      <c r="EV127" s="172"/>
      <c r="EW127" s="172"/>
      <c r="EX127" s="172"/>
      <c r="EY127" s="172"/>
      <c r="EZ127" s="172"/>
      <c r="FA127" s="172"/>
      <c r="FB127" s="172"/>
      <c r="FC127" s="172"/>
      <c r="FD127" s="172"/>
      <c r="FE127" s="172"/>
      <c r="FF127" s="172"/>
      <c r="FG127" s="172"/>
      <c r="FH127" s="172"/>
      <c r="FI127" s="172"/>
      <c r="FJ127" s="172"/>
      <c r="FK127" s="172"/>
      <c r="FL127" s="172"/>
      <c r="FM127" s="172"/>
      <c r="FN127" s="172"/>
      <c r="FO127" s="172"/>
      <c r="FP127" s="172"/>
      <c r="FQ127" s="172"/>
      <c r="FR127" s="172"/>
      <c r="FS127" s="172"/>
      <c r="FT127" s="172"/>
      <c r="FU127" s="172"/>
      <c r="FV127" s="172"/>
      <c r="FW127" s="172"/>
      <c r="FX127" s="172"/>
      <c r="FY127" s="172"/>
      <c r="FZ127" s="172"/>
      <c r="GA127" s="172"/>
      <c r="GB127" s="172"/>
      <c r="GC127" s="172"/>
      <c r="GD127" s="172"/>
      <c r="GE127" s="172"/>
      <c r="GF127" s="172"/>
      <c r="GG127" s="172"/>
      <c r="GH127" s="172"/>
      <c r="GI127" s="172"/>
      <c r="GJ127" s="172"/>
      <c r="GK127" s="172"/>
      <c r="GL127" s="172"/>
      <c r="GM127" s="172"/>
      <c r="GN127" s="172"/>
      <c r="GO127" s="172"/>
      <c r="GP127" s="172"/>
      <c r="GQ127" s="172"/>
      <c r="GR127" s="172"/>
      <c r="GS127" s="172"/>
      <c r="GT127" s="172"/>
      <c r="GU127" s="172"/>
      <c r="GV127" s="172"/>
      <c r="GW127" s="172"/>
      <c r="GX127" s="172"/>
      <c r="GY127" s="172"/>
      <c r="GZ127" s="172"/>
      <c r="HA127" s="172"/>
      <c r="HB127" s="172"/>
      <c r="HC127" s="172"/>
      <c r="HD127" s="172"/>
      <c r="HE127" s="172"/>
      <c r="HF127" s="172"/>
      <c r="HG127" s="172"/>
      <c r="HH127" s="172"/>
      <c r="HI127" s="172"/>
      <c r="HJ127" s="172"/>
      <c r="HK127" s="172"/>
      <c r="HL127" s="172"/>
      <c r="HM127" s="172"/>
      <c r="HN127" s="172"/>
      <c r="HO127" s="172"/>
      <c r="HP127" s="172"/>
      <c r="HQ127" s="172"/>
      <c r="HR127" s="172"/>
      <c r="HS127" s="172"/>
      <c r="HT127" s="172"/>
      <c r="HU127" s="172"/>
      <c r="HV127" s="172"/>
      <c r="HW127" s="172"/>
      <c r="HX127" s="172"/>
      <c r="HY127" s="172"/>
      <c r="HZ127" s="172"/>
      <c r="IA127" s="172"/>
      <c r="IB127" s="172"/>
      <c r="IC127" s="172"/>
      <c r="ID127" s="172"/>
      <c r="IE127" s="172"/>
      <c r="IF127" s="172"/>
      <c r="IG127" s="172"/>
      <c r="IH127" s="172"/>
      <c r="II127" s="172"/>
      <c r="IJ127" s="172"/>
      <c r="IK127" s="172"/>
      <c r="IL127" s="172"/>
      <c r="IM127" s="172"/>
      <c r="IN127" s="172"/>
      <c r="IO127" s="172"/>
      <c r="IP127" s="172"/>
      <c r="IQ127" s="172"/>
      <c r="IR127" s="172"/>
      <c r="IS127" s="172"/>
      <c r="IT127" s="172"/>
      <c r="IU127" s="172"/>
      <c r="IV127" s="172"/>
    </row>
    <row r="128" spans="1:256">
      <c r="A128" s="823" t="s">
        <v>196</v>
      </c>
      <c r="B128" s="826" t="s">
        <v>103</v>
      </c>
      <c r="C128" s="157" t="s">
        <v>0</v>
      </c>
      <c r="D128" s="158">
        <f>E128+M128</f>
        <v>23610231</v>
      </c>
      <c r="E128" s="159">
        <f>F128+I128+J128+K128+L128</f>
        <v>1312814</v>
      </c>
      <c r="F128" s="159">
        <f>G128+H128</f>
        <v>700000</v>
      </c>
      <c r="G128" s="159">
        <v>100000</v>
      </c>
      <c r="H128" s="159">
        <f>917278-100000-217278</f>
        <v>600000</v>
      </c>
      <c r="I128" s="159">
        <v>0</v>
      </c>
      <c r="J128" s="159">
        <v>0</v>
      </c>
      <c r="K128" s="159">
        <f>20421060-7083541-5269635-2361992-5185000+2271893-1250036-929935</f>
        <v>612814</v>
      </c>
      <c r="L128" s="159">
        <v>0</v>
      </c>
      <c r="M128" s="159">
        <f>N128+P128</f>
        <v>22297417</v>
      </c>
      <c r="N128" s="159">
        <v>22297417</v>
      </c>
      <c r="O128" s="159">
        <f>7083541+1250036+5269635+929935+2361992+5185000</f>
        <v>22080139</v>
      </c>
      <c r="P128" s="159">
        <v>0</v>
      </c>
      <c r="Q128" s="166"/>
      <c r="R128" s="166"/>
      <c r="S128" s="166"/>
      <c r="T128" s="166"/>
      <c r="U128" s="166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</row>
    <row r="129" spans="1:256">
      <c r="A129" s="824"/>
      <c r="B129" s="827"/>
      <c r="C129" s="157" t="s">
        <v>1</v>
      </c>
      <c r="D129" s="158">
        <f>E129+M129</f>
        <v>50000</v>
      </c>
      <c r="E129" s="159">
        <f>F129+I129+J129+K129+L129</f>
        <v>50000</v>
      </c>
      <c r="F129" s="159">
        <f>G129+H129</f>
        <v>50000</v>
      </c>
      <c r="G129" s="159"/>
      <c r="H129" s="159">
        <v>50000</v>
      </c>
      <c r="I129" s="159"/>
      <c r="J129" s="159"/>
      <c r="K129" s="159"/>
      <c r="L129" s="159"/>
      <c r="M129" s="159">
        <f>N129+P129</f>
        <v>0</v>
      </c>
      <c r="N129" s="159"/>
      <c r="O129" s="159"/>
      <c r="P129" s="159"/>
      <c r="Q129" s="166"/>
      <c r="R129" s="166"/>
      <c r="S129" s="166"/>
      <c r="T129" s="166"/>
      <c r="U129" s="166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</row>
    <row r="130" spans="1:256">
      <c r="A130" s="825"/>
      <c r="B130" s="828"/>
      <c r="C130" s="157" t="s">
        <v>2</v>
      </c>
      <c r="D130" s="158">
        <f>D129+D128</f>
        <v>23660231</v>
      </c>
      <c r="E130" s="159">
        <f t="shared" ref="E130:P130" si="57">E129+E128</f>
        <v>1362814</v>
      </c>
      <c r="F130" s="159">
        <f t="shared" si="57"/>
        <v>750000</v>
      </c>
      <c r="G130" s="159">
        <f t="shared" si="57"/>
        <v>100000</v>
      </c>
      <c r="H130" s="159">
        <f t="shared" si="57"/>
        <v>650000</v>
      </c>
      <c r="I130" s="159">
        <f t="shared" si="57"/>
        <v>0</v>
      </c>
      <c r="J130" s="159">
        <f t="shared" si="57"/>
        <v>0</v>
      </c>
      <c r="K130" s="159">
        <f t="shared" si="57"/>
        <v>612814</v>
      </c>
      <c r="L130" s="159">
        <f t="shared" si="57"/>
        <v>0</v>
      </c>
      <c r="M130" s="159">
        <f t="shared" si="57"/>
        <v>22297417</v>
      </c>
      <c r="N130" s="159">
        <f t="shared" si="57"/>
        <v>22297417</v>
      </c>
      <c r="O130" s="159">
        <f t="shared" si="57"/>
        <v>22080139</v>
      </c>
      <c r="P130" s="159">
        <f t="shared" si="57"/>
        <v>0</v>
      </c>
      <c r="Q130" s="166"/>
      <c r="R130" s="166"/>
      <c r="S130" s="166"/>
      <c r="T130" s="166"/>
      <c r="U130" s="166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</row>
    <row r="131" spans="1:256" ht="15" hidden="1">
      <c r="A131" s="835" t="s">
        <v>197</v>
      </c>
      <c r="B131" s="838" t="s">
        <v>198</v>
      </c>
      <c r="C131" s="161" t="s">
        <v>0</v>
      </c>
      <c r="D131" s="173">
        <f>D134+D137</f>
        <v>870000</v>
      </c>
      <c r="E131" s="163">
        <f t="shared" ref="E131:P132" si="58">E134+E137</f>
        <v>370000</v>
      </c>
      <c r="F131" s="163">
        <f t="shared" si="58"/>
        <v>0</v>
      </c>
      <c r="G131" s="163">
        <f t="shared" si="58"/>
        <v>0</v>
      </c>
      <c r="H131" s="163">
        <f t="shared" si="58"/>
        <v>0</v>
      </c>
      <c r="I131" s="163">
        <f t="shared" si="58"/>
        <v>370000</v>
      </c>
      <c r="J131" s="163">
        <f t="shared" si="58"/>
        <v>0</v>
      </c>
      <c r="K131" s="163">
        <f t="shared" si="58"/>
        <v>0</v>
      </c>
      <c r="L131" s="163">
        <f t="shared" si="58"/>
        <v>0</v>
      </c>
      <c r="M131" s="163">
        <f t="shared" si="58"/>
        <v>500000</v>
      </c>
      <c r="N131" s="163">
        <f t="shared" si="58"/>
        <v>500000</v>
      </c>
      <c r="O131" s="163">
        <f t="shared" si="58"/>
        <v>0</v>
      </c>
      <c r="P131" s="163">
        <f t="shared" si="58"/>
        <v>0</v>
      </c>
      <c r="Q131" s="171"/>
      <c r="R131" s="171"/>
      <c r="S131" s="171"/>
      <c r="T131" s="171"/>
      <c r="U131" s="171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  <c r="DP131" s="172"/>
      <c r="DQ131" s="172"/>
      <c r="DR131" s="172"/>
      <c r="DS131" s="172"/>
      <c r="DT131" s="172"/>
      <c r="DU131" s="172"/>
      <c r="DV131" s="172"/>
      <c r="DW131" s="172"/>
      <c r="DX131" s="172"/>
      <c r="DY131" s="172"/>
      <c r="DZ131" s="172"/>
      <c r="EA131" s="172"/>
      <c r="EB131" s="172"/>
      <c r="EC131" s="172"/>
      <c r="ED131" s="172"/>
      <c r="EE131" s="172"/>
      <c r="EF131" s="172"/>
      <c r="EG131" s="172"/>
      <c r="EH131" s="172"/>
      <c r="EI131" s="172"/>
      <c r="EJ131" s="172"/>
      <c r="EK131" s="172"/>
      <c r="EL131" s="172"/>
      <c r="EM131" s="172"/>
      <c r="EN131" s="172"/>
      <c r="EO131" s="172"/>
      <c r="EP131" s="172"/>
      <c r="EQ131" s="172"/>
      <c r="ER131" s="172"/>
      <c r="ES131" s="172"/>
      <c r="ET131" s="172"/>
      <c r="EU131" s="172"/>
      <c r="EV131" s="172"/>
      <c r="EW131" s="172"/>
      <c r="EX131" s="172"/>
      <c r="EY131" s="172"/>
      <c r="EZ131" s="172"/>
      <c r="FA131" s="172"/>
      <c r="FB131" s="172"/>
      <c r="FC131" s="172"/>
      <c r="FD131" s="172"/>
      <c r="FE131" s="172"/>
      <c r="FF131" s="172"/>
      <c r="FG131" s="172"/>
      <c r="FH131" s="172"/>
      <c r="FI131" s="172"/>
      <c r="FJ131" s="172"/>
      <c r="FK131" s="172"/>
      <c r="FL131" s="172"/>
      <c r="FM131" s="172"/>
      <c r="FN131" s="172"/>
      <c r="FO131" s="172"/>
      <c r="FP131" s="172"/>
      <c r="FQ131" s="172"/>
      <c r="FR131" s="172"/>
      <c r="FS131" s="172"/>
      <c r="FT131" s="172"/>
      <c r="FU131" s="172"/>
      <c r="FV131" s="172"/>
      <c r="FW131" s="172"/>
      <c r="FX131" s="172"/>
      <c r="FY131" s="172"/>
      <c r="FZ131" s="172"/>
      <c r="GA131" s="172"/>
      <c r="GB131" s="172"/>
      <c r="GC131" s="172"/>
      <c r="GD131" s="172"/>
      <c r="GE131" s="172"/>
      <c r="GF131" s="172"/>
      <c r="GG131" s="172"/>
      <c r="GH131" s="172"/>
      <c r="GI131" s="172"/>
      <c r="GJ131" s="172"/>
      <c r="GK131" s="172"/>
      <c r="GL131" s="172"/>
      <c r="GM131" s="172"/>
      <c r="GN131" s="172"/>
      <c r="GO131" s="172"/>
      <c r="GP131" s="172"/>
      <c r="GQ131" s="172"/>
      <c r="GR131" s="172"/>
      <c r="GS131" s="172"/>
      <c r="GT131" s="172"/>
      <c r="GU131" s="172"/>
      <c r="GV131" s="172"/>
      <c r="GW131" s="172"/>
      <c r="GX131" s="172"/>
      <c r="GY131" s="172"/>
      <c r="GZ131" s="172"/>
      <c r="HA131" s="172"/>
      <c r="HB131" s="172"/>
      <c r="HC131" s="172"/>
      <c r="HD131" s="172"/>
      <c r="HE131" s="172"/>
      <c r="HF131" s="172"/>
      <c r="HG131" s="172"/>
      <c r="HH131" s="172"/>
      <c r="HI131" s="172"/>
      <c r="HJ131" s="172"/>
      <c r="HK131" s="172"/>
      <c r="HL131" s="172"/>
      <c r="HM131" s="172"/>
      <c r="HN131" s="172"/>
      <c r="HO131" s="172"/>
      <c r="HP131" s="172"/>
      <c r="HQ131" s="172"/>
      <c r="HR131" s="172"/>
      <c r="HS131" s="172"/>
      <c r="HT131" s="172"/>
      <c r="HU131" s="172"/>
      <c r="HV131" s="172"/>
      <c r="HW131" s="172"/>
      <c r="HX131" s="172"/>
      <c r="HY131" s="172"/>
      <c r="HZ131" s="172"/>
      <c r="IA131" s="172"/>
      <c r="IB131" s="172"/>
      <c r="IC131" s="172"/>
      <c r="ID131" s="172"/>
      <c r="IE131" s="172"/>
      <c r="IF131" s="172"/>
      <c r="IG131" s="172"/>
      <c r="IH131" s="172"/>
      <c r="II131" s="172"/>
      <c r="IJ131" s="172"/>
      <c r="IK131" s="172"/>
      <c r="IL131" s="172"/>
      <c r="IM131" s="172"/>
      <c r="IN131" s="172"/>
      <c r="IO131" s="172"/>
      <c r="IP131" s="172"/>
      <c r="IQ131" s="172"/>
      <c r="IR131" s="172"/>
      <c r="IS131" s="172"/>
      <c r="IT131" s="172"/>
      <c r="IU131" s="172"/>
      <c r="IV131" s="172"/>
    </row>
    <row r="132" spans="1:256" ht="15" hidden="1">
      <c r="A132" s="836"/>
      <c r="B132" s="839"/>
      <c r="C132" s="161" t="s">
        <v>1</v>
      </c>
      <c r="D132" s="173">
        <f>D135+D138</f>
        <v>0</v>
      </c>
      <c r="E132" s="163">
        <f t="shared" si="58"/>
        <v>0</v>
      </c>
      <c r="F132" s="163">
        <f t="shared" si="58"/>
        <v>0</v>
      </c>
      <c r="G132" s="163">
        <f t="shared" si="58"/>
        <v>0</v>
      </c>
      <c r="H132" s="163">
        <f t="shared" si="58"/>
        <v>0</v>
      </c>
      <c r="I132" s="163">
        <f t="shared" si="58"/>
        <v>0</v>
      </c>
      <c r="J132" s="163">
        <f t="shared" si="58"/>
        <v>0</v>
      </c>
      <c r="K132" s="163">
        <f t="shared" si="58"/>
        <v>0</v>
      </c>
      <c r="L132" s="163">
        <f t="shared" si="58"/>
        <v>0</v>
      </c>
      <c r="M132" s="163">
        <f t="shared" si="58"/>
        <v>0</v>
      </c>
      <c r="N132" s="163">
        <f t="shared" si="58"/>
        <v>0</v>
      </c>
      <c r="O132" s="163">
        <f t="shared" si="58"/>
        <v>0</v>
      </c>
      <c r="P132" s="163">
        <f t="shared" si="58"/>
        <v>0</v>
      </c>
      <c r="Q132" s="171"/>
      <c r="R132" s="171"/>
      <c r="S132" s="171"/>
      <c r="T132" s="171"/>
      <c r="U132" s="171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172"/>
      <c r="DS132" s="172"/>
      <c r="DT132" s="172"/>
      <c r="DU132" s="172"/>
      <c r="DV132" s="172"/>
      <c r="DW132" s="172"/>
      <c r="DX132" s="172"/>
      <c r="DY132" s="172"/>
      <c r="DZ132" s="172"/>
      <c r="EA132" s="172"/>
      <c r="EB132" s="172"/>
      <c r="EC132" s="172"/>
      <c r="ED132" s="172"/>
      <c r="EE132" s="172"/>
      <c r="EF132" s="172"/>
      <c r="EG132" s="172"/>
      <c r="EH132" s="172"/>
      <c r="EI132" s="172"/>
      <c r="EJ132" s="172"/>
      <c r="EK132" s="172"/>
      <c r="EL132" s="172"/>
      <c r="EM132" s="172"/>
      <c r="EN132" s="172"/>
      <c r="EO132" s="172"/>
      <c r="EP132" s="172"/>
      <c r="EQ132" s="172"/>
      <c r="ER132" s="172"/>
      <c r="ES132" s="172"/>
      <c r="ET132" s="172"/>
      <c r="EU132" s="172"/>
      <c r="EV132" s="172"/>
      <c r="EW132" s="172"/>
      <c r="EX132" s="172"/>
      <c r="EY132" s="172"/>
      <c r="EZ132" s="172"/>
      <c r="FA132" s="172"/>
      <c r="FB132" s="172"/>
      <c r="FC132" s="172"/>
      <c r="FD132" s="172"/>
      <c r="FE132" s="172"/>
      <c r="FF132" s="172"/>
      <c r="FG132" s="172"/>
      <c r="FH132" s="172"/>
      <c r="FI132" s="172"/>
      <c r="FJ132" s="172"/>
      <c r="FK132" s="172"/>
      <c r="FL132" s="172"/>
      <c r="FM132" s="172"/>
      <c r="FN132" s="172"/>
      <c r="FO132" s="172"/>
      <c r="FP132" s="172"/>
      <c r="FQ132" s="172"/>
      <c r="FR132" s="172"/>
      <c r="FS132" s="172"/>
      <c r="FT132" s="172"/>
      <c r="FU132" s="172"/>
      <c r="FV132" s="172"/>
      <c r="FW132" s="172"/>
      <c r="FX132" s="172"/>
      <c r="FY132" s="172"/>
      <c r="FZ132" s="172"/>
      <c r="GA132" s="172"/>
      <c r="GB132" s="172"/>
      <c r="GC132" s="172"/>
      <c r="GD132" s="172"/>
      <c r="GE132" s="172"/>
      <c r="GF132" s="172"/>
      <c r="GG132" s="172"/>
      <c r="GH132" s="172"/>
      <c r="GI132" s="172"/>
      <c r="GJ132" s="172"/>
      <c r="GK132" s="172"/>
      <c r="GL132" s="172"/>
      <c r="GM132" s="172"/>
      <c r="GN132" s="172"/>
      <c r="GO132" s="172"/>
      <c r="GP132" s="172"/>
      <c r="GQ132" s="172"/>
      <c r="GR132" s="172"/>
      <c r="GS132" s="172"/>
      <c r="GT132" s="172"/>
      <c r="GU132" s="172"/>
      <c r="GV132" s="172"/>
      <c r="GW132" s="172"/>
      <c r="GX132" s="172"/>
      <c r="GY132" s="172"/>
      <c r="GZ132" s="172"/>
      <c r="HA132" s="172"/>
      <c r="HB132" s="172"/>
      <c r="HC132" s="172"/>
      <c r="HD132" s="172"/>
      <c r="HE132" s="172"/>
      <c r="HF132" s="172"/>
      <c r="HG132" s="172"/>
      <c r="HH132" s="172"/>
      <c r="HI132" s="172"/>
      <c r="HJ132" s="172"/>
      <c r="HK132" s="172"/>
      <c r="HL132" s="172"/>
      <c r="HM132" s="172"/>
      <c r="HN132" s="172"/>
      <c r="HO132" s="172"/>
      <c r="HP132" s="172"/>
      <c r="HQ132" s="172"/>
      <c r="HR132" s="172"/>
      <c r="HS132" s="172"/>
      <c r="HT132" s="172"/>
      <c r="HU132" s="172"/>
      <c r="HV132" s="172"/>
      <c r="HW132" s="172"/>
      <c r="HX132" s="172"/>
      <c r="HY132" s="172"/>
      <c r="HZ132" s="172"/>
      <c r="IA132" s="172"/>
      <c r="IB132" s="172"/>
      <c r="IC132" s="172"/>
      <c r="ID132" s="172"/>
      <c r="IE132" s="172"/>
      <c r="IF132" s="172"/>
      <c r="IG132" s="172"/>
      <c r="IH132" s="172"/>
      <c r="II132" s="172"/>
      <c r="IJ132" s="172"/>
      <c r="IK132" s="172"/>
      <c r="IL132" s="172"/>
      <c r="IM132" s="172"/>
      <c r="IN132" s="172"/>
      <c r="IO132" s="172"/>
      <c r="IP132" s="172"/>
      <c r="IQ132" s="172"/>
      <c r="IR132" s="172"/>
      <c r="IS132" s="172"/>
      <c r="IT132" s="172"/>
      <c r="IU132" s="172"/>
      <c r="IV132" s="172"/>
    </row>
    <row r="133" spans="1:256" ht="15" hidden="1">
      <c r="A133" s="837"/>
      <c r="B133" s="840"/>
      <c r="C133" s="161" t="s">
        <v>2</v>
      </c>
      <c r="D133" s="173">
        <f>D132+D131</f>
        <v>870000</v>
      </c>
      <c r="E133" s="163">
        <f t="shared" ref="E133:P133" si="59">E132+E131</f>
        <v>370000</v>
      </c>
      <c r="F133" s="163">
        <f t="shared" si="59"/>
        <v>0</v>
      </c>
      <c r="G133" s="163">
        <f t="shared" si="59"/>
        <v>0</v>
      </c>
      <c r="H133" s="163">
        <f t="shared" si="59"/>
        <v>0</v>
      </c>
      <c r="I133" s="163">
        <f t="shared" si="59"/>
        <v>370000</v>
      </c>
      <c r="J133" s="163">
        <f t="shared" si="59"/>
        <v>0</v>
      </c>
      <c r="K133" s="163">
        <f t="shared" si="59"/>
        <v>0</v>
      </c>
      <c r="L133" s="163">
        <f t="shared" si="59"/>
        <v>0</v>
      </c>
      <c r="M133" s="163">
        <f t="shared" si="59"/>
        <v>500000</v>
      </c>
      <c r="N133" s="163">
        <f t="shared" si="59"/>
        <v>500000</v>
      </c>
      <c r="O133" s="163">
        <f t="shared" si="59"/>
        <v>0</v>
      </c>
      <c r="P133" s="163">
        <f t="shared" si="59"/>
        <v>0</v>
      </c>
      <c r="Q133" s="171"/>
      <c r="R133" s="171"/>
      <c r="S133" s="171"/>
      <c r="T133" s="171"/>
      <c r="U133" s="171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2"/>
      <c r="CQ133" s="172"/>
      <c r="CR133" s="172"/>
      <c r="CS133" s="172"/>
      <c r="CT133" s="172"/>
      <c r="CU133" s="172"/>
      <c r="CV133" s="172"/>
      <c r="CW133" s="172"/>
      <c r="CX133" s="172"/>
      <c r="CY133" s="172"/>
      <c r="CZ133" s="172"/>
      <c r="DA133" s="172"/>
      <c r="DB133" s="172"/>
      <c r="DC133" s="172"/>
      <c r="DD133" s="172"/>
      <c r="DE133" s="172"/>
      <c r="DF133" s="172"/>
      <c r="DG133" s="172"/>
      <c r="DH133" s="172"/>
      <c r="DI133" s="172"/>
      <c r="DJ133" s="172"/>
      <c r="DK133" s="172"/>
      <c r="DL133" s="172"/>
      <c r="DM133" s="172"/>
      <c r="DN133" s="172"/>
      <c r="DO133" s="172"/>
      <c r="DP133" s="172"/>
      <c r="DQ133" s="172"/>
      <c r="DR133" s="172"/>
      <c r="DS133" s="172"/>
      <c r="DT133" s="172"/>
      <c r="DU133" s="172"/>
      <c r="DV133" s="172"/>
      <c r="DW133" s="172"/>
      <c r="DX133" s="172"/>
      <c r="DY133" s="172"/>
      <c r="DZ133" s="172"/>
      <c r="EA133" s="172"/>
      <c r="EB133" s="172"/>
      <c r="EC133" s="172"/>
      <c r="ED133" s="172"/>
      <c r="EE133" s="172"/>
      <c r="EF133" s="172"/>
      <c r="EG133" s="172"/>
      <c r="EH133" s="172"/>
      <c r="EI133" s="172"/>
      <c r="EJ133" s="172"/>
      <c r="EK133" s="172"/>
      <c r="EL133" s="172"/>
      <c r="EM133" s="172"/>
      <c r="EN133" s="172"/>
      <c r="EO133" s="172"/>
      <c r="EP133" s="172"/>
      <c r="EQ133" s="172"/>
      <c r="ER133" s="172"/>
      <c r="ES133" s="172"/>
      <c r="ET133" s="172"/>
      <c r="EU133" s="172"/>
      <c r="EV133" s="172"/>
      <c r="EW133" s="172"/>
      <c r="EX133" s="172"/>
      <c r="EY133" s="172"/>
      <c r="EZ133" s="172"/>
      <c r="FA133" s="172"/>
      <c r="FB133" s="172"/>
      <c r="FC133" s="172"/>
      <c r="FD133" s="172"/>
      <c r="FE133" s="172"/>
      <c r="FF133" s="172"/>
      <c r="FG133" s="172"/>
      <c r="FH133" s="172"/>
      <c r="FI133" s="172"/>
      <c r="FJ133" s="172"/>
      <c r="FK133" s="172"/>
      <c r="FL133" s="172"/>
      <c r="FM133" s="172"/>
      <c r="FN133" s="172"/>
      <c r="FO133" s="172"/>
      <c r="FP133" s="172"/>
      <c r="FQ133" s="172"/>
      <c r="FR133" s="172"/>
      <c r="FS133" s="172"/>
      <c r="FT133" s="172"/>
      <c r="FU133" s="172"/>
      <c r="FV133" s="172"/>
      <c r="FW133" s="172"/>
      <c r="FX133" s="172"/>
      <c r="FY133" s="172"/>
      <c r="FZ133" s="172"/>
      <c r="GA133" s="172"/>
      <c r="GB133" s="172"/>
      <c r="GC133" s="172"/>
      <c r="GD133" s="172"/>
      <c r="GE133" s="172"/>
      <c r="GF133" s="172"/>
      <c r="GG133" s="172"/>
      <c r="GH133" s="172"/>
      <c r="GI133" s="172"/>
      <c r="GJ133" s="172"/>
      <c r="GK133" s="172"/>
      <c r="GL133" s="172"/>
      <c r="GM133" s="172"/>
      <c r="GN133" s="172"/>
      <c r="GO133" s="172"/>
      <c r="GP133" s="172"/>
      <c r="GQ133" s="172"/>
      <c r="GR133" s="172"/>
      <c r="GS133" s="172"/>
      <c r="GT133" s="172"/>
      <c r="GU133" s="172"/>
      <c r="GV133" s="172"/>
      <c r="GW133" s="172"/>
      <c r="GX133" s="172"/>
      <c r="GY133" s="172"/>
      <c r="GZ133" s="172"/>
      <c r="HA133" s="172"/>
      <c r="HB133" s="172"/>
      <c r="HC133" s="172"/>
      <c r="HD133" s="172"/>
      <c r="HE133" s="172"/>
      <c r="HF133" s="172"/>
      <c r="HG133" s="172"/>
      <c r="HH133" s="172"/>
      <c r="HI133" s="172"/>
      <c r="HJ133" s="172"/>
      <c r="HK133" s="172"/>
      <c r="HL133" s="172"/>
      <c r="HM133" s="172"/>
      <c r="HN133" s="172"/>
      <c r="HO133" s="172"/>
      <c r="HP133" s="172"/>
      <c r="HQ133" s="172"/>
      <c r="HR133" s="172"/>
      <c r="HS133" s="172"/>
      <c r="HT133" s="172"/>
      <c r="HU133" s="172"/>
      <c r="HV133" s="172"/>
      <c r="HW133" s="172"/>
      <c r="HX133" s="172"/>
      <c r="HY133" s="172"/>
      <c r="HZ133" s="172"/>
      <c r="IA133" s="172"/>
      <c r="IB133" s="172"/>
      <c r="IC133" s="172"/>
      <c r="ID133" s="172"/>
      <c r="IE133" s="172"/>
      <c r="IF133" s="172"/>
      <c r="IG133" s="172"/>
      <c r="IH133" s="172"/>
      <c r="II133" s="172"/>
      <c r="IJ133" s="172"/>
      <c r="IK133" s="172"/>
      <c r="IL133" s="172"/>
      <c r="IM133" s="172"/>
      <c r="IN133" s="172"/>
      <c r="IO133" s="172"/>
      <c r="IP133" s="172"/>
      <c r="IQ133" s="172"/>
      <c r="IR133" s="172"/>
      <c r="IS133" s="172"/>
      <c r="IT133" s="172"/>
      <c r="IU133" s="172"/>
      <c r="IV133" s="172"/>
    </row>
    <row r="134" spans="1:256" hidden="1">
      <c r="A134" s="823" t="s">
        <v>199</v>
      </c>
      <c r="B134" s="826" t="s">
        <v>200</v>
      </c>
      <c r="C134" s="157" t="s">
        <v>0</v>
      </c>
      <c r="D134" s="158">
        <f>E134+M134</f>
        <v>370000</v>
      </c>
      <c r="E134" s="159">
        <f>F134+I134+J134+K134+L134</f>
        <v>370000</v>
      </c>
      <c r="F134" s="159">
        <f>G134+H134</f>
        <v>0</v>
      </c>
      <c r="G134" s="159">
        <v>0</v>
      </c>
      <c r="H134" s="159">
        <v>0</v>
      </c>
      <c r="I134" s="159">
        <v>370000</v>
      </c>
      <c r="J134" s="159">
        <v>0</v>
      </c>
      <c r="K134" s="159">
        <v>0</v>
      </c>
      <c r="L134" s="159">
        <v>0</v>
      </c>
      <c r="M134" s="159">
        <f>N134+P134</f>
        <v>0</v>
      </c>
      <c r="N134" s="159">
        <v>0</v>
      </c>
      <c r="O134" s="159">
        <v>0</v>
      </c>
      <c r="P134" s="159">
        <v>0</v>
      </c>
      <c r="Q134" s="166"/>
      <c r="R134" s="166"/>
      <c r="S134" s="166"/>
      <c r="T134" s="166"/>
      <c r="U134" s="166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</row>
    <row r="135" spans="1:256" hidden="1">
      <c r="A135" s="824"/>
      <c r="B135" s="827"/>
      <c r="C135" s="157" t="s">
        <v>1</v>
      </c>
      <c r="D135" s="158">
        <f>E135+M135</f>
        <v>0</v>
      </c>
      <c r="E135" s="159">
        <f>F135+I135+J135+K135+L135</f>
        <v>0</v>
      </c>
      <c r="F135" s="159">
        <f>G135+H135</f>
        <v>0</v>
      </c>
      <c r="G135" s="159"/>
      <c r="H135" s="159"/>
      <c r="I135" s="159"/>
      <c r="J135" s="159"/>
      <c r="K135" s="159"/>
      <c r="L135" s="159"/>
      <c r="M135" s="159">
        <f>N135+P135</f>
        <v>0</v>
      </c>
      <c r="N135" s="159"/>
      <c r="O135" s="159"/>
      <c r="P135" s="159"/>
      <c r="Q135" s="166"/>
      <c r="R135" s="166"/>
      <c r="S135" s="166"/>
      <c r="T135" s="166"/>
      <c r="U135" s="16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</row>
    <row r="136" spans="1:256" hidden="1">
      <c r="A136" s="825"/>
      <c r="B136" s="828"/>
      <c r="C136" s="157" t="s">
        <v>2</v>
      </c>
      <c r="D136" s="158">
        <f>D135+D134</f>
        <v>370000</v>
      </c>
      <c r="E136" s="159">
        <f t="shared" ref="E136:P136" si="60">E135+E134</f>
        <v>370000</v>
      </c>
      <c r="F136" s="159">
        <f t="shared" si="60"/>
        <v>0</v>
      </c>
      <c r="G136" s="159">
        <f t="shared" si="60"/>
        <v>0</v>
      </c>
      <c r="H136" s="159">
        <f t="shared" si="60"/>
        <v>0</v>
      </c>
      <c r="I136" s="159">
        <f t="shared" si="60"/>
        <v>370000</v>
      </c>
      <c r="J136" s="159">
        <f t="shared" si="60"/>
        <v>0</v>
      </c>
      <c r="K136" s="159">
        <f t="shared" si="60"/>
        <v>0</v>
      </c>
      <c r="L136" s="159">
        <f t="shared" si="60"/>
        <v>0</v>
      </c>
      <c r="M136" s="159">
        <f t="shared" si="60"/>
        <v>0</v>
      </c>
      <c r="N136" s="159">
        <f t="shared" si="60"/>
        <v>0</v>
      </c>
      <c r="O136" s="159">
        <f t="shared" si="60"/>
        <v>0</v>
      </c>
      <c r="P136" s="159">
        <f t="shared" si="60"/>
        <v>0</v>
      </c>
      <c r="Q136" s="166"/>
      <c r="R136" s="166"/>
      <c r="S136" s="166"/>
      <c r="T136" s="166"/>
      <c r="U136" s="166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</row>
    <row r="137" spans="1:256" hidden="1">
      <c r="A137" s="823" t="s">
        <v>201</v>
      </c>
      <c r="B137" s="826" t="s">
        <v>103</v>
      </c>
      <c r="C137" s="157" t="s">
        <v>0</v>
      </c>
      <c r="D137" s="158">
        <f>E137+M137</f>
        <v>500000</v>
      </c>
      <c r="E137" s="159">
        <f>F137+I137+J137+K137+L137</f>
        <v>0</v>
      </c>
      <c r="F137" s="159">
        <f>G137+H137</f>
        <v>0</v>
      </c>
      <c r="G137" s="159">
        <v>0</v>
      </c>
      <c r="H137" s="159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f>N137+P137</f>
        <v>500000</v>
      </c>
      <c r="N137" s="159">
        <v>500000</v>
      </c>
      <c r="O137" s="159">
        <v>0</v>
      </c>
      <c r="P137" s="159">
        <v>0</v>
      </c>
      <c r="Q137" s="166"/>
      <c r="R137" s="166"/>
      <c r="S137" s="166"/>
      <c r="T137" s="166"/>
      <c r="U137" s="166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</row>
    <row r="138" spans="1:256" hidden="1">
      <c r="A138" s="824"/>
      <c r="B138" s="827"/>
      <c r="C138" s="157" t="s">
        <v>1</v>
      </c>
      <c r="D138" s="158">
        <f>E138+M138</f>
        <v>0</v>
      </c>
      <c r="E138" s="159">
        <f>F138+I138+J138+K138+L138</f>
        <v>0</v>
      </c>
      <c r="F138" s="159">
        <f>G138+H138</f>
        <v>0</v>
      </c>
      <c r="G138" s="159"/>
      <c r="H138" s="159"/>
      <c r="I138" s="159"/>
      <c r="J138" s="159"/>
      <c r="K138" s="159"/>
      <c r="L138" s="159"/>
      <c r="M138" s="159">
        <f>N138+P138</f>
        <v>0</v>
      </c>
      <c r="N138" s="159"/>
      <c r="O138" s="159"/>
      <c r="P138" s="159"/>
      <c r="Q138" s="166"/>
      <c r="R138" s="166"/>
      <c r="S138" s="166"/>
      <c r="T138" s="166"/>
      <c r="U138" s="166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</row>
    <row r="139" spans="1:256" hidden="1">
      <c r="A139" s="825"/>
      <c r="B139" s="828"/>
      <c r="C139" s="157" t="s">
        <v>2</v>
      </c>
      <c r="D139" s="158">
        <f>D138+D137</f>
        <v>500000</v>
      </c>
      <c r="E139" s="159">
        <f t="shared" ref="E139:P139" si="61">E138+E137</f>
        <v>0</v>
      </c>
      <c r="F139" s="159">
        <f t="shared" si="61"/>
        <v>0</v>
      </c>
      <c r="G139" s="159">
        <f t="shared" si="61"/>
        <v>0</v>
      </c>
      <c r="H139" s="159">
        <f t="shared" si="61"/>
        <v>0</v>
      </c>
      <c r="I139" s="159">
        <f t="shared" si="61"/>
        <v>0</v>
      </c>
      <c r="J139" s="159">
        <f t="shared" si="61"/>
        <v>0</v>
      </c>
      <c r="K139" s="159">
        <f t="shared" si="61"/>
        <v>0</v>
      </c>
      <c r="L139" s="159">
        <f t="shared" si="61"/>
        <v>0</v>
      </c>
      <c r="M139" s="159">
        <f t="shared" si="61"/>
        <v>500000</v>
      </c>
      <c r="N139" s="159">
        <f t="shared" si="61"/>
        <v>500000</v>
      </c>
      <c r="O139" s="159">
        <f t="shared" si="61"/>
        <v>0</v>
      </c>
      <c r="P139" s="159">
        <f t="shared" si="61"/>
        <v>0</v>
      </c>
      <c r="Q139" s="166"/>
      <c r="R139" s="166"/>
      <c r="S139" s="166"/>
      <c r="T139" s="166"/>
      <c r="U139" s="166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</row>
    <row r="140" spans="1:256" ht="15">
      <c r="A140" s="835" t="s">
        <v>53</v>
      </c>
      <c r="B140" s="838" t="s">
        <v>54</v>
      </c>
      <c r="C140" s="161" t="s">
        <v>0</v>
      </c>
      <c r="D140" s="162">
        <f t="shared" ref="D140:P141" si="62">D143+D146+D149+D152+D158+D155</f>
        <v>301451543.63999999</v>
      </c>
      <c r="E140" s="163">
        <f t="shared" si="62"/>
        <v>280016849.63999999</v>
      </c>
      <c r="F140" s="163">
        <f t="shared" si="62"/>
        <v>173345578.63999999</v>
      </c>
      <c r="G140" s="163">
        <f t="shared" si="62"/>
        <v>98391786</v>
      </c>
      <c r="H140" s="163">
        <f t="shared" si="62"/>
        <v>74953792.640000001</v>
      </c>
      <c r="I140" s="163">
        <f t="shared" si="62"/>
        <v>120000</v>
      </c>
      <c r="J140" s="163">
        <f t="shared" si="62"/>
        <v>2377800</v>
      </c>
      <c r="K140" s="163">
        <f t="shared" si="62"/>
        <v>104173471</v>
      </c>
      <c r="L140" s="163">
        <f t="shared" si="62"/>
        <v>0</v>
      </c>
      <c r="M140" s="163">
        <f t="shared" si="62"/>
        <v>21434694</v>
      </c>
      <c r="N140" s="163">
        <f t="shared" si="62"/>
        <v>21434694</v>
      </c>
      <c r="O140" s="163">
        <f t="shared" si="62"/>
        <v>7420144</v>
      </c>
      <c r="P140" s="163">
        <f t="shared" si="62"/>
        <v>0</v>
      </c>
      <c r="Q140" s="171"/>
      <c r="R140" s="171"/>
      <c r="S140" s="171"/>
      <c r="T140" s="171"/>
      <c r="U140" s="171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2"/>
      <c r="CJ140" s="172"/>
      <c r="CK140" s="172"/>
      <c r="CL140" s="172"/>
      <c r="CM140" s="172"/>
      <c r="CN140" s="172"/>
      <c r="CO140" s="172"/>
      <c r="CP140" s="172"/>
      <c r="CQ140" s="172"/>
      <c r="CR140" s="172"/>
      <c r="CS140" s="172"/>
      <c r="CT140" s="172"/>
      <c r="CU140" s="172"/>
      <c r="CV140" s="172"/>
      <c r="CW140" s="172"/>
      <c r="CX140" s="172"/>
      <c r="CY140" s="172"/>
      <c r="CZ140" s="172"/>
      <c r="DA140" s="172"/>
      <c r="DB140" s="172"/>
      <c r="DC140" s="172"/>
      <c r="DD140" s="172"/>
      <c r="DE140" s="172"/>
      <c r="DF140" s="172"/>
      <c r="DG140" s="172"/>
      <c r="DH140" s="172"/>
      <c r="DI140" s="172"/>
      <c r="DJ140" s="172"/>
      <c r="DK140" s="172"/>
      <c r="DL140" s="172"/>
      <c r="DM140" s="172"/>
      <c r="DN140" s="172"/>
      <c r="DO140" s="172"/>
      <c r="DP140" s="172"/>
      <c r="DQ140" s="172"/>
      <c r="DR140" s="172"/>
      <c r="DS140" s="172"/>
      <c r="DT140" s="172"/>
      <c r="DU140" s="172"/>
      <c r="DV140" s="172"/>
      <c r="DW140" s="172"/>
      <c r="DX140" s="172"/>
      <c r="DY140" s="172"/>
      <c r="DZ140" s="172"/>
      <c r="EA140" s="172"/>
      <c r="EB140" s="172"/>
      <c r="EC140" s="172"/>
      <c r="ED140" s="172"/>
      <c r="EE140" s="172"/>
      <c r="EF140" s="172"/>
      <c r="EG140" s="172"/>
      <c r="EH140" s="172"/>
      <c r="EI140" s="172"/>
      <c r="EJ140" s="172"/>
      <c r="EK140" s="172"/>
      <c r="EL140" s="172"/>
      <c r="EM140" s="172"/>
      <c r="EN140" s="172"/>
      <c r="EO140" s="172"/>
      <c r="EP140" s="172"/>
      <c r="EQ140" s="172"/>
      <c r="ER140" s="172"/>
      <c r="ES140" s="172"/>
      <c r="ET140" s="172"/>
      <c r="EU140" s="172"/>
      <c r="EV140" s="172"/>
      <c r="EW140" s="172"/>
      <c r="EX140" s="172"/>
      <c r="EY140" s="172"/>
      <c r="EZ140" s="172"/>
      <c r="FA140" s="172"/>
      <c r="FB140" s="172"/>
      <c r="FC140" s="172"/>
      <c r="FD140" s="172"/>
      <c r="FE140" s="172"/>
      <c r="FF140" s="172"/>
      <c r="FG140" s="172"/>
      <c r="FH140" s="172"/>
      <c r="FI140" s="172"/>
      <c r="FJ140" s="172"/>
      <c r="FK140" s="172"/>
      <c r="FL140" s="172"/>
      <c r="FM140" s="172"/>
      <c r="FN140" s="172"/>
      <c r="FO140" s="172"/>
      <c r="FP140" s="172"/>
      <c r="FQ140" s="172"/>
      <c r="FR140" s="172"/>
      <c r="FS140" s="172"/>
      <c r="FT140" s="172"/>
      <c r="FU140" s="172"/>
      <c r="FV140" s="172"/>
      <c r="FW140" s="172"/>
      <c r="FX140" s="172"/>
      <c r="FY140" s="172"/>
      <c r="FZ140" s="172"/>
      <c r="GA140" s="172"/>
      <c r="GB140" s="172"/>
      <c r="GC140" s="172"/>
      <c r="GD140" s="172"/>
      <c r="GE140" s="172"/>
      <c r="GF140" s="172"/>
      <c r="GG140" s="172"/>
      <c r="GH140" s="172"/>
      <c r="GI140" s="172"/>
      <c r="GJ140" s="172"/>
      <c r="GK140" s="172"/>
      <c r="GL140" s="172"/>
      <c r="GM140" s="172"/>
      <c r="GN140" s="172"/>
      <c r="GO140" s="172"/>
      <c r="GP140" s="172"/>
      <c r="GQ140" s="172"/>
      <c r="GR140" s="172"/>
      <c r="GS140" s="172"/>
      <c r="GT140" s="172"/>
      <c r="GU140" s="172"/>
      <c r="GV140" s="172"/>
      <c r="GW140" s="172"/>
      <c r="GX140" s="172"/>
      <c r="GY140" s="172"/>
      <c r="GZ140" s="172"/>
      <c r="HA140" s="172"/>
      <c r="HB140" s="172"/>
      <c r="HC140" s="172"/>
      <c r="HD140" s="172"/>
      <c r="HE140" s="172"/>
      <c r="HF140" s="172"/>
      <c r="HG140" s="172"/>
      <c r="HH140" s="172"/>
      <c r="HI140" s="172"/>
      <c r="HJ140" s="172"/>
      <c r="HK140" s="172"/>
      <c r="HL140" s="172"/>
      <c r="HM140" s="172"/>
      <c r="HN140" s="172"/>
      <c r="HO140" s="172"/>
      <c r="HP140" s="172"/>
      <c r="HQ140" s="172"/>
      <c r="HR140" s="172"/>
      <c r="HS140" s="172"/>
      <c r="HT140" s="172"/>
      <c r="HU140" s="172"/>
      <c r="HV140" s="172"/>
      <c r="HW140" s="172"/>
      <c r="HX140" s="172"/>
      <c r="HY140" s="172"/>
      <c r="HZ140" s="172"/>
      <c r="IA140" s="172"/>
      <c r="IB140" s="172"/>
      <c r="IC140" s="172"/>
      <c r="ID140" s="172"/>
      <c r="IE140" s="172"/>
      <c r="IF140" s="172"/>
      <c r="IG140" s="172"/>
      <c r="IH140" s="172"/>
      <c r="II140" s="172"/>
      <c r="IJ140" s="172"/>
      <c r="IK140" s="172"/>
      <c r="IL140" s="172"/>
      <c r="IM140" s="172"/>
      <c r="IN140" s="172"/>
      <c r="IO140" s="172"/>
      <c r="IP140" s="172"/>
      <c r="IQ140" s="172"/>
      <c r="IR140" s="172"/>
      <c r="IS140" s="172"/>
      <c r="IT140" s="172"/>
      <c r="IU140" s="172"/>
      <c r="IV140" s="172"/>
    </row>
    <row r="141" spans="1:256" ht="15">
      <c r="A141" s="836"/>
      <c r="B141" s="839"/>
      <c r="C141" s="161" t="s">
        <v>1</v>
      </c>
      <c r="D141" s="162">
        <f t="shared" si="62"/>
        <v>10718882</v>
      </c>
      <c r="E141" s="163">
        <f t="shared" si="62"/>
        <v>10648882</v>
      </c>
      <c r="F141" s="163">
        <f t="shared" si="62"/>
        <v>4470000</v>
      </c>
      <c r="G141" s="163">
        <f t="shared" si="62"/>
        <v>0</v>
      </c>
      <c r="H141" s="163">
        <f t="shared" si="62"/>
        <v>4470000</v>
      </c>
      <c r="I141" s="163">
        <f t="shared" si="62"/>
        <v>0</v>
      </c>
      <c r="J141" s="163">
        <f t="shared" si="62"/>
        <v>0</v>
      </c>
      <c r="K141" s="163">
        <f t="shared" si="62"/>
        <v>6178882</v>
      </c>
      <c r="L141" s="163">
        <f t="shared" si="62"/>
        <v>0</v>
      </c>
      <c r="M141" s="163">
        <f t="shared" si="62"/>
        <v>70000</v>
      </c>
      <c r="N141" s="163">
        <f t="shared" si="62"/>
        <v>70000</v>
      </c>
      <c r="O141" s="163">
        <f t="shared" si="62"/>
        <v>0</v>
      </c>
      <c r="P141" s="163">
        <f t="shared" si="62"/>
        <v>0</v>
      </c>
      <c r="Q141" s="171"/>
      <c r="R141" s="171"/>
      <c r="S141" s="171"/>
      <c r="T141" s="171"/>
      <c r="U141" s="171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  <c r="DP141" s="172"/>
      <c r="DQ141" s="172"/>
      <c r="DR141" s="172"/>
      <c r="DS141" s="172"/>
      <c r="DT141" s="172"/>
      <c r="DU141" s="172"/>
      <c r="DV141" s="172"/>
      <c r="DW141" s="172"/>
      <c r="DX141" s="172"/>
      <c r="DY141" s="172"/>
      <c r="DZ141" s="172"/>
      <c r="EA141" s="172"/>
      <c r="EB141" s="172"/>
      <c r="EC141" s="172"/>
      <c r="ED141" s="172"/>
      <c r="EE141" s="172"/>
      <c r="EF141" s="172"/>
      <c r="EG141" s="172"/>
      <c r="EH141" s="172"/>
      <c r="EI141" s="172"/>
      <c r="EJ141" s="172"/>
      <c r="EK141" s="172"/>
      <c r="EL141" s="172"/>
      <c r="EM141" s="172"/>
      <c r="EN141" s="172"/>
      <c r="EO141" s="172"/>
      <c r="EP141" s="172"/>
      <c r="EQ141" s="172"/>
      <c r="ER141" s="172"/>
      <c r="ES141" s="172"/>
      <c r="ET141" s="172"/>
      <c r="EU141" s="172"/>
      <c r="EV141" s="172"/>
      <c r="EW141" s="172"/>
      <c r="EX141" s="172"/>
      <c r="EY141" s="172"/>
      <c r="EZ141" s="172"/>
      <c r="FA141" s="172"/>
      <c r="FB141" s="172"/>
      <c r="FC141" s="172"/>
      <c r="FD141" s="172"/>
      <c r="FE141" s="172"/>
      <c r="FF141" s="172"/>
      <c r="FG141" s="172"/>
      <c r="FH141" s="172"/>
      <c r="FI141" s="172"/>
      <c r="FJ141" s="172"/>
      <c r="FK141" s="172"/>
      <c r="FL141" s="172"/>
      <c r="FM141" s="172"/>
      <c r="FN141" s="172"/>
      <c r="FO141" s="172"/>
      <c r="FP141" s="172"/>
      <c r="FQ141" s="172"/>
      <c r="FR141" s="172"/>
      <c r="FS141" s="172"/>
      <c r="FT141" s="172"/>
      <c r="FU141" s="172"/>
      <c r="FV141" s="172"/>
      <c r="FW141" s="172"/>
      <c r="FX141" s="172"/>
      <c r="FY141" s="172"/>
      <c r="FZ141" s="172"/>
      <c r="GA141" s="172"/>
      <c r="GB141" s="172"/>
      <c r="GC141" s="172"/>
      <c r="GD141" s="172"/>
      <c r="GE141" s="172"/>
      <c r="GF141" s="172"/>
      <c r="GG141" s="172"/>
      <c r="GH141" s="172"/>
      <c r="GI141" s="172"/>
      <c r="GJ141" s="172"/>
      <c r="GK141" s="172"/>
      <c r="GL141" s="172"/>
      <c r="GM141" s="172"/>
      <c r="GN141" s="172"/>
      <c r="GO141" s="172"/>
      <c r="GP141" s="172"/>
      <c r="GQ141" s="172"/>
      <c r="GR141" s="172"/>
      <c r="GS141" s="172"/>
      <c r="GT141" s="172"/>
      <c r="GU141" s="172"/>
      <c r="GV141" s="172"/>
      <c r="GW141" s="172"/>
      <c r="GX141" s="172"/>
      <c r="GY141" s="172"/>
      <c r="GZ141" s="172"/>
      <c r="HA141" s="172"/>
      <c r="HB141" s="172"/>
      <c r="HC141" s="172"/>
      <c r="HD141" s="172"/>
      <c r="HE141" s="172"/>
      <c r="HF141" s="172"/>
      <c r="HG141" s="172"/>
      <c r="HH141" s="172"/>
      <c r="HI141" s="172"/>
      <c r="HJ141" s="172"/>
      <c r="HK141" s="172"/>
      <c r="HL141" s="172"/>
      <c r="HM141" s="172"/>
      <c r="HN141" s="172"/>
      <c r="HO141" s="172"/>
      <c r="HP141" s="172"/>
      <c r="HQ141" s="172"/>
      <c r="HR141" s="172"/>
      <c r="HS141" s="172"/>
      <c r="HT141" s="172"/>
      <c r="HU141" s="172"/>
      <c r="HV141" s="172"/>
      <c r="HW141" s="172"/>
      <c r="HX141" s="172"/>
      <c r="HY141" s="172"/>
      <c r="HZ141" s="172"/>
      <c r="IA141" s="172"/>
      <c r="IB141" s="172"/>
      <c r="IC141" s="172"/>
      <c r="ID141" s="172"/>
      <c r="IE141" s="172"/>
      <c r="IF141" s="172"/>
      <c r="IG141" s="172"/>
      <c r="IH141" s="172"/>
      <c r="II141" s="172"/>
      <c r="IJ141" s="172"/>
      <c r="IK141" s="172"/>
      <c r="IL141" s="172"/>
      <c r="IM141" s="172"/>
      <c r="IN141" s="172"/>
      <c r="IO141" s="172"/>
      <c r="IP141" s="172"/>
      <c r="IQ141" s="172"/>
      <c r="IR141" s="172"/>
      <c r="IS141" s="172"/>
      <c r="IT141" s="172"/>
      <c r="IU141" s="172"/>
      <c r="IV141" s="172"/>
    </row>
    <row r="142" spans="1:256" ht="15">
      <c r="A142" s="837"/>
      <c r="B142" s="840"/>
      <c r="C142" s="161" t="s">
        <v>2</v>
      </c>
      <c r="D142" s="162">
        <f>D141+D140</f>
        <v>312170425.63999999</v>
      </c>
      <c r="E142" s="163">
        <f t="shared" ref="E142:P142" si="63">E141+E140</f>
        <v>290665731.63999999</v>
      </c>
      <c r="F142" s="163">
        <f t="shared" si="63"/>
        <v>177815578.63999999</v>
      </c>
      <c r="G142" s="163">
        <f t="shared" si="63"/>
        <v>98391786</v>
      </c>
      <c r="H142" s="163">
        <f t="shared" si="63"/>
        <v>79423792.640000001</v>
      </c>
      <c r="I142" s="163">
        <f t="shared" si="63"/>
        <v>120000</v>
      </c>
      <c r="J142" s="163">
        <f t="shared" si="63"/>
        <v>2377800</v>
      </c>
      <c r="K142" s="163">
        <f t="shared" si="63"/>
        <v>110352353</v>
      </c>
      <c r="L142" s="163">
        <f t="shared" si="63"/>
        <v>0</v>
      </c>
      <c r="M142" s="163">
        <f t="shared" si="63"/>
        <v>21504694</v>
      </c>
      <c r="N142" s="163">
        <f t="shared" si="63"/>
        <v>21504694</v>
      </c>
      <c r="O142" s="163">
        <f t="shared" si="63"/>
        <v>7420144</v>
      </c>
      <c r="P142" s="163">
        <f t="shared" si="63"/>
        <v>0</v>
      </c>
      <c r="Q142" s="171"/>
      <c r="R142" s="171"/>
      <c r="S142" s="171"/>
      <c r="T142" s="171"/>
      <c r="U142" s="171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2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72"/>
      <c r="EE142" s="172"/>
      <c r="EF142" s="172"/>
      <c r="EG142" s="172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72"/>
      <c r="ES142" s="172"/>
      <c r="ET142" s="172"/>
      <c r="EU142" s="172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72"/>
      <c r="FG142" s="172"/>
      <c r="FH142" s="172"/>
      <c r="FI142" s="172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72"/>
      <c r="FU142" s="172"/>
      <c r="FV142" s="172"/>
      <c r="FW142" s="172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72"/>
      <c r="GI142" s="172"/>
      <c r="GJ142" s="172"/>
      <c r="GK142" s="172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72"/>
      <c r="GW142" s="172"/>
      <c r="GX142" s="172"/>
      <c r="GY142" s="172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72"/>
      <c r="HK142" s="172"/>
      <c r="HL142" s="172"/>
      <c r="HM142" s="172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72"/>
      <c r="HY142" s="172"/>
      <c r="HZ142" s="172"/>
      <c r="IA142" s="172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72"/>
      <c r="IM142" s="172"/>
      <c r="IN142" s="172"/>
      <c r="IO142" s="172"/>
      <c r="IP142" s="172"/>
      <c r="IQ142" s="172"/>
      <c r="IR142" s="172"/>
      <c r="IS142" s="172"/>
      <c r="IT142" s="172"/>
      <c r="IU142" s="172"/>
      <c r="IV142" s="172"/>
    </row>
    <row r="143" spans="1:256" hidden="1">
      <c r="A143" s="823" t="s">
        <v>202</v>
      </c>
      <c r="B143" s="826" t="s">
        <v>203</v>
      </c>
      <c r="C143" s="157" t="s">
        <v>0</v>
      </c>
      <c r="D143" s="158">
        <f t="shared" ref="D143:D159" si="64">E143+M143</f>
        <v>2694500</v>
      </c>
      <c r="E143" s="159">
        <f t="shared" ref="E143:E159" si="65">F143+I143+J143+K143+L143</f>
        <v>2694500</v>
      </c>
      <c r="F143" s="159">
        <f t="shared" ref="F143:F159" si="66">G143+H143</f>
        <v>994500</v>
      </c>
      <c r="G143" s="159">
        <v>109500</v>
      </c>
      <c r="H143" s="159">
        <f>25000+150000+55000+4000+600000+10000+2000+25000+10000+4000</f>
        <v>885000</v>
      </c>
      <c r="I143" s="159">
        <v>0</v>
      </c>
      <c r="J143" s="159">
        <v>1700000</v>
      </c>
      <c r="K143" s="159">
        <v>0</v>
      </c>
      <c r="L143" s="159">
        <v>0</v>
      </c>
      <c r="M143" s="159">
        <f t="shared" ref="M143:M159" si="67">N143+P143</f>
        <v>0</v>
      </c>
      <c r="N143" s="159">
        <v>0</v>
      </c>
      <c r="O143" s="159">
        <v>0</v>
      </c>
      <c r="P143" s="159">
        <v>0</v>
      </c>
      <c r="Q143" s="166"/>
      <c r="R143" s="166"/>
      <c r="S143" s="166"/>
      <c r="T143" s="166"/>
      <c r="U143" s="166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</row>
    <row r="144" spans="1:256" hidden="1">
      <c r="A144" s="824"/>
      <c r="B144" s="827"/>
      <c r="C144" s="157" t="s">
        <v>1</v>
      </c>
      <c r="D144" s="158">
        <f t="shared" si="64"/>
        <v>0</v>
      </c>
      <c r="E144" s="159">
        <f t="shared" si="65"/>
        <v>0</v>
      </c>
      <c r="F144" s="159">
        <f t="shared" si="66"/>
        <v>0</v>
      </c>
      <c r="G144" s="159"/>
      <c r="H144" s="159"/>
      <c r="I144" s="159"/>
      <c r="J144" s="159"/>
      <c r="K144" s="159"/>
      <c r="L144" s="159"/>
      <c r="M144" s="159">
        <f t="shared" si="67"/>
        <v>0</v>
      </c>
      <c r="N144" s="159"/>
      <c r="O144" s="159"/>
      <c r="P144" s="159"/>
      <c r="Q144" s="166"/>
      <c r="R144" s="166"/>
      <c r="S144" s="166"/>
      <c r="T144" s="166"/>
      <c r="U144" s="166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</row>
    <row r="145" spans="1:256" hidden="1">
      <c r="A145" s="825"/>
      <c r="B145" s="828"/>
      <c r="C145" s="157" t="s">
        <v>2</v>
      </c>
      <c r="D145" s="158">
        <f>D144+D143</f>
        <v>2694500</v>
      </c>
      <c r="E145" s="159">
        <f t="shared" ref="E145:P145" si="68">E144+E143</f>
        <v>2694500</v>
      </c>
      <c r="F145" s="159">
        <f t="shared" si="68"/>
        <v>994500</v>
      </c>
      <c r="G145" s="159">
        <f t="shared" si="68"/>
        <v>109500</v>
      </c>
      <c r="H145" s="159">
        <f t="shared" si="68"/>
        <v>885000</v>
      </c>
      <c r="I145" s="159">
        <f t="shared" si="68"/>
        <v>0</v>
      </c>
      <c r="J145" s="159">
        <f t="shared" si="68"/>
        <v>1700000</v>
      </c>
      <c r="K145" s="159">
        <f t="shared" si="68"/>
        <v>0</v>
      </c>
      <c r="L145" s="159">
        <f t="shared" si="68"/>
        <v>0</v>
      </c>
      <c r="M145" s="159">
        <f t="shared" si="68"/>
        <v>0</v>
      </c>
      <c r="N145" s="159">
        <f t="shared" si="68"/>
        <v>0</v>
      </c>
      <c r="O145" s="159">
        <f t="shared" si="68"/>
        <v>0</v>
      </c>
      <c r="P145" s="159">
        <f t="shared" si="68"/>
        <v>0</v>
      </c>
      <c r="Q145" s="166"/>
      <c r="R145" s="166"/>
      <c r="S145" s="166"/>
      <c r="T145" s="166"/>
      <c r="U145" s="16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</row>
    <row r="146" spans="1:256">
      <c r="A146" s="823" t="s">
        <v>204</v>
      </c>
      <c r="B146" s="826" t="s">
        <v>205</v>
      </c>
      <c r="C146" s="157" t="s">
        <v>0</v>
      </c>
      <c r="D146" s="158">
        <f t="shared" si="64"/>
        <v>216224072.63999999</v>
      </c>
      <c r="E146" s="159">
        <f t="shared" si="65"/>
        <v>201797757.63999999</v>
      </c>
      <c r="F146" s="159">
        <f t="shared" si="66"/>
        <v>130049148.64</v>
      </c>
      <c r="G146" s="159">
        <v>97466386</v>
      </c>
      <c r="H146" s="159">
        <f>346462+4543233+117600+3750000+1576800+94000+9500500+5619725+580000+3000+64000+1900000+186000+400000+325000+3129072.64+154000+720+500+103850+700+49600+138000</f>
        <v>32582762.640000001</v>
      </c>
      <c r="I146" s="159">
        <v>0</v>
      </c>
      <c r="J146" s="159">
        <v>236800</v>
      </c>
      <c r="K146" s="159">
        <f>61135038-350000+10788536-61765</f>
        <v>71511809</v>
      </c>
      <c r="L146" s="159">
        <v>0</v>
      </c>
      <c r="M146" s="159">
        <f t="shared" si="67"/>
        <v>14426315</v>
      </c>
      <c r="N146" s="159">
        <v>14426315</v>
      </c>
      <c r="O146" s="159">
        <f>350000+61765</f>
        <v>411765</v>
      </c>
      <c r="P146" s="159">
        <v>0</v>
      </c>
      <c r="Q146" s="166"/>
      <c r="R146" s="166"/>
      <c r="S146" s="166"/>
      <c r="T146" s="166"/>
      <c r="U146" s="166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</row>
    <row r="147" spans="1:256">
      <c r="A147" s="824"/>
      <c r="B147" s="827"/>
      <c r="C147" s="157" t="s">
        <v>1</v>
      </c>
      <c r="D147" s="158">
        <f t="shared" si="64"/>
        <v>-2612353</v>
      </c>
      <c r="E147" s="159">
        <f t="shared" si="65"/>
        <v>-2682353</v>
      </c>
      <c r="F147" s="159">
        <f t="shared" si="66"/>
        <v>200000</v>
      </c>
      <c r="G147" s="159"/>
      <c r="H147" s="159">
        <f>50000-50000+200000</f>
        <v>200000</v>
      </c>
      <c r="I147" s="159"/>
      <c r="J147" s="159"/>
      <c r="K147" s="159">
        <f>-2026803-357671-343138-60554-49657-8763-30402-5365</f>
        <v>-2882353</v>
      </c>
      <c r="L147" s="159"/>
      <c r="M147" s="159">
        <f t="shared" si="67"/>
        <v>70000</v>
      </c>
      <c r="N147" s="159">
        <v>70000</v>
      </c>
      <c r="O147" s="159"/>
      <c r="P147" s="159"/>
      <c r="Q147" s="166"/>
      <c r="R147" s="166"/>
      <c r="S147" s="166"/>
      <c r="T147" s="166"/>
      <c r="U147" s="166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</row>
    <row r="148" spans="1:256">
      <c r="A148" s="825"/>
      <c r="B148" s="828"/>
      <c r="C148" s="157" t="s">
        <v>2</v>
      </c>
      <c r="D148" s="158">
        <f>D147+D146</f>
        <v>213611719.63999999</v>
      </c>
      <c r="E148" s="159">
        <f t="shared" ref="E148:P148" si="69">E147+E146</f>
        <v>199115404.63999999</v>
      </c>
      <c r="F148" s="159">
        <f t="shared" si="69"/>
        <v>130249148.64</v>
      </c>
      <c r="G148" s="159">
        <f t="shared" si="69"/>
        <v>97466386</v>
      </c>
      <c r="H148" s="159">
        <f t="shared" si="69"/>
        <v>32782762.640000001</v>
      </c>
      <c r="I148" s="159">
        <f t="shared" si="69"/>
        <v>0</v>
      </c>
      <c r="J148" s="159">
        <f t="shared" si="69"/>
        <v>236800</v>
      </c>
      <c r="K148" s="159">
        <f t="shared" si="69"/>
        <v>68629456</v>
      </c>
      <c r="L148" s="159">
        <f t="shared" si="69"/>
        <v>0</v>
      </c>
      <c r="M148" s="159">
        <f t="shared" si="69"/>
        <v>14496315</v>
      </c>
      <c r="N148" s="159">
        <f t="shared" si="69"/>
        <v>14496315</v>
      </c>
      <c r="O148" s="159">
        <f t="shared" si="69"/>
        <v>411765</v>
      </c>
      <c r="P148" s="159">
        <f t="shared" si="69"/>
        <v>0</v>
      </c>
      <c r="Q148" s="166"/>
      <c r="R148" s="166"/>
      <c r="S148" s="166"/>
      <c r="T148" s="166"/>
      <c r="U148" s="166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</row>
    <row r="149" spans="1:256" hidden="1">
      <c r="A149" s="823" t="s">
        <v>206</v>
      </c>
      <c r="B149" s="826" t="s">
        <v>207</v>
      </c>
      <c r="C149" s="157" t="s">
        <v>0</v>
      </c>
      <c r="D149" s="158">
        <f t="shared" si="64"/>
        <v>710000</v>
      </c>
      <c r="E149" s="159">
        <f t="shared" si="65"/>
        <v>710000</v>
      </c>
      <c r="F149" s="159">
        <f t="shared" si="66"/>
        <v>710000</v>
      </c>
      <c r="G149" s="159">
        <v>3000</v>
      </c>
      <c r="H149" s="159">
        <f>710000-3000</f>
        <v>707000</v>
      </c>
      <c r="I149" s="159">
        <v>0</v>
      </c>
      <c r="J149" s="159">
        <v>0</v>
      </c>
      <c r="K149" s="159">
        <v>0</v>
      </c>
      <c r="L149" s="159">
        <v>0</v>
      </c>
      <c r="M149" s="159">
        <f t="shared" si="67"/>
        <v>0</v>
      </c>
      <c r="N149" s="159">
        <v>0</v>
      </c>
      <c r="O149" s="159">
        <v>0</v>
      </c>
      <c r="P149" s="159">
        <v>0</v>
      </c>
      <c r="Q149" s="160"/>
      <c r="R149" s="160"/>
      <c r="S149" s="160"/>
      <c r="T149" s="160"/>
      <c r="U149" s="160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/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/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/>
      <c r="HN149" s="151"/>
      <c r="HO149" s="151"/>
      <c r="HP149" s="151"/>
      <c r="HQ149" s="151"/>
      <c r="HR149" s="151"/>
      <c r="HS149" s="151"/>
      <c r="HT149" s="151"/>
      <c r="HU149" s="151"/>
      <c r="HV149" s="151"/>
      <c r="HW149" s="151"/>
      <c r="HX149" s="151"/>
      <c r="HY149" s="151"/>
      <c r="HZ149" s="151"/>
      <c r="IA149" s="151"/>
      <c r="IB149" s="151"/>
      <c r="IC149" s="151"/>
      <c r="ID149" s="151"/>
      <c r="IE149" s="151"/>
      <c r="IF149" s="151"/>
      <c r="IG149" s="151"/>
      <c r="IH149" s="151"/>
      <c r="II149" s="151"/>
      <c r="IJ149" s="151"/>
      <c r="IK149" s="151"/>
      <c r="IL149" s="151"/>
      <c r="IM149" s="151"/>
      <c r="IN149" s="151"/>
      <c r="IO149" s="151"/>
      <c r="IP149" s="151"/>
      <c r="IQ149" s="151"/>
      <c r="IR149" s="151"/>
      <c r="IS149" s="151"/>
      <c r="IT149" s="151"/>
      <c r="IU149" s="151"/>
      <c r="IV149" s="151"/>
    </row>
    <row r="150" spans="1:256" hidden="1">
      <c r="A150" s="824"/>
      <c r="B150" s="827"/>
      <c r="C150" s="157" t="s">
        <v>1</v>
      </c>
      <c r="D150" s="158">
        <f t="shared" si="64"/>
        <v>0</v>
      </c>
      <c r="E150" s="159">
        <f t="shared" si="65"/>
        <v>0</v>
      </c>
      <c r="F150" s="159">
        <f t="shared" si="66"/>
        <v>0</v>
      </c>
      <c r="G150" s="159"/>
      <c r="H150" s="159"/>
      <c r="I150" s="159"/>
      <c r="J150" s="159"/>
      <c r="K150" s="159"/>
      <c r="L150" s="159"/>
      <c r="M150" s="159">
        <f t="shared" si="67"/>
        <v>0</v>
      </c>
      <c r="N150" s="159"/>
      <c r="O150" s="159"/>
      <c r="P150" s="159"/>
      <c r="Q150" s="160"/>
      <c r="R150" s="160"/>
      <c r="S150" s="160"/>
      <c r="T150" s="160"/>
      <c r="U150" s="160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  <c r="HJ150" s="151"/>
      <c r="HK150" s="151"/>
      <c r="HL150" s="151"/>
      <c r="HM150" s="151"/>
      <c r="HN150" s="151"/>
      <c r="HO150" s="151"/>
      <c r="HP150" s="151"/>
      <c r="HQ150" s="151"/>
      <c r="HR150" s="151"/>
      <c r="HS150" s="151"/>
      <c r="HT150" s="151"/>
      <c r="HU150" s="151"/>
      <c r="HV150" s="151"/>
      <c r="HW150" s="151"/>
      <c r="HX150" s="151"/>
      <c r="HY150" s="151"/>
      <c r="HZ150" s="151"/>
      <c r="IA150" s="151"/>
      <c r="IB150" s="151"/>
      <c r="IC150" s="151"/>
      <c r="ID150" s="151"/>
      <c r="IE150" s="151"/>
      <c r="IF150" s="151"/>
      <c r="IG150" s="151"/>
      <c r="IH150" s="151"/>
      <c r="II150" s="151"/>
      <c r="IJ150" s="151"/>
      <c r="IK150" s="151"/>
      <c r="IL150" s="151"/>
      <c r="IM150" s="151"/>
      <c r="IN150" s="151"/>
      <c r="IO150" s="151"/>
      <c r="IP150" s="151"/>
      <c r="IQ150" s="151"/>
      <c r="IR150" s="151"/>
      <c r="IS150" s="151"/>
      <c r="IT150" s="151"/>
      <c r="IU150" s="151"/>
      <c r="IV150" s="151"/>
    </row>
    <row r="151" spans="1:256" hidden="1">
      <c r="A151" s="825"/>
      <c r="B151" s="828"/>
      <c r="C151" s="157" t="s">
        <v>2</v>
      </c>
      <c r="D151" s="158">
        <f>D150+D149</f>
        <v>710000</v>
      </c>
      <c r="E151" s="159">
        <f t="shared" ref="E151:P151" si="70">E150+E149</f>
        <v>710000</v>
      </c>
      <c r="F151" s="159">
        <f t="shared" si="70"/>
        <v>710000</v>
      </c>
      <c r="G151" s="159">
        <f t="shared" si="70"/>
        <v>3000</v>
      </c>
      <c r="H151" s="159">
        <f t="shared" si="70"/>
        <v>707000</v>
      </c>
      <c r="I151" s="159">
        <f t="shared" si="70"/>
        <v>0</v>
      </c>
      <c r="J151" s="159">
        <f t="shared" si="70"/>
        <v>0</v>
      </c>
      <c r="K151" s="159">
        <f t="shared" si="70"/>
        <v>0</v>
      </c>
      <c r="L151" s="159">
        <f t="shared" si="70"/>
        <v>0</v>
      </c>
      <c r="M151" s="159">
        <f t="shared" si="70"/>
        <v>0</v>
      </c>
      <c r="N151" s="159">
        <f t="shared" si="70"/>
        <v>0</v>
      </c>
      <c r="O151" s="159">
        <f t="shared" si="70"/>
        <v>0</v>
      </c>
      <c r="P151" s="159">
        <f t="shared" si="70"/>
        <v>0</v>
      </c>
      <c r="Q151" s="160"/>
      <c r="R151" s="160"/>
      <c r="S151" s="160"/>
      <c r="T151" s="160"/>
      <c r="U151" s="160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  <c r="EK151" s="151"/>
      <c r="EL151" s="151"/>
      <c r="EM151" s="151"/>
      <c r="EN151" s="151"/>
      <c r="EO151" s="151"/>
      <c r="EP151" s="151"/>
      <c r="EQ151" s="151"/>
      <c r="ER151" s="151"/>
      <c r="ES151" s="151"/>
      <c r="ET151" s="151"/>
      <c r="EU151" s="151"/>
      <c r="EV151" s="151"/>
      <c r="EW151" s="151"/>
      <c r="EX151" s="151"/>
      <c r="EY151" s="151"/>
      <c r="EZ151" s="151"/>
      <c r="FA151" s="151"/>
      <c r="FB151" s="151"/>
      <c r="FC151" s="151"/>
      <c r="FD151" s="151"/>
      <c r="FE151" s="151"/>
      <c r="FF151" s="151"/>
      <c r="FG151" s="151"/>
      <c r="FH151" s="151"/>
      <c r="FI151" s="151"/>
      <c r="FJ151" s="151"/>
      <c r="FK151" s="151"/>
      <c r="FL151" s="151"/>
      <c r="FM151" s="151"/>
      <c r="FN151" s="151"/>
      <c r="FO151" s="151"/>
      <c r="FP151" s="151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  <c r="GV151" s="151"/>
      <c r="GW151" s="151"/>
      <c r="GX151" s="151"/>
      <c r="GY151" s="151"/>
      <c r="GZ151" s="151"/>
      <c r="HA151" s="151"/>
      <c r="HB151" s="151"/>
      <c r="HC151" s="151"/>
      <c r="HD151" s="151"/>
      <c r="HE151" s="151"/>
      <c r="HF151" s="151"/>
      <c r="HG151" s="151"/>
      <c r="HH151" s="151"/>
      <c r="HI151" s="151"/>
      <c r="HJ151" s="151"/>
      <c r="HK151" s="151"/>
      <c r="HL151" s="151"/>
      <c r="HM151" s="151"/>
      <c r="HN151" s="151"/>
      <c r="HO151" s="151"/>
      <c r="HP151" s="151"/>
      <c r="HQ151" s="151"/>
      <c r="HR151" s="151"/>
      <c r="HS151" s="151"/>
      <c r="HT151" s="151"/>
      <c r="HU151" s="151"/>
      <c r="HV151" s="151"/>
      <c r="HW151" s="151"/>
      <c r="HX151" s="151"/>
      <c r="HY151" s="151"/>
      <c r="HZ151" s="151"/>
      <c r="IA151" s="151"/>
      <c r="IB151" s="151"/>
      <c r="IC151" s="151"/>
      <c r="ID151" s="151"/>
      <c r="IE151" s="151"/>
      <c r="IF151" s="151"/>
      <c r="IG151" s="151"/>
      <c r="IH151" s="151"/>
      <c r="II151" s="151"/>
      <c r="IJ151" s="151"/>
      <c r="IK151" s="151"/>
      <c r="IL151" s="151"/>
      <c r="IM151" s="151"/>
      <c r="IN151" s="151"/>
      <c r="IO151" s="151"/>
      <c r="IP151" s="151"/>
      <c r="IQ151" s="151"/>
      <c r="IR151" s="151"/>
      <c r="IS151" s="151"/>
      <c r="IT151" s="151"/>
      <c r="IU151" s="151"/>
      <c r="IV151" s="151"/>
    </row>
    <row r="152" spans="1:256">
      <c r="A152" s="823" t="s">
        <v>208</v>
      </c>
      <c r="B152" s="826" t="s">
        <v>209</v>
      </c>
      <c r="C152" s="157" t="s">
        <v>0</v>
      </c>
      <c r="D152" s="158">
        <f t="shared" si="64"/>
        <v>61565000</v>
      </c>
      <c r="E152" s="159">
        <f t="shared" si="65"/>
        <v>61565000</v>
      </c>
      <c r="F152" s="159">
        <f t="shared" si="66"/>
        <v>34470000</v>
      </c>
      <c r="G152" s="159">
        <v>642000</v>
      </c>
      <c r="H152" s="159">
        <v>33828000</v>
      </c>
      <c r="I152" s="159">
        <v>0</v>
      </c>
      <c r="J152" s="159">
        <v>30000</v>
      </c>
      <c r="K152" s="159">
        <f>23005250+4059750</f>
        <v>27065000</v>
      </c>
      <c r="L152" s="159">
        <v>0</v>
      </c>
      <c r="M152" s="159">
        <f t="shared" si="67"/>
        <v>0</v>
      </c>
      <c r="N152" s="159">
        <v>0</v>
      </c>
      <c r="O152" s="159">
        <v>0</v>
      </c>
      <c r="P152" s="159">
        <v>0</v>
      </c>
      <c r="Q152" s="166"/>
      <c r="R152" s="166"/>
      <c r="S152" s="166"/>
      <c r="T152" s="166"/>
      <c r="U152" s="166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</row>
    <row r="153" spans="1:256">
      <c r="A153" s="824"/>
      <c r="B153" s="827"/>
      <c r="C153" s="157" t="s">
        <v>1</v>
      </c>
      <c r="D153" s="158">
        <f t="shared" si="64"/>
        <v>8754297</v>
      </c>
      <c r="E153" s="159">
        <f t="shared" si="65"/>
        <v>8754297</v>
      </c>
      <c r="F153" s="159">
        <f t="shared" si="66"/>
        <v>0</v>
      </c>
      <c r="G153" s="159"/>
      <c r="H153" s="159"/>
      <c r="I153" s="159"/>
      <c r="J153" s="159"/>
      <c r="K153" s="159">
        <v>8754297</v>
      </c>
      <c r="L153" s="159"/>
      <c r="M153" s="159">
        <f t="shared" si="67"/>
        <v>0</v>
      </c>
      <c r="N153" s="159"/>
      <c r="O153" s="159"/>
      <c r="P153" s="159"/>
      <c r="Q153" s="166"/>
      <c r="R153" s="166"/>
      <c r="S153" s="166"/>
      <c r="T153" s="166"/>
      <c r="U153" s="166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</row>
    <row r="154" spans="1:256">
      <c r="A154" s="825"/>
      <c r="B154" s="828"/>
      <c r="C154" s="157" t="s">
        <v>2</v>
      </c>
      <c r="D154" s="158">
        <f>D153+D152</f>
        <v>70319297</v>
      </c>
      <c r="E154" s="159">
        <f t="shared" ref="E154:P154" si="71">E153+E152</f>
        <v>70319297</v>
      </c>
      <c r="F154" s="159">
        <f t="shared" si="71"/>
        <v>34470000</v>
      </c>
      <c r="G154" s="159">
        <f t="shared" si="71"/>
        <v>642000</v>
      </c>
      <c r="H154" s="159">
        <f t="shared" si="71"/>
        <v>33828000</v>
      </c>
      <c r="I154" s="159">
        <f t="shared" si="71"/>
        <v>0</v>
      </c>
      <c r="J154" s="159">
        <f t="shared" si="71"/>
        <v>30000</v>
      </c>
      <c r="K154" s="159">
        <f t="shared" si="71"/>
        <v>35819297</v>
      </c>
      <c r="L154" s="159">
        <f t="shared" si="71"/>
        <v>0</v>
      </c>
      <c r="M154" s="159">
        <f t="shared" si="71"/>
        <v>0</v>
      </c>
      <c r="N154" s="159">
        <f t="shared" si="71"/>
        <v>0</v>
      </c>
      <c r="O154" s="159">
        <f t="shared" si="71"/>
        <v>0</v>
      </c>
      <c r="P154" s="159">
        <f t="shared" si="71"/>
        <v>0</v>
      </c>
      <c r="Q154" s="166"/>
      <c r="R154" s="166"/>
      <c r="S154" s="166"/>
      <c r="T154" s="166"/>
      <c r="U154" s="166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</row>
    <row r="155" spans="1:256" hidden="1">
      <c r="A155" s="823" t="s">
        <v>210</v>
      </c>
      <c r="B155" s="826" t="s">
        <v>211</v>
      </c>
      <c r="C155" s="157" t="s">
        <v>0</v>
      </c>
      <c r="D155" s="158">
        <f t="shared" si="64"/>
        <v>195000</v>
      </c>
      <c r="E155" s="159">
        <f t="shared" si="65"/>
        <v>195000</v>
      </c>
      <c r="F155" s="159">
        <f t="shared" si="66"/>
        <v>191000</v>
      </c>
      <c r="G155" s="159">
        <v>141500</v>
      </c>
      <c r="H155" s="159">
        <f>2000+4000+43000+500</f>
        <v>49500</v>
      </c>
      <c r="I155" s="159">
        <v>0</v>
      </c>
      <c r="J155" s="159">
        <v>4000</v>
      </c>
      <c r="K155" s="159">
        <v>0</v>
      </c>
      <c r="L155" s="159">
        <v>0</v>
      </c>
      <c r="M155" s="159">
        <f t="shared" si="67"/>
        <v>0</v>
      </c>
      <c r="N155" s="159">
        <v>0</v>
      </c>
      <c r="O155" s="159">
        <v>0</v>
      </c>
      <c r="P155" s="159">
        <v>0</v>
      </c>
      <c r="Q155" s="160"/>
      <c r="R155" s="160"/>
      <c r="S155" s="160"/>
      <c r="T155" s="160"/>
      <c r="U155" s="160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1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  <c r="HQ155" s="151"/>
      <c r="HR155" s="151"/>
      <c r="HS155" s="151"/>
      <c r="HT155" s="151"/>
      <c r="HU155" s="151"/>
      <c r="HV155" s="151"/>
      <c r="HW155" s="151"/>
      <c r="HX155" s="151"/>
      <c r="HY155" s="151"/>
      <c r="HZ155" s="151"/>
      <c r="IA155" s="151"/>
      <c r="IB155" s="151"/>
      <c r="IC155" s="151"/>
      <c r="ID155" s="151"/>
      <c r="IE155" s="151"/>
      <c r="IF155" s="151"/>
      <c r="IG155" s="151"/>
      <c r="IH155" s="151"/>
      <c r="II155" s="151"/>
      <c r="IJ155" s="151"/>
      <c r="IK155" s="151"/>
      <c r="IL155" s="151"/>
      <c r="IM155" s="151"/>
      <c r="IN155" s="151"/>
      <c r="IO155" s="151"/>
      <c r="IP155" s="151"/>
      <c r="IQ155" s="151"/>
      <c r="IR155" s="151"/>
      <c r="IS155" s="151"/>
      <c r="IT155" s="151"/>
      <c r="IU155" s="151"/>
      <c r="IV155" s="151"/>
    </row>
    <row r="156" spans="1:256" hidden="1">
      <c r="A156" s="824"/>
      <c r="B156" s="827"/>
      <c r="C156" s="157" t="s">
        <v>1</v>
      </c>
      <c r="D156" s="158">
        <f t="shared" si="64"/>
        <v>0</v>
      </c>
      <c r="E156" s="159">
        <f t="shared" si="65"/>
        <v>0</v>
      </c>
      <c r="F156" s="159">
        <f t="shared" si="66"/>
        <v>0</v>
      </c>
      <c r="G156" s="159"/>
      <c r="H156" s="159"/>
      <c r="I156" s="159"/>
      <c r="J156" s="159"/>
      <c r="K156" s="159"/>
      <c r="L156" s="159"/>
      <c r="M156" s="159">
        <f t="shared" si="67"/>
        <v>0</v>
      </c>
      <c r="N156" s="159"/>
      <c r="O156" s="159"/>
      <c r="P156" s="159"/>
      <c r="Q156" s="160"/>
      <c r="R156" s="160"/>
      <c r="S156" s="160"/>
      <c r="T156" s="160"/>
      <c r="U156" s="160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1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  <c r="HQ156" s="151"/>
      <c r="HR156" s="151"/>
      <c r="HS156" s="151"/>
      <c r="HT156" s="151"/>
      <c r="HU156" s="151"/>
      <c r="HV156" s="151"/>
      <c r="HW156" s="151"/>
      <c r="HX156" s="151"/>
      <c r="HY156" s="151"/>
      <c r="HZ156" s="151"/>
      <c r="IA156" s="151"/>
      <c r="IB156" s="151"/>
      <c r="IC156" s="151"/>
      <c r="ID156" s="151"/>
      <c r="IE156" s="151"/>
      <c r="IF156" s="151"/>
      <c r="IG156" s="151"/>
      <c r="IH156" s="151"/>
      <c r="II156" s="151"/>
      <c r="IJ156" s="151"/>
      <c r="IK156" s="151"/>
      <c r="IL156" s="151"/>
      <c r="IM156" s="151"/>
      <c r="IN156" s="151"/>
      <c r="IO156" s="151"/>
      <c r="IP156" s="151"/>
      <c r="IQ156" s="151"/>
      <c r="IR156" s="151"/>
      <c r="IS156" s="151"/>
      <c r="IT156" s="151"/>
      <c r="IU156" s="151"/>
      <c r="IV156" s="151"/>
    </row>
    <row r="157" spans="1:256" hidden="1">
      <c r="A157" s="825"/>
      <c r="B157" s="828"/>
      <c r="C157" s="157" t="s">
        <v>2</v>
      </c>
      <c r="D157" s="158">
        <f>D156+D155</f>
        <v>195000</v>
      </c>
      <c r="E157" s="159">
        <f t="shared" ref="E157:P157" si="72">E156+E155</f>
        <v>195000</v>
      </c>
      <c r="F157" s="159">
        <f t="shared" si="72"/>
        <v>191000</v>
      </c>
      <c r="G157" s="159">
        <f t="shared" si="72"/>
        <v>141500</v>
      </c>
      <c r="H157" s="159">
        <f t="shared" si="72"/>
        <v>49500</v>
      </c>
      <c r="I157" s="159">
        <f t="shared" si="72"/>
        <v>0</v>
      </c>
      <c r="J157" s="159">
        <f t="shared" si="72"/>
        <v>4000</v>
      </c>
      <c r="K157" s="159">
        <f t="shared" si="72"/>
        <v>0</v>
      </c>
      <c r="L157" s="159">
        <f t="shared" si="72"/>
        <v>0</v>
      </c>
      <c r="M157" s="159">
        <f t="shared" si="72"/>
        <v>0</v>
      </c>
      <c r="N157" s="159">
        <f t="shared" si="72"/>
        <v>0</v>
      </c>
      <c r="O157" s="159">
        <f t="shared" si="72"/>
        <v>0</v>
      </c>
      <c r="P157" s="159">
        <f t="shared" si="72"/>
        <v>0</v>
      </c>
      <c r="Q157" s="160"/>
      <c r="R157" s="160"/>
      <c r="S157" s="160"/>
      <c r="T157" s="160"/>
      <c r="U157" s="160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1"/>
      <c r="HT157" s="151"/>
      <c r="HU157" s="151"/>
      <c r="HV157" s="151"/>
      <c r="HW157" s="151"/>
      <c r="HX157" s="151"/>
      <c r="HY157" s="151"/>
      <c r="HZ157" s="151"/>
      <c r="IA157" s="151"/>
      <c r="IB157" s="151"/>
      <c r="IC157" s="151"/>
      <c r="ID157" s="151"/>
      <c r="IE157" s="151"/>
      <c r="IF157" s="151"/>
      <c r="IG157" s="151"/>
      <c r="IH157" s="151"/>
      <c r="II157" s="151"/>
      <c r="IJ157" s="151"/>
      <c r="IK157" s="151"/>
      <c r="IL157" s="151"/>
      <c r="IM157" s="151"/>
      <c r="IN157" s="151"/>
      <c r="IO157" s="151"/>
      <c r="IP157" s="151"/>
      <c r="IQ157" s="151"/>
      <c r="IR157" s="151"/>
      <c r="IS157" s="151"/>
      <c r="IT157" s="151"/>
      <c r="IU157" s="151"/>
      <c r="IV157" s="151"/>
    </row>
    <row r="158" spans="1:256">
      <c r="A158" s="823" t="s">
        <v>212</v>
      </c>
      <c r="B158" s="826" t="s">
        <v>103</v>
      </c>
      <c r="C158" s="157" t="s">
        <v>0</v>
      </c>
      <c r="D158" s="158">
        <f t="shared" si="64"/>
        <v>20062971</v>
      </c>
      <c r="E158" s="159">
        <f t="shared" si="65"/>
        <v>13054592</v>
      </c>
      <c r="F158" s="159">
        <f t="shared" si="66"/>
        <v>6930930</v>
      </c>
      <c r="G158" s="159">
        <v>29400</v>
      </c>
      <c r="H158" s="159">
        <v>6901530</v>
      </c>
      <c r="I158" s="159">
        <v>120000</v>
      </c>
      <c r="J158" s="159">
        <v>407000</v>
      </c>
      <c r="K158" s="159">
        <f>4005123+8501539-6910000</f>
        <v>5596662</v>
      </c>
      <c r="L158" s="159">
        <v>0</v>
      </c>
      <c r="M158" s="159">
        <f t="shared" si="67"/>
        <v>7008379</v>
      </c>
      <c r="N158" s="159">
        <v>7008379</v>
      </c>
      <c r="O158" s="159">
        <v>7008379</v>
      </c>
      <c r="P158" s="159">
        <v>0</v>
      </c>
      <c r="Q158" s="166"/>
      <c r="R158" s="166"/>
      <c r="S158" s="166"/>
      <c r="T158" s="166"/>
      <c r="U158" s="166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</row>
    <row r="159" spans="1:256">
      <c r="A159" s="824"/>
      <c r="B159" s="827"/>
      <c r="C159" s="157" t="s">
        <v>1</v>
      </c>
      <c r="D159" s="158">
        <f t="shared" si="64"/>
        <v>4576938</v>
      </c>
      <c r="E159" s="159">
        <f t="shared" si="65"/>
        <v>4576938</v>
      </c>
      <c r="F159" s="159">
        <f t="shared" si="66"/>
        <v>4270000</v>
      </c>
      <c r="G159" s="159"/>
      <c r="H159" s="159">
        <v>4270000</v>
      </c>
      <c r="I159" s="159"/>
      <c r="J159" s="159"/>
      <c r="K159" s="159">
        <f>319+81+166225+42313+42246+10754+6377+1623+8768+2232+7971+2029+12754+3246</f>
        <v>306938</v>
      </c>
      <c r="L159" s="159"/>
      <c r="M159" s="159">
        <f t="shared" si="67"/>
        <v>0</v>
      </c>
      <c r="N159" s="159"/>
      <c r="O159" s="159"/>
      <c r="P159" s="159"/>
      <c r="Q159" s="166"/>
      <c r="R159" s="166"/>
      <c r="S159" s="166"/>
      <c r="T159" s="166"/>
      <c r="U159" s="166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</row>
    <row r="160" spans="1:256">
      <c r="A160" s="825"/>
      <c r="B160" s="828"/>
      <c r="C160" s="157" t="s">
        <v>2</v>
      </c>
      <c r="D160" s="158">
        <f>D159+D158</f>
        <v>24639909</v>
      </c>
      <c r="E160" s="159">
        <f t="shared" ref="E160:P160" si="73">E159+E158</f>
        <v>17631530</v>
      </c>
      <c r="F160" s="159">
        <f t="shared" si="73"/>
        <v>11200930</v>
      </c>
      <c r="G160" s="159">
        <f t="shared" si="73"/>
        <v>29400</v>
      </c>
      <c r="H160" s="159">
        <f t="shared" si="73"/>
        <v>11171530</v>
      </c>
      <c r="I160" s="159">
        <f t="shared" si="73"/>
        <v>120000</v>
      </c>
      <c r="J160" s="159">
        <f t="shared" si="73"/>
        <v>407000</v>
      </c>
      <c r="K160" s="159">
        <f t="shared" si="73"/>
        <v>5903600</v>
      </c>
      <c r="L160" s="159">
        <f t="shared" si="73"/>
        <v>0</v>
      </c>
      <c r="M160" s="159">
        <f t="shared" si="73"/>
        <v>7008379</v>
      </c>
      <c r="N160" s="159">
        <f t="shared" si="73"/>
        <v>7008379</v>
      </c>
      <c r="O160" s="159">
        <f t="shared" si="73"/>
        <v>7008379</v>
      </c>
      <c r="P160" s="159">
        <f t="shared" si="73"/>
        <v>0</v>
      </c>
      <c r="Q160" s="166"/>
      <c r="R160" s="166"/>
      <c r="S160" s="166"/>
      <c r="T160" s="166"/>
      <c r="U160" s="166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</row>
    <row r="161" spans="1:256" ht="15" hidden="1">
      <c r="A161" s="835" t="s">
        <v>55</v>
      </c>
      <c r="B161" s="838" t="s">
        <v>56</v>
      </c>
      <c r="C161" s="161" t="s">
        <v>0</v>
      </c>
      <c r="D161" s="162">
        <f t="shared" ref="D161:P162" si="74">D164</f>
        <v>5000</v>
      </c>
      <c r="E161" s="163">
        <f t="shared" si="74"/>
        <v>5000</v>
      </c>
      <c r="F161" s="163">
        <f t="shared" si="74"/>
        <v>5000</v>
      </c>
      <c r="G161" s="163">
        <f t="shared" si="74"/>
        <v>0</v>
      </c>
      <c r="H161" s="163">
        <f t="shared" si="74"/>
        <v>5000</v>
      </c>
      <c r="I161" s="163">
        <f t="shared" si="74"/>
        <v>0</v>
      </c>
      <c r="J161" s="163">
        <f t="shared" si="74"/>
        <v>0</v>
      </c>
      <c r="K161" s="163">
        <f t="shared" si="74"/>
        <v>0</v>
      </c>
      <c r="L161" s="163">
        <f t="shared" si="74"/>
        <v>0</v>
      </c>
      <c r="M161" s="163">
        <f t="shared" si="74"/>
        <v>0</v>
      </c>
      <c r="N161" s="163">
        <f t="shared" si="74"/>
        <v>0</v>
      </c>
      <c r="O161" s="163">
        <f t="shared" si="74"/>
        <v>0</v>
      </c>
      <c r="P161" s="163">
        <f t="shared" si="74"/>
        <v>0</v>
      </c>
      <c r="Q161" s="171"/>
      <c r="R161" s="171"/>
      <c r="S161" s="171"/>
      <c r="T161" s="171"/>
      <c r="U161" s="171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Q161" s="172"/>
      <c r="BR161" s="172"/>
      <c r="BS161" s="172"/>
      <c r="BT161" s="172"/>
      <c r="BU161" s="172"/>
      <c r="BV161" s="172"/>
      <c r="BW161" s="172"/>
      <c r="BX161" s="172"/>
      <c r="BY161" s="172"/>
      <c r="BZ161" s="172"/>
      <c r="CA161" s="172"/>
      <c r="CB161" s="172"/>
      <c r="CC161" s="172"/>
      <c r="CD161" s="172"/>
      <c r="CE161" s="172"/>
      <c r="CF161" s="172"/>
      <c r="CG161" s="172"/>
      <c r="CH161" s="172"/>
      <c r="CI161" s="172"/>
      <c r="CJ161" s="172"/>
      <c r="CK161" s="172"/>
      <c r="CL161" s="172"/>
      <c r="CM161" s="172"/>
      <c r="CN161" s="172"/>
      <c r="CO161" s="172"/>
      <c r="CP161" s="172"/>
      <c r="CQ161" s="172"/>
      <c r="CR161" s="172"/>
      <c r="CS161" s="172"/>
      <c r="CT161" s="172"/>
      <c r="CU161" s="172"/>
      <c r="CV161" s="172"/>
      <c r="CW161" s="172"/>
      <c r="CX161" s="172"/>
      <c r="CY161" s="172"/>
      <c r="CZ161" s="172"/>
      <c r="DA161" s="172"/>
      <c r="DB161" s="172"/>
      <c r="DC161" s="172"/>
      <c r="DD161" s="172"/>
      <c r="DE161" s="172"/>
      <c r="DF161" s="172"/>
      <c r="DG161" s="172"/>
      <c r="DH161" s="172"/>
      <c r="DI161" s="172"/>
      <c r="DJ161" s="172"/>
      <c r="DK161" s="172"/>
      <c r="DL161" s="172"/>
      <c r="DM161" s="172"/>
      <c r="DN161" s="172"/>
      <c r="DO161" s="172"/>
      <c r="DP161" s="172"/>
      <c r="DQ161" s="172"/>
      <c r="DR161" s="172"/>
      <c r="DS161" s="172"/>
      <c r="DT161" s="172"/>
      <c r="DU161" s="172"/>
      <c r="DV161" s="172"/>
      <c r="DW161" s="172"/>
      <c r="DX161" s="172"/>
      <c r="DY161" s="172"/>
      <c r="DZ161" s="172"/>
      <c r="EA161" s="172"/>
      <c r="EB161" s="172"/>
      <c r="EC161" s="172"/>
      <c r="ED161" s="172"/>
      <c r="EE161" s="172"/>
      <c r="EF161" s="172"/>
      <c r="EG161" s="172"/>
      <c r="EH161" s="172"/>
      <c r="EI161" s="172"/>
      <c r="EJ161" s="172"/>
      <c r="EK161" s="172"/>
      <c r="EL161" s="172"/>
      <c r="EM161" s="172"/>
      <c r="EN161" s="172"/>
      <c r="EO161" s="172"/>
      <c r="EP161" s="172"/>
      <c r="EQ161" s="172"/>
      <c r="ER161" s="172"/>
      <c r="ES161" s="172"/>
      <c r="ET161" s="172"/>
      <c r="EU161" s="172"/>
      <c r="EV161" s="172"/>
      <c r="EW161" s="172"/>
      <c r="EX161" s="172"/>
      <c r="EY161" s="172"/>
      <c r="EZ161" s="172"/>
      <c r="FA161" s="172"/>
      <c r="FB161" s="172"/>
      <c r="FC161" s="172"/>
      <c r="FD161" s="172"/>
      <c r="FE161" s="172"/>
      <c r="FF161" s="172"/>
      <c r="FG161" s="172"/>
      <c r="FH161" s="172"/>
      <c r="FI161" s="172"/>
      <c r="FJ161" s="172"/>
      <c r="FK161" s="172"/>
      <c r="FL161" s="172"/>
      <c r="FM161" s="172"/>
      <c r="FN161" s="172"/>
      <c r="FO161" s="172"/>
      <c r="FP161" s="172"/>
      <c r="FQ161" s="172"/>
      <c r="FR161" s="172"/>
      <c r="FS161" s="172"/>
      <c r="FT161" s="172"/>
      <c r="FU161" s="172"/>
      <c r="FV161" s="172"/>
      <c r="FW161" s="172"/>
      <c r="FX161" s="172"/>
      <c r="FY161" s="172"/>
      <c r="FZ161" s="172"/>
      <c r="GA161" s="172"/>
      <c r="GB161" s="172"/>
      <c r="GC161" s="172"/>
      <c r="GD161" s="172"/>
      <c r="GE161" s="172"/>
      <c r="GF161" s="172"/>
      <c r="GG161" s="172"/>
      <c r="GH161" s="172"/>
      <c r="GI161" s="172"/>
      <c r="GJ161" s="172"/>
      <c r="GK161" s="172"/>
      <c r="GL161" s="172"/>
      <c r="GM161" s="172"/>
      <c r="GN161" s="172"/>
      <c r="GO161" s="172"/>
      <c r="GP161" s="172"/>
      <c r="GQ161" s="172"/>
      <c r="GR161" s="172"/>
      <c r="GS161" s="172"/>
      <c r="GT161" s="172"/>
      <c r="GU161" s="172"/>
      <c r="GV161" s="172"/>
      <c r="GW161" s="172"/>
      <c r="GX161" s="172"/>
      <c r="GY161" s="172"/>
      <c r="GZ161" s="172"/>
      <c r="HA161" s="172"/>
      <c r="HB161" s="172"/>
      <c r="HC161" s="172"/>
      <c r="HD161" s="172"/>
      <c r="HE161" s="172"/>
      <c r="HF161" s="172"/>
      <c r="HG161" s="172"/>
      <c r="HH161" s="172"/>
      <c r="HI161" s="172"/>
      <c r="HJ161" s="172"/>
      <c r="HK161" s="172"/>
      <c r="HL161" s="172"/>
      <c r="HM161" s="172"/>
      <c r="HN161" s="172"/>
      <c r="HO161" s="172"/>
      <c r="HP161" s="172"/>
      <c r="HQ161" s="172"/>
      <c r="HR161" s="172"/>
      <c r="HS161" s="172"/>
      <c r="HT161" s="172"/>
      <c r="HU161" s="172"/>
      <c r="HV161" s="172"/>
      <c r="HW161" s="172"/>
      <c r="HX161" s="172"/>
      <c r="HY161" s="172"/>
      <c r="HZ161" s="172"/>
      <c r="IA161" s="172"/>
      <c r="IB161" s="172"/>
      <c r="IC161" s="172"/>
      <c r="ID161" s="172"/>
      <c r="IE161" s="172"/>
      <c r="IF161" s="172"/>
      <c r="IG161" s="172"/>
      <c r="IH161" s="172"/>
      <c r="II161" s="172"/>
      <c r="IJ161" s="172"/>
      <c r="IK161" s="172"/>
      <c r="IL161" s="172"/>
      <c r="IM161" s="172"/>
      <c r="IN161" s="172"/>
      <c r="IO161" s="172"/>
      <c r="IP161" s="172"/>
      <c r="IQ161" s="172"/>
      <c r="IR161" s="172"/>
      <c r="IS161" s="172"/>
      <c r="IT161" s="172"/>
      <c r="IU161" s="172"/>
      <c r="IV161" s="172"/>
    </row>
    <row r="162" spans="1:256" ht="15" hidden="1">
      <c r="A162" s="836"/>
      <c r="B162" s="839"/>
      <c r="C162" s="161" t="s">
        <v>1</v>
      </c>
      <c r="D162" s="162">
        <f t="shared" si="74"/>
        <v>0</v>
      </c>
      <c r="E162" s="163">
        <f t="shared" si="74"/>
        <v>0</v>
      </c>
      <c r="F162" s="163">
        <f t="shared" si="74"/>
        <v>0</v>
      </c>
      <c r="G162" s="163">
        <f t="shared" si="74"/>
        <v>0</v>
      </c>
      <c r="H162" s="163">
        <f t="shared" si="74"/>
        <v>0</v>
      </c>
      <c r="I162" s="163">
        <f t="shared" si="74"/>
        <v>0</v>
      </c>
      <c r="J162" s="163">
        <f t="shared" si="74"/>
        <v>0</v>
      </c>
      <c r="K162" s="163">
        <f t="shared" si="74"/>
        <v>0</v>
      </c>
      <c r="L162" s="163">
        <f t="shared" si="74"/>
        <v>0</v>
      </c>
      <c r="M162" s="163">
        <f t="shared" si="74"/>
        <v>0</v>
      </c>
      <c r="N162" s="163">
        <f t="shared" si="74"/>
        <v>0</v>
      </c>
      <c r="O162" s="163">
        <f t="shared" si="74"/>
        <v>0</v>
      </c>
      <c r="P162" s="163">
        <f t="shared" si="74"/>
        <v>0</v>
      </c>
      <c r="Q162" s="171"/>
      <c r="R162" s="171"/>
      <c r="S162" s="171"/>
      <c r="T162" s="171"/>
      <c r="U162" s="171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  <c r="CM162" s="172"/>
      <c r="CN162" s="172"/>
      <c r="CO162" s="172"/>
      <c r="CP162" s="172"/>
      <c r="CQ162" s="172"/>
      <c r="CR162" s="172"/>
      <c r="CS162" s="172"/>
      <c r="CT162" s="172"/>
      <c r="CU162" s="172"/>
      <c r="CV162" s="172"/>
      <c r="CW162" s="172"/>
      <c r="CX162" s="172"/>
      <c r="CY162" s="172"/>
      <c r="CZ162" s="172"/>
      <c r="DA162" s="172"/>
      <c r="DB162" s="172"/>
      <c r="DC162" s="172"/>
      <c r="DD162" s="172"/>
      <c r="DE162" s="172"/>
      <c r="DF162" s="172"/>
      <c r="DG162" s="172"/>
      <c r="DH162" s="172"/>
      <c r="DI162" s="172"/>
      <c r="DJ162" s="172"/>
      <c r="DK162" s="172"/>
      <c r="DL162" s="172"/>
      <c r="DM162" s="172"/>
      <c r="DN162" s="172"/>
      <c r="DO162" s="172"/>
      <c r="DP162" s="172"/>
      <c r="DQ162" s="172"/>
      <c r="DR162" s="172"/>
      <c r="DS162" s="172"/>
      <c r="DT162" s="172"/>
      <c r="DU162" s="172"/>
      <c r="DV162" s="172"/>
      <c r="DW162" s="172"/>
      <c r="DX162" s="172"/>
      <c r="DY162" s="172"/>
      <c r="DZ162" s="172"/>
      <c r="EA162" s="172"/>
      <c r="EB162" s="172"/>
      <c r="EC162" s="172"/>
      <c r="ED162" s="172"/>
      <c r="EE162" s="172"/>
      <c r="EF162" s="172"/>
      <c r="EG162" s="172"/>
      <c r="EH162" s="172"/>
      <c r="EI162" s="172"/>
      <c r="EJ162" s="172"/>
      <c r="EK162" s="172"/>
      <c r="EL162" s="172"/>
      <c r="EM162" s="172"/>
      <c r="EN162" s="172"/>
      <c r="EO162" s="172"/>
      <c r="EP162" s="172"/>
      <c r="EQ162" s="172"/>
      <c r="ER162" s="172"/>
      <c r="ES162" s="172"/>
      <c r="ET162" s="172"/>
      <c r="EU162" s="172"/>
      <c r="EV162" s="172"/>
      <c r="EW162" s="172"/>
      <c r="EX162" s="172"/>
      <c r="EY162" s="172"/>
      <c r="EZ162" s="172"/>
      <c r="FA162" s="172"/>
      <c r="FB162" s="172"/>
      <c r="FC162" s="172"/>
      <c r="FD162" s="172"/>
      <c r="FE162" s="172"/>
      <c r="FF162" s="172"/>
      <c r="FG162" s="172"/>
      <c r="FH162" s="172"/>
      <c r="FI162" s="172"/>
      <c r="FJ162" s="172"/>
      <c r="FK162" s="172"/>
      <c r="FL162" s="172"/>
      <c r="FM162" s="172"/>
      <c r="FN162" s="172"/>
      <c r="FO162" s="172"/>
      <c r="FP162" s="172"/>
      <c r="FQ162" s="172"/>
      <c r="FR162" s="172"/>
      <c r="FS162" s="172"/>
      <c r="FT162" s="172"/>
      <c r="FU162" s="172"/>
      <c r="FV162" s="172"/>
      <c r="FW162" s="172"/>
      <c r="FX162" s="172"/>
      <c r="FY162" s="172"/>
      <c r="FZ162" s="172"/>
      <c r="GA162" s="172"/>
      <c r="GB162" s="172"/>
      <c r="GC162" s="172"/>
      <c r="GD162" s="172"/>
      <c r="GE162" s="172"/>
      <c r="GF162" s="172"/>
      <c r="GG162" s="172"/>
      <c r="GH162" s="172"/>
      <c r="GI162" s="172"/>
      <c r="GJ162" s="172"/>
      <c r="GK162" s="172"/>
      <c r="GL162" s="172"/>
      <c r="GM162" s="172"/>
      <c r="GN162" s="172"/>
      <c r="GO162" s="172"/>
      <c r="GP162" s="172"/>
      <c r="GQ162" s="172"/>
      <c r="GR162" s="172"/>
      <c r="GS162" s="172"/>
      <c r="GT162" s="172"/>
      <c r="GU162" s="172"/>
      <c r="GV162" s="172"/>
      <c r="GW162" s="172"/>
      <c r="GX162" s="172"/>
      <c r="GY162" s="172"/>
      <c r="GZ162" s="172"/>
      <c r="HA162" s="172"/>
      <c r="HB162" s="172"/>
      <c r="HC162" s="172"/>
      <c r="HD162" s="172"/>
      <c r="HE162" s="172"/>
      <c r="HF162" s="172"/>
      <c r="HG162" s="172"/>
      <c r="HH162" s="172"/>
      <c r="HI162" s="172"/>
      <c r="HJ162" s="172"/>
      <c r="HK162" s="172"/>
      <c r="HL162" s="172"/>
      <c r="HM162" s="172"/>
      <c r="HN162" s="172"/>
      <c r="HO162" s="172"/>
      <c r="HP162" s="172"/>
      <c r="HQ162" s="172"/>
      <c r="HR162" s="172"/>
      <c r="HS162" s="172"/>
      <c r="HT162" s="172"/>
      <c r="HU162" s="172"/>
      <c r="HV162" s="172"/>
      <c r="HW162" s="172"/>
      <c r="HX162" s="172"/>
      <c r="HY162" s="172"/>
      <c r="HZ162" s="172"/>
      <c r="IA162" s="172"/>
      <c r="IB162" s="172"/>
      <c r="IC162" s="172"/>
      <c r="ID162" s="172"/>
      <c r="IE162" s="172"/>
      <c r="IF162" s="172"/>
      <c r="IG162" s="172"/>
      <c r="IH162" s="172"/>
      <c r="II162" s="172"/>
      <c r="IJ162" s="172"/>
      <c r="IK162" s="172"/>
      <c r="IL162" s="172"/>
      <c r="IM162" s="172"/>
      <c r="IN162" s="172"/>
      <c r="IO162" s="172"/>
      <c r="IP162" s="172"/>
      <c r="IQ162" s="172"/>
      <c r="IR162" s="172"/>
      <c r="IS162" s="172"/>
      <c r="IT162" s="172"/>
      <c r="IU162" s="172"/>
      <c r="IV162" s="172"/>
    </row>
    <row r="163" spans="1:256" ht="15" hidden="1">
      <c r="A163" s="837"/>
      <c r="B163" s="840"/>
      <c r="C163" s="161" t="s">
        <v>2</v>
      </c>
      <c r="D163" s="162">
        <f>D162+D161</f>
        <v>5000</v>
      </c>
      <c r="E163" s="163">
        <f t="shared" ref="E163:P163" si="75">E162+E161</f>
        <v>5000</v>
      </c>
      <c r="F163" s="163">
        <f t="shared" si="75"/>
        <v>5000</v>
      </c>
      <c r="G163" s="163">
        <f t="shared" si="75"/>
        <v>0</v>
      </c>
      <c r="H163" s="163">
        <f t="shared" si="75"/>
        <v>5000</v>
      </c>
      <c r="I163" s="163">
        <f t="shared" si="75"/>
        <v>0</v>
      </c>
      <c r="J163" s="163">
        <f t="shared" si="75"/>
        <v>0</v>
      </c>
      <c r="K163" s="163">
        <f t="shared" si="75"/>
        <v>0</v>
      </c>
      <c r="L163" s="163">
        <f t="shared" si="75"/>
        <v>0</v>
      </c>
      <c r="M163" s="163">
        <f t="shared" si="75"/>
        <v>0</v>
      </c>
      <c r="N163" s="163">
        <f t="shared" si="75"/>
        <v>0</v>
      </c>
      <c r="O163" s="163">
        <f t="shared" si="75"/>
        <v>0</v>
      </c>
      <c r="P163" s="163">
        <f t="shared" si="75"/>
        <v>0</v>
      </c>
      <c r="Q163" s="171"/>
      <c r="R163" s="171"/>
      <c r="S163" s="171"/>
      <c r="T163" s="171"/>
      <c r="U163" s="171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2"/>
      <c r="BY163" s="172"/>
      <c r="BZ163" s="172"/>
      <c r="CA163" s="172"/>
      <c r="CB163" s="172"/>
      <c r="CC163" s="172"/>
      <c r="CD163" s="172"/>
      <c r="CE163" s="172"/>
      <c r="CF163" s="172"/>
      <c r="CG163" s="172"/>
      <c r="CH163" s="172"/>
      <c r="CI163" s="172"/>
      <c r="CJ163" s="172"/>
      <c r="CK163" s="172"/>
      <c r="CL163" s="172"/>
      <c r="CM163" s="172"/>
      <c r="CN163" s="172"/>
      <c r="CO163" s="172"/>
      <c r="CP163" s="172"/>
      <c r="CQ163" s="172"/>
      <c r="CR163" s="172"/>
      <c r="CS163" s="172"/>
      <c r="CT163" s="172"/>
      <c r="CU163" s="172"/>
      <c r="CV163" s="172"/>
      <c r="CW163" s="172"/>
      <c r="CX163" s="172"/>
      <c r="CY163" s="172"/>
      <c r="CZ163" s="172"/>
      <c r="DA163" s="172"/>
      <c r="DB163" s="172"/>
      <c r="DC163" s="172"/>
      <c r="DD163" s="172"/>
      <c r="DE163" s="172"/>
      <c r="DF163" s="172"/>
      <c r="DG163" s="172"/>
      <c r="DH163" s="172"/>
      <c r="DI163" s="172"/>
      <c r="DJ163" s="172"/>
      <c r="DK163" s="172"/>
      <c r="DL163" s="172"/>
      <c r="DM163" s="172"/>
      <c r="DN163" s="172"/>
      <c r="DO163" s="172"/>
      <c r="DP163" s="172"/>
      <c r="DQ163" s="172"/>
      <c r="DR163" s="172"/>
      <c r="DS163" s="172"/>
      <c r="DT163" s="172"/>
      <c r="DU163" s="172"/>
      <c r="DV163" s="172"/>
      <c r="DW163" s="172"/>
      <c r="DX163" s="172"/>
      <c r="DY163" s="172"/>
      <c r="DZ163" s="172"/>
      <c r="EA163" s="172"/>
      <c r="EB163" s="172"/>
      <c r="EC163" s="172"/>
      <c r="ED163" s="172"/>
      <c r="EE163" s="172"/>
      <c r="EF163" s="172"/>
      <c r="EG163" s="172"/>
      <c r="EH163" s="172"/>
      <c r="EI163" s="172"/>
      <c r="EJ163" s="172"/>
      <c r="EK163" s="172"/>
      <c r="EL163" s="172"/>
      <c r="EM163" s="172"/>
      <c r="EN163" s="172"/>
      <c r="EO163" s="172"/>
      <c r="EP163" s="172"/>
      <c r="EQ163" s="172"/>
      <c r="ER163" s="172"/>
      <c r="ES163" s="172"/>
      <c r="ET163" s="172"/>
      <c r="EU163" s="172"/>
      <c r="EV163" s="172"/>
      <c r="EW163" s="172"/>
      <c r="EX163" s="172"/>
      <c r="EY163" s="172"/>
      <c r="EZ163" s="172"/>
      <c r="FA163" s="172"/>
      <c r="FB163" s="172"/>
      <c r="FC163" s="172"/>
      <c r="FD163" s="172"/>
      <c r="FE163" s="172"/>
      <c r="FF163" s="172"/>
      <c r="FG163" s="172"/>
      <c r="FH163" s="172"/>
      <c r="FI163" s="172"/>
      <c r="FJ163" s="172"/>
      <c r="FK163" s="172"/>
      <c r="FL163" s="172"/>
      <c r="FM163" s="172"/>
      <c r="FN163" s="172"/>
      <c r="FO163" s="172"/>
      <c r="FP163" s="172"/>
      <c r="FQ163" s="172"/>
      <c r="FR163" s="172"/>
      <c r="FS163" s="172"/>
      <c r="FT163" s="172"/>
      <c r="FU163" s="172"/>
      <c r="FV163" s="172"/>
      <c r="FW163" s="172"/>
      <c r="FX163" s="172"/>
      <c r="FY163" s="172"/>
      <c r="FZ163" s="172"/>
      <c r="GA163" s="172"/>
      <c r="GB163" s="172"/>
      <c r="GC163" s="172"/>
      <c r="GD163" s="172"/>
      <c r="GE163" s="172"/>
      <c r="GF163" s="172"/>
      <c r="GG163" s="172"/>
      <c r="GH163" s="172"/>
      <c r="GI163" s="172"/>
      <c r="GJ163" s="172"/>
      <c r="GK163" s="172"/>
      <c r="GL163" s="172"/>
      <c r="GM163" s="172"/>
      <c r="GN163" s="172"/>
      <c r="GO163" s="172"/>
      <c r="GP163" s="172"/>
      <c r="GQ163" s="172"/>
      <c r="GR163" s="172"/>
      <c r="GS163" s="172"/>
      <c r="GT163" s="172"/>
      <c r="GU163" s="172"/>
      <c r="GV163" s="172"/>
      <c r="GW163" s="172"/>
      <c r="GX163" s="172"/>
      <c r="GY163" s="172"/>
      <c r="GZ163" s="172"/>
      <c r="HA163" s="172"/>
      <c r="HB163" s="172"/>
      <c r="HC163" s="172"/>
      <c r="HD163" s="172"/>
      <c r="HE163" s="172"/>
      <c r="HF163" s="172"/>
      <c r="HG163" s="172"/>
      <c r="HH163" s="172"/>
      <c r="HI163" s="172"/>
      <c r="HJ163" s="172"/>
      <c r="HK163" s="172"/>
      <c r="HL163" s="172"/>
      <c r="HM163" s="172"/>
      <c r="HN163" s="172"/>
      <c r="HO163" s="172"/>
      <c r="HP163" s="172"/>
      <c r="HQ163" s="172"/>
      <c r="HR163" s="172"/>
      <c r="HS163" s="172"/>
      <c r="HT163" s="172"/>
      <c r="HU163" s="172"/>
      <c r="HV163" s="172"/>
      <c r="HW163" s="172"/>
      <c r="HX163" s="172"/>
      <c r="HY163" s="172"/>
      <c r="HZ163" s="172"/>
      <c r="IA163" s="172"/>
      <c r="IB163" s="172"/>
      <c r="IC163" s="172"/>
      <c r="ID163" s="172"/>
      <c r="IE163" s="172"/>
      <c r="IF163" s="172"/>
      <c r="IG163" s="172"/>
      <c r="IH163" s="172"/>
      <c r="II163" s="172"/>
      <c r="IJ163" s="172"/>
      <c r="IK163" s="172"/>
      <c r="IL163" s="172"/>
      <c r="IM163" s="172"/>
      <c r="IN163" s="172"/>
      <c r="IO163" s="172"/>
      <c r="IP163" s="172"/>
      <c r="IQ163" s="172"/>
      <c r="IR163" s="172"/>
      <c r="IS163" s="172"/>
      <c r="IT163" s="172"/>
      <c r="IU163" s="172"/>
      <c r="IV163" s="172"/>
    </row>
    <row r="164" spans="1:256" hidden="1">
      <c r="A164" s="823" t="s">
        <v>213</v>
      </c>
      <c r="B164" s="826" t="s">
        <v>214</v>
      </c>
      <c r="C164" s="157" t="s">
        <v>0</v>
      </c>
      <c r="D164" s="158">
        <f>E164+M164</f>
        <v>5000</v>
      </c>
      <c r="E164" s="159">
        <f>F164+I164+J164+K164+L164</f>
        <v>5000</v>
      </c>
      <c r="F164" s="159">
        <f>G164+H164</f>
        <v>5000</v>
      </c>
      <c r="G164" s="159">
        <v>0</v>
      </c>
      <c r="H164" s="159">
        <v>5000</v>
      </c>
      <c r="I164" s="159">
        <v>0</v>
      </c>
      <c r="J164" s="159">
        <v>0</v>
      </c>
      <c r="K164" s="159">
        <v>0</v>
      </c>
      <c r="L164" s="159">
        <v>0</v>
      </c>
      <c r="M164" s="159">
        <f>N164+P164</f>
        <v>0</v>
      </c>
      <c r="N164" s="159">
        <v>0</v>
      </c>
      <c r="O164" s="159">
        <v>0</v>
      </c>
      <c r="P164" s="159">
        <v>0</v>
      </c>
      <c r="Q164" s="166"/>
      <c r="R164" s="166"/>
      <c r="S164" s="166"/>
      <c r="T164" s="166"/>
      <c r="U164" s="166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</row>
    <row r="165" spans="1:256" hidden="1">
      <c r="A165" s="824"/>
      <c r="B165" s="827"/>
      <c r="C165" s="157" t="s">
        <v>1</v>
      </c>
      <c r="D165" s="158">
        <f>E165+M165</f>
        <v>0</v>
      </c>
      <c r="E165" s="159">
        <f>F165+I165+J165+K165+L165</f>
        <v>0</v>
      </c>
      <c r="F165" s="159">
        <f>G165+H165</f>
        <v>0</v>
      </c>
      <c r="G165" s="159"/>
      <c r="H165" s="159"/>
      <c r="I165" s="159"/>
      <c r="J165" s="159"/>
      <c r="K165" s="159"/>
      <c r="L165" s="159"/>
      <c r="M165" s="159">
        <f>N165+P165</f>
        <v>0</v>
      </c>
      <c r="N165" s="159"/>
      <c r="O165" s="159"/>
      <c r="P165" s="159"/>
      <c r="Q165" s="166"/>
      <c r="R165" s="166"/>
      <c r="S165" s="166"/>
      <c r="T165" s="166"/>
      <c r="U165" s="166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</row>
    <row r="166" spans="1:256" hidden="1">
      <c r="A166" s="825"/>
      <c r="B166" s="828"/>
      <c r="C166" s="157" t="s">
        <v>2</v>
      </c>
      <c r="D166" s="158">
        <f>D165+D164</f>
        <v>5000</v>
      </c>
      <c r="E166" s="159">
        <f t="shared" ref="E166:P166" si="76">E165+E164</f>
        <v>5000</v>
      </c>
      <c r="F166" s="159">
        <f t="shared" si="76"/>
        <v>5000</v>
      </c>
      <c r="G166" s="159">
        <f t="shared" si="76"/>
        <v>0</v>
      </c>
      <c r="H166" s="159">
        <f t="shared" si="76"/>
        <v>5000</v>
      </c>
      <c r="I166" s="159">
        <f t="shared" si="76"/>
        <v>0</v>
      </c>
      <c r="J166" s="159">
        <f t="shared" si="76"/>
        <v>0</v>
      </c>
      <c r="K166" s="159">
        <f t="shared" si="76"/>
        <v>0</v>
      </c>
      <c r="L166" s="159">
        <f t="shared" si="76"/>
        <v>0</v>
      </c>
      <c r="M166" s="159">
        <f t="shared" si="76"/>
        <v>0</v>
      </c>
      <c r="N166" s="159">
        <f t="shared" si="76"/>
        <v>0</v>
      </c>
      <c r="O166" s="159">
        <f t="shared" si="76"/>
        <v>0</v>
      </c>
      <c r="P166" s="159">
        <f t="shared" si="76"/>
        <v>0</v>
      </c>
      <c r="Q166" s="166"/>
      <c r="R166" s="166"/>
      <c r="S166" s="166"/>
      <c r="T166" s="166"/>
      <c r="U166" s="166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</row>
    <row r="167" spans="1:256" ht="17.25" hidden="1" customHeight="1">
      <c r="A167" s="835" t="s">
        <v>97</v>
      </c>
      <c r="B167" s="838" t="s">
        <v>99</v>
      </c>
      <c r="C167" s="161" t="s">
        <v>0</v>
      </c>
      <c r="D167" s="173">
        <f t="shared" ref="D167:O168" si="77">D170</f>
        <v>891432.5</v>
      </c>
      <c r="E167" s="163">
        <f t="shared" si="77"/>
        <v>891432.5</v>
      </c>
      <c r="F167" s="163">
        <f t="shared" si="77"/>
        <v>891432.5</v>
      </c>
      <c r="G167" s="163">
        <f t="shared" si="77"/>
        <v>0</v>
      </c>
      <c r="H167" s="163">
        <f t="shared" si="77"/>
        <v>891432.5</v>
      </c>
      <c r="I167" s="163">
        <f t="shared" si="77"/>
        <v>0</v>
      </c>
      <c r="J167" s="163">
        <f t="shared" si="77"/>
        <v>0</v>
      </c>
      <c r="K167" s="163">
        <f t="shared" si="77"/>
        <v>0</v>
      </c>
      <c r="L167" s="163">
        <f t="shared" si="77"/>
        <v>0</v>
      </c>
      <c r="M167" s="163">
        <f t="shared" si="77"/>
        <v>0</v>
      </c>
      <c r="N167" s="163">
        <f t="shared" si="77"/>
        <v>0</v>
      </c>
      <c r="O167" s="163">
        <f t="shared" si="77"/>
        <v>0</v>
      </c>
      <c r="P167" s="163">
        <f>P170</f>
        <v>0</v>
      </c>
      <c r="Q167" s="174"/>
      <c r="R167" s="174"/>
      <c r="S167" s="174"/>
      <c r="T167" s="174"/>
      <c r="U167" s="174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  <c r="DT167" s="175"/>
      <c r="DU167" s="175"/>
      <c r="DV167" s="175"/>
      <c r="DW167" s="175"/>
      <c r="DX167" s="175"/>
      <c r="DY167" s="175"/>
      <c r="DZ167" s="175"/>
      <c r="EA167" s="175"/>
      <c r="EB167" s="175"/>
      <c r="EC167" s="175"/>
      <c r="ED167" s="175"/>
      <c r="EE167" s="175"/>
      <c r="EF167" s="175"/>
      <c r="EG167" s="175"/>
      <c r="EH167" s="175"/>
      <c r="EI167" s="175"/>
      <c r="EJ167" s="175"/>
      <c r="EK167" s="175"/>
      <c r="EL167" s="175"/>
      <c r="EM167" s="175"/>
      <c r="EN167" s="175"/>
      <c r="EO167" s="175"/>
      <c r="EP167" s="175"/>
      <c r="EQ167" s="175"/>
      <c r="ER167" s="175"/>
      <c r="ES167" s="175"/>
      <c r="ET167" s="175"/>
      <c r="EU167" s="175"/>
      <c r="EV167" s="175"/>
      <c r="EW167" s="175"/>
      <c r="EX167" s="175"/>
      <c r="EY167" s="175"/>
      <c r="EZ167" s="175"/>
      <c r="FA167" s="175"/>
      <c r="FB167" s="175"/>
      <c r="FC167" s="175"/>
      <c r="FD167" s="175"/>
      <c r="FE167" s="175"/>
      <c r="FF167" s="175"/>
      <c r="FG167" s="175"/>
      <c r="FH167" s="175"/>
      <c r="FI167" s="175"/>
      <c r="FJ167" s="175"/>
      <c r="FK167" s="175"/>
      <c r="FL167" s="175"/>
      <c r="FM167" s="175"/>
      <c r="FN167" s="175"/>
      <c r="FO167" s="175"/>
      <c r="FP167" s="175"/>
      <c r="FQ167" s="175"/>
      <c r="FR167" s="175"/>
      <c r="FS167" s="175"/>
      <c r="FT167" s="175"/>
      <c r="FU167" s="175"/>
      <c r="FV167" s="175"/>
      <c r="FW167" s="175"/>
      <c r="FX167" s="175"/>
      <c r="FY167" s="175"/>
      <c r="FZ167" s="175"/>
      <c r="GA167" s="175"/>
      <c r="GB167" s="175"/>
      <c r="GC167" s="175"/>
      <c r="GD167" s="175"/>
      <c r="GE167" s="175"/>
      <c r="GF167" s="175"/>
      <c r="GG167" s="175"/>
      <c r="GH167" s="175"/>
      <c r="GI167" s="175"/>
      <c r="GJ167" s="175"/>
      <c r="GK167" s="175"/>
      <c r="GL167" s="175"/>
      <c r="GM167" s="175"/>
      <c r="GN167" s="175"/>
      <c r="GO167" s="175"/>
      <c r="GP167" s="175"/>
      <c r="GQ167" s="175"/>
      <c r="GR167" s="175"/>
      <c r="GS167" s="175"/>
      <c r="GT167" s="175"/>
      <c r="GU167" s="175"/>
      <c r="GV167" s="175"/>
      <c r="GW167" s="175"/>
      <c r="GX167" s="175"/>
      <c r="GY167" s="175"/>
      <c r="GZ167" s="175"/>
      <c r="HA167" s="175"/>
      <c r="HB167" s="175"/>
      <c r="HC167" s="175"/>
      <c r="HD167" s="175"/>
      <c r="HE167" s="175"/>
      <c r="HF167" s="175"/>
      <c r="HG167" s="175"/>
      <c r="HH167" s="175"/>
      <c r="HI167" s="175"/>
      <c r="HJ167" s="175"/>
      <c r="HK167" s="175"/>
      <c r="HL167" s="175"/>
      <c r="HM167" s="175"/>
      <c r="HN167" s="175"/>
      <c r="HO167" s="175"/>
      <c r="HP167" s="175"/>
      <c r="HQ167" s="175"/>
      <c r="HR167" s="175"/>
      <c r="HS167" s="175"/>
      <c r="HT167" s="175"/>
      <c r="HU167" s="175"/>
      <c r="HV167" s="175"/>
      <c r="HW167" s="175"/>
      <c r="HX167" s="175"/>
      <c r="HY167" s="175"/>
      <c r="HZ167" s="175"/>
      <c r="IA167" s="175"/>
      <c r="IB167" s="175"/>
      <c r="IC167" s="175"/>
      <c r="ID167" s="175"/>
      <c r="IE167" s="175"/>
      <c r="IF167" s="175"/>
      <c r="IG167" s="175"/>
      <c r="IH167" s="175"/>
      <c r="II167" s="175"/>
      <c r="IJ167" s="175"/>
      <c r="IK167" s="175"/>
      <c r="IL167" s="175"/>
      <c r="IM167" s="175"/>
      <c r="IN167" s="175"/>
      <c r="IO167" s="175"/>
      <c r="IP167" s="175"/>
      <c r="IQ167" s="175"/>
      <c r="IR167" s="175"/>
      <c r="IS167" s="175"/>
      <c r="IT167" s="175"/>
      <c r="IU167" s="175"/>
      <c r="IV167" s="175"/>
    </row>
    <row r="168" spans="1:256" ht="17.25" hidden="1" customHeight="1">
      <c r="A168" s="836"/>
      <c r="B168" s="839"/>
      <c r="C168" s="161" t="s">
        <v>1</v>
      </c>
      <c r="D168" s="173">
        <f t="shared" si="77"/>
        <v>0</v>
      </c>
      <c r="E168" s="163">
        <f t="shared" si="77"/>
        <v>0</v>
      </c>
      <c r="F168" s="163">
        <f t="shared" si="77"/>
        <v>0</v>
      </c>
      <c r="G168" s="163">
        <f t="shared" si="77"/>
        <v>0</v>
      </c>
      <c r="H168" s="163">
        <f t="shared" si="77"/>
        <v>0</v>
      </c>
      <c r="I168" s="163">
        <f t="shared" si="77"/>
        <v>0</v>
      </c>
      <c r="J168" s="163">
        <f t="shared" si="77"/>
        <v>0</v>
      </c>
      <c r="K168" s="163">
        <f t="shared" si="77"/>
        <v>0</v>
      </c>
      <c r="L168" s="163">
        <f t="shared" si="77"/>
        <v>0</v>
      </c>
      <c r="M168" s="163">
        <f t="shared" si="77"/>
        <v>0</v>
      </c>
      <c r="N168" s="163">
        <f t="shared" si="77"/>
        <v>0</v>
      </c>
      <c r="O168" s="163">
        <f t="shared" si="77"/>
        <v>0</v>
      </c>
      <c r="P168" s="163">
        <f>P171</f>
        <v>0</v>
      </c>
      <c r="Q168" s="174"/>
      <c r="R168" s="174"/>
      <c r="S168" s="174"/>
      <c r="T168" s="174"/>
      <c r="U168" s="174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  <c r="GX168" s="175"/>
      <c r="GY168" s="175"/>
      <c r="GZ168" s="175"/>
      <c r="HA168" s="175"/>
      <c r="HB168" s="175"/>
      <c r="HC168" s="175"/>
      <c r="HD168" s="175"/>
      <c r="HE168" s="175"/>
      <c r="HF168" s="175"/>
      <c r="HG168" s="175"/>
      <c r="HH168" s="175"/>
      <c r="HI168" s="175"/>
      <c r="HJ168" s="175"/>
      <c r="HK168" s="175"/>
      <c r="HL168" s="175"/>
      <c r="HM168" s="175"/>
      <c r="HN168" s="175"/>
      <c r="HO168" s="175"/>
      <c r="HP168" s="175"/>
      <c r="HQ168" s="175"/>
      <c r="HR168" s="175"/>
      <c r="HS168" s="175"/>
      <c r="HT168" s="175"/>
      <c r="HU168" s="175"/>
      <c r="HV168" s="175"/>
      <c r="HW168" s="175"/>
      <c r="HX168" s="175"/>
      <c r="HY168" s="175"/>
      <c r="HZ168" s="175"/>
      <c r="IA168" s="175"/>
      <c r="IB168" s="175"/>
      <c r="IC168" s="175"/>
      <c r="ID168" s="175"/>
      <c r="IE168" s="175"/>
      <c r="IF168" s="175"/>
      <c r="IG168" s="175"/>
      <c r="IH168" s="175"/>
      <c r="II168" s="175"/>
      <c r="IJ168" s="175"/>
      <c r="IK168" s="175"/>
      <c r="IL168" s="175"/>
      <c r="IM168" s="175"/>
      <c r="IN168" s="175"/>
      <c r="IO168" s="175"/>
      <c r="IP168" s="175"/>
      <c r="IQ168" s="175"/>
      <c r="IR168" s="175"/>
      <c r="IS168" s="175"/>
      <c r="IT168" s="175"/>
      <c r="IU168" s="175"/>
      <c r="IV168" s="175"/>
    </row>
    <row r="169" spans="1:256" ht="17.25" hidden="1" customHeight="1">
      <c r="A169" s="837"/>
      <c r="B169" s="840"/>
      <c r="C169" s="161" t="s">
        <v>2</v>
      </c>
      <c r="D169" s="173">
        <f>D168+D167</f>
        <v>891432.5</v>
      </c>
      <c r="E169" s="163">
        <f t="shared" ref="E169:P169" si="78">E168+E167</f>
        <v>891432.5</v>
      </c>
      <c r="F169" s="163">
        <f t="shared" si="78"/>
        <v>891432.5</v>
      </c>
      <c r="G169" s="163">
        <f t="shared" si="78"/>
        <v>0</v>
      </c>
      <c r="H169" s="163">
        <f t="shared" si="78"/>
        <v>891432.5</v>
      </c>
      <c r="I169" s="163">
        <f t="shared" si="78"/>
        <v>0</v>
      </c>
      <c r="J169" s="163">
        <f t="shared" si="78"/>
        <v>0</v>
      </c>
      <c r="K169" s="163">
        <f t="shared" si="78"/>
        <v>0</v>
      </c>
      <c r="L169" s="163">
        <f t="shared" si="78"/>
        <v>0</v>
      </c>
      <c r="M169" s="163">
        <f t="shared" si="78"/>
        <v>0</v>
      </c>
      <c r="N169" s="163">
        <f t="shared" si="78"/>
        <v>0</v>
      </c>
      <c r="O169" s="163">
        <f t="shared" si="78"/>
        <v>0</v>
      </c>
      <c r="P169" s="163">
        <f t="shared" si="78"/>
        <v>0</v>
      </c>
      <c r="Q169" s="174"/>
      <c r="R169" s="174"/>
      <c r="S169" s="174"/>
      <c r="T169" s="174"/>
      <c r="U169" s="174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75"/>
      <c r="DC169" s="175"/>
      <c r="DD169" s="175"/>
      <c r="DE169" s="175"/>
      <c r="DF169" s="175"/>
      <c r="DG169" s="175"/>
      <c r="DH169" s="175"/>
      <c r="DI169" s="175"/>
      <c r="DJ169" s="175"/>
      <c r="DK169" s="175"/>
      <c r="DL169" s="175"/>
      <c r="DM169" s="175"/>
      <c r="DN169" s="175"/>
      <c r="DO169" s="175"/>
      <c r="DP169" s="175"/>
      <c r="DQ169" s="175"/>
      <c r="DR169" s="175"/>
      <c r="DS169" s="175"/>
      <c r="DT169" s="175"/>
      <c r="DU169" s="175"/>
      <c r="DV169" s="175"/>
      <c r="DW169" s="175"/>
      <c r="DX169" s="175"/>
      <c r="DY169" s="175"/>
      <c r="DZ169" s="175"/>
      <c r="EA169" s="175"/>
      <c r="EB169" s="175"/>
      <c r="EC169" s="175"/>
      <c r="ED169" s="175"/>
      <c r="EE169" s="175"/>
      <c r="EF169" s="175"/>
      <c r="EG169" s="175"/>
      <c r="EH169" s="175"/>
      <c r="EI169" s="175"/>
      <c r="EJ169" s="175"/>
      <c r="EK169" s="175"/>
      <c r="EL169" s="175"/>
      <c r="EM169" s="175"/>
      <c r="EN169" s="175"/>
      <c r="EO169" s="175"/>
      <c r="EP169" s="175"/>
      <c r="EQ169" s="175"/>
      <c r="ER169" s="175"/>
      <c r="ES169" s="175"/>
      <c r="ET169" s="175"/>
      <c r="EU169" s="175"/>
      <c r="EV169" s="175"/>
      <c r="EW169" s="175"/>
      <c r="EX169" s="175"/>
      <c r="EY169" s="175"/>
      <c r="EZ169" s="175"/>
      <c r="FA169" s="175"/>
      <c r="FB169" s="175"/>
      <c r="FC169" s="175"/>
      <c r="FD169" s="175"/>
      <c r="FE169" s="175"/>
      <c r="FF169" s="175"/>
      <c r="FG169" s="175"/>
      <c r="FH169" s="175"/>
      <c r="FI169" s="175"/>
      <c r="FJ169" s="175"/>
      <c r="FK169" s="175"/>
      <c r="FL169" s="175"/>
      <c r="FM169" s="175"/>
      <c r="FN169" s="175"/>
      <c r="FO169" s="175"/>
      <c r="FP169" s="175"/>
      <c r="FQ169" s="175"/>
      <c r="FR169" s="175"/>
      <c r="FS169" s="175"/>
      <c r="FT169" s="175"/>
      <c r="FU169" s="175"/>
      <c r="FV169" s="175"/>
      <c r="FW169" s="175"/>
      <c r="FX169" s="175"/>
      <c r="FY169" s="175"/>
      <c r="FZ169" s="175"/>
      <c r="GA169" s="175"/>
      <c r="GB169" s="175"/>
      <c r="GC169" s="175"/>
      <c r="GD169" s="175"/>
      <c r="GE169" s="175"/>
      <c r="GF169" s="175"/>
      <c r="GG169" s="175"/>
      <c r="GH169" s="175"/>
      <c r="GI169" s="175"/>
      <c r="GJ169" s="175"/>
      <c r="GK169" s="175"/>
      <c r="GL169" s="175"/>
      <c r="GM169" s="175"/>
      <c r="GN169" s="175"/>
      <c r="GO169" s="175"/>
      <c r="GP169" s="175"/>
      <c r="GQ169" s="175"/>
      <c r="GR169" s="175"/>
      <c r="GS169" s="175"/>
      <c r="GT169" s="175"/>
      <c r="GU169" s="175"/>
      <c r="GV169" s="175"/>
      <c r="GW169" s="175"/>
      <c r="GX169" s="175"/>
      <c r="GY169" s="175"/>
      <c r="GZ169" s="175"/>
      <c r="HA169" s="175"/>
      <c r="HB169" s="175"/>
      <c r="HC169" s="175"/>
      <c r="HD169" s="175"/>
      <c r="HE169" s="175"/>
      <c r="HF169" s="175"/>
      <c r="HG169" s="175"/>
      <c r="HH169" s="175"/>
      <c r="HI169" s="175"/>
      <c r="HJ169" s="175"/>
      <c r="HK169" s="175"/>
      <c r="HL169" s="175"/>
      <c r="HM169" s="175"/>
      <c r="HN169" s="175"/>
      <c r="HO169" s="175"/>
      <c r="HP169" s="175"/>
      <c r="HQ169" s="175"/>
      <c r="HR169" s="175"/>
      <c r="HS169" s="175"/>
      <c r="HT169" s="175"/>
      <c r="HU169" s="175"/>
      <c r="HV169" s="175"/>
      <c r="HW169" s="175"/>
      <c r="HX169" s="175"/>
      <c r="HY169" s="175"/>
      <c r="HZ169" s="175"/>
      <c r="IA169" s="175"/>
      <c r="IB169" s="175"/>
      <c r="IC169" s="175"/>
      <c r="ID169" s="175"/>
      <c r="IE169" s="175"/>
      <c r="IF169" s="175"/>
      <c r="IG169" s="175"/>
      <c r="IH169" s="175"/>
      <c r="II169" s="175"/>
      <c r="IJ169" s="175"/>
      <c r="IK169" s="175"/>
      <c r="IL169" s="175"/>
      <c r="IM169" s="175"/>
      <c r="IN169" s="175"/>
      <c r="IO169" s="175"/>
      <c r="IP169" s="175"/>
      <c r="IQ169" s="175"/>
      <c r="IR169" s="175"/>
      <c r="IS169" s="175"/>
      <c r="IT169" s="175"/>
      <c r="IU169" s="175"/>
      <c r="IV169" s="175"/>
    </row>
    <row r="170" spans="1:256" hidden="1">
      <c r="A170" s="823" t="s">
        <v>215</v>
      </c>
      <c r="B170" s="826" t="s">
        <v>103</v>
      </c>
      <c r="C170" s="157" t="s">
        <v>0</v>
      </c>
      <c r="D170" s="158">
        <f>E170+M170</f>
        <v>891432.5</v>
      </c>
      <c r="E170" s="159">
        <f>F170+I170+J170+K170+L170</f>
        <v>891432.5</v>
      </c>
      <c r="F170" s="159">
        <f>G170+H170</f>
        <v>891432.5</v>
      </c>
      <c r="G170" s="159">
        <v>0</v>
      </c>
      <c r="H170" s="159">
        <v>891432.5</v>
      </c>
      <c r="I170" s="159">
        <v>0</v>
      </c>
      <c r="J170" s="159">
        <v>0</v>
      </c>
      <c r="K170" s="159">
        <v>0</v>
      </c>
      <c r="L170" s="159">
        <v>0</v>
      </c>
      <c r="M170" s="159">
        <f>N170+P170</f>
        <v>0</v>
      </c>
      <c r="N170" s="159">
        <v>0</v>
      </c>
      <c r="O170" s="159">
        <v>0</v>
      </c>
      <c r="P170" s="159">
        <v>0</v>
      </c>
      <c r="Q170" s="166"/>
      <c r="R170" s="166"/>
      <c r="S170" s="166"/>
      <c r="T170" s="166"/>
      <c r="U170" s="166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</row>
    <row r="171" spans="1:256" hidden="1">
      <c r="A171" s="824"/>
      <c r="B171" s="827"/>
      <c r="C171" s="157" t="s">
        <v>1</v>
      </c>
      <c r="D171" s="158">
        <f>E171+M171</f>
        <v>0</v>
      </c>
      <c r="E171" s="159">
        <f>F171+I171+J171+K171+L171</f>
        <v>0</v>
      </c>
      <c r="F171" s="159">
        <f>G171+H171</f>
        <v>0</v>
      </c>
      <c r="G171" s="159"/>
      <c r="H171" s="159"/>
      <c r="I171" s="159"/>
      <c r="J171" s="159"/>
      <c r="K171" s="159"/>
      <c r="L171" s="159"/>
      <c r="M171" s="159">
        <f>N171+P171</f>
        <v>0</v>
      </c>
      <c r="N171" s="159"/>
      <c r="O171" s="159"/>
      <c r="P171" s="159"/>
      <c r="Q171" s="166"/>
      <c r="R171" s="166"/>
      <c r="S171" s="166"/>
      <c r="T171" s="166"/>
      <c r="U171" s="166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</row>
    <row r="172" spans="1:256" hidden="1">
      <c r="A172" s="825"/>
      <c r="B172" s="828"/>
      <c r="C172" s="157" t="s">
        <v>2</v>
      </c>
      <c r="D172" s="158">
        <f>D171+D170</f>
        <v>891432.5</v>
      </c>
      <c r="E172" s="159">
        <f t="shared" ref="E172:P172" si="79">E171+E170</f>
        <v>891432.5</v>
      </c>
      <c r="F172" s="159">
        <f t="shared" si="79"/>
        <v>891432.5</v>
      </c>
      <c r="G172" s="159">
        <f t="shared" si="79"/>
        <v>0</v>
      </c>
      <c r="H172" s="159">
        <f t="shared" si="79"/>
        <v>891432.5</v>
      </c>
      <c r="I172" s="159">
        <f t="shared" si="79"/>
        <v>0</v>
      </c>
      <c r="J172" s="159">
        <f t="shared" si="79"/>
        <v>0</v>
      </c>
      <c r="K172" s="159">
        <f t="shared" si="79"/>
        <v>0</v>
      </c>
      <c r="L172" s="159">
        <f t="shared" si="79"/>
        <v>0</v>
      </c>
      <c r="M172" s="159">
        <f t="shared" si="79"/>
        <v>0</v>
      </c>
      <c r="N172" s="159">
        <f t="shared" si="79"/>
        <v>0</v>
      </c>
      <c r="O172" s="159">
        <f t="shared" si="79"/>
        <v>0</v>
      </c>
      <c r="P172" s="159">
        <f t="shared" si="79"/>
        <v>0</v>
      </c>
      <c r="Q172" s="166"/>
      <c r="R172" s="166"/>
      <c r="S172" s="166"/>
      <c r="T172" s="166"/>
      <c r="U172" s="166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</row>
    <row r="173" spans="1:256" ht="15" hidden="1">
      <c r="A173" s="835" t="s">
        <v>216</v>
      </c>
      <c r="B173" s="838" t="s">
        <v>217</v>
      </c>
      <c r="C173" s="161" t="s">
        <v>0</v>
      </c>
      <c r="D173" s="162">
        <f t="shared" ref="D173:P174" si="80">D176+D179</f>
        <v>73240086</v>
      </c>
      <c r="E173" s="163">
        <f t="shared" si="80"/>
        <v>73240086</v>
      </c>
      <c r="F173" s="163">
        <f t="shared" si="80"/>
        <v>0</v>
      </c>
      <c r="G173" s="163">
        <f t="shared" si="80"/>
        <v>0</v>
      </c>
      <c r="H173" s="163">
        <f t="shared" si="80"/>
        <v>0</v>
      </c>
      <c r="I173" s="163">
        <f t="shared" si="80"/>
        <v>0</v>
      </c>
      <c r="J173" s="163">
        <f t="shared" si="80"/>
        <v>0</v>
      </c>
      <c r="K173" s="163">
        <f t="shared" si="80"/>
        <v>0</v>
      </c>
      <c r="L173" s="163">
        <f t="shared" si="80"/>
        <v>73240086</v>
      </c>
      <c r="M173" s="163">
        <f t="shared" si="80"/>
        <v>0</v>
      </c>
      <c r="N173" s="163">
        <f t="shared" si="80"/>
        <v>0</v>
      </c>
      <c r="O173" s="163">
        <f t="shared" si="80"/>
        <v>0</v>
      </c>
      <c r="P173" s="163">
        <f t="shared" si="80"/>
        <v>0</v>
      </c>
      <c r="Q173" s="171"/>
      <c r="R173" s="171"/>
      <c r="S173" s="171"/>
      <c r="T173" s="171"/>
      <c r="U173" s="171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172"/>
      <c r="BN173" s="172"/>
      <c r="BO173" s="172"/>
      <c r="BP173" s="172"/>
      <c r="BQ173" s="172"/>
      <c r="BR173" s="172"/>
      <c r="BS173" s="172"/>
      <c r="BT173" s="172"/>
      <c r="BU173" s="172"/>
      <c r="BV173" s="172"/>
      <c r="BW173" s="172"/>
      <c r="BX173" s="172"/>
      <c r="BY173" s="172"/>
      <c r="BZ173" s="172"/>
      <c r="CA173" s="172"/>
      <c r="CB173" s="172"/>
      <c r="CC173" s="172"/>
      <c r="CD173" s="172"/>
      <c r="CE173" s="172"/>
      <c r="CF173" s="172"/>
      <c r="CG173" s="172"/>
      <c r="CH173" s="172"/>
      <c r="CI173" s="172"/>
      <c r="CJ173" s="172"/>
      <c r="CK173" s="172"/>
      <c r="CL173" s="172"/>
      <c r="CM173" s="172"/>
      <c r="CN173" s="172"/>
      <c r="CO173" s="172"/>
      <c r="CP173" s="172"/>
      <c r="CQ173" s="172"/>
      <c r="CR173" s="172"/>
      <c r="CS173" s="172"/>
      <c r="CT173" s="172"/>
      <c r="CU173" s="172"/>
      <c r="CV173" s="172"/>
      <c r="CW173" s="172"/>
      <c r="CX173" s="172"/>
      <c r="CY173" s="172"/>
      <c r="CZ173" s="172"/>
      <c r="DA173" s="172"/>
      <c r="DB173" s="172"/>
      <c r="DC173" s="172"/>
      <c r="DD173" s="172"/>
      <c r="DE173" s="172"/>
      <c r="DF173" s="172"/>
      <c r="DG173" s="172"/>
      <c r="DH173" s="172"/>
      <c r="DI173" s="172"/>
      <c r="DJ173" s="172"/>
      <c r="DK173" s="172"/>
      <c r="DL173" s="172"/>
      <c r="DM173" s="172"/>
      <c r="DN173" s="172"/>
      <c r="DO173" s="172"/>
      <c r="DP173" s="172"/>
      <c r="DQ173" s="172"/>
      <c r="DR173" s="172"/>
      <c r="DS173" s="172"/>
      <c r="DT173" s="172"/>
      <c r="DU173" s="172"/>
      <c r="DV173" s="172"/>
      <c r="DW173" s="172"/>
      <c r="DX173" s="172"/>
      <c r="DY173" s="172"/>
      <c r="DZ173" s="172"/>
      <c r="EA173" s="172"/>
      <c r="EB173" s="172"/>
      <c r="EC173" s="172"/>
      <c r="ED173" s="172"/>
      <c r="EE173" s="172"/>
      <c r="EF173" s="172"/>
      <c r="EG173" s="172"/>
      <c r="EH173" s="172"/>
      <c r="EI173" s="172"/>
      <c r="EJ173" s="172"/>
      <c r="EK173" s="172"/>
      <c r="EL173" s="172"/>
      <c r="EM173" s="172"/>
      <c r="EN173" s="172"/>
      <c r="EO173" s="172"/>
      <c r="EP173" s="172"/>
      <c r="EQ173" s="172"/>
      <c r="ER173" s="172"/>
      <c r="ES173" s="172"/>
      <c r="ET173" s="172"/>
      <c r="EU173" s="172"/>
      <c r="EV173" s="172"/>
      <c r="EW173" s="172"/>
      <c r="EX173" s="172"/>
      <c r="EY173" s="172"/>
      <c r="EZ173" s="172"/>
      <c r="FA173" s="172"/>
      <c r="FB173" s="172"/>
      <c r="FC173" s="172"/>
      <c r="FD173" s="172"/>
      <c r="FE173" s="172"/>
      <c r="FF173" s="172"/>
      <c r="FG173" s="172"/>
      <c r="FH173" s="172"/>
      <c r="FI173" s="172"/>
      <c r="FJ173" s="172"/>
      <c r="FK173" s="172"/>
      <c r="FL173" s="172"/>
      <c r="FM173" s="172"/>
      <c r="FN173" s="172"/>
      <c r="FO173" s="172"/>
      <c r="FP173" s="172"/>
      <c r="FQ173" s="172"/>
      <c r="FR173" s="172"/>
      <c r="FS173" s="172"/>
      <c r="FT173" s="172"/>
      <c r="FU173" s="172"/>
      <c r="FV173" s="172"/>
      <c r="FW173" s="172"/>
      <c r="FX173" s="172"/>
      <c r="FY173" s="172"/>
      <c r="FZ173" s="172"/>
      <c r="GA173" s="172"/>
      <c r="GB173" s="172"/>
      <c r="GC173" s="172"/>
      <c r="GD173" s="172"/>
      <c r="GE173" s="172"/>
      <c r="GF173" s="172"/>
      <c r="GG173" s="172"/>
      <c r="GH173" s="172"/>
      <c r="GI173" s="172"/>
      <c r="GJ173" s="172"/>
      <c r="GK173" s="172"/>
      <c r="GL173" s="172"/>
      <c r="GM173" s="172"/>
      <c r="GN173" s="172"/>
      <c r="GO173" s="172"/>
      <c r="GP173" s="172"/>
      <c r="GQ173" s="172"/>
      <c r="GR173" s="172"/>
      <c r="GS173" s="172"/>
      <c r="GT173" s="172"/>
      <c r="GU173" s="172"/>
      <c r="GV173" s="172"/>
      <c r="GW173" s="172"/>
      <c r="GX173" s="172"/>
      <c r="GY173" s="172"/>
      <c r="GZ173" s="172"/>
      <c r="HA173" s="172"/>
      <c r="HB173" s="172"/>
      <c r="HC173" s="172"/>
      <c r="HD173" s="172"/>
      <c r="HE173" s="172"/>
      <c r="HF173" s="172"/>
      <c r="HG173" s="172"/>
      <c r="HH173" s="172"/>
      <c r="HI173" s="172"/>
      <c r="HJ173" s="172"/>
      <c r="HK173" s="172"/>
      <c r="HL173" s="172"/>
      <c r="HM173" s="172"/>
      <c r="HN173" s="172"/>
      <c r="HO173" s="172"/>
      <c r="HP173" s="172"/>
      <c r="HQ173" s="172"/>
      <c r="HR173" s="172"/>
      <c r="HS173" s="172"/>
      <c r="HT173" s="172"/>
      <c r="HU173" s="172"/>
      <c r="HV173" s="172"/>
      <c r="HW173" s="172"/>
      <c r="HX173" s="172"/>
      <c r="HY173" s="172"/>
      <c r="HZ173" s="172"/>
      <c r="IA173" s="172"/>
      <c r="IB173" s="172"/>
      <c r="IC173" s="172"/>
      <c r="ID173" s="172"/>
      <c r="IE173" s="172"/>
      <c r="IF173" s="172"/>
      <c r="IG173" s="172"/>
      <c r="IH173" s="172"/>
      <c r="II173" s="172"/>
      <c r="IJ173" s="172"/>
      <c r="IK173" s="172"/>
      <c r="IL173" s="172"/>
      <c r="IM173" s="172"/>
      <c r="IN173" s="172"/>
      <c r="IO173" s="172"/>
      <c r="IP173" s="172"/>
      <c r="IQ173" s="172"/>
      <c r="IR173" s="172"/>
      <c r="IS173" s="172"/>
      <c r="IT173" s="172"/>
      <c r="IU173" s="172"/>
      <c r="IV173" s="172"/>
    </row>
    <row r="174" spans="1:256" ht="15" hidden="1">
      <c r="A174" s="836"/>
      <c r="B174" s="839"/>
      <c r="C174" s="161" t="s">
        <v>1</v>
      </c>
      <c r="D174" s="162">
        <f t="shared" si="80"/>
        <v>0</v>
      </c>
      <c r="E174" s="163">
        <f t="shared" si="80"/>
        <v>0</v>
      </c>
      <c r="F174" s="163">
        <f t="shared" si="80"/>
        <v>0</v>
      </c>
      <c r="G174" s="163">
        <f t="shared" si="80"/>
        <v>0</v>
      </c>
      <c r="H174" s="163">
        <f t="shared" si="80"/>
        <v>0</v>
      </c>
      <c r="I174" s="163">
        <f t="shared" si="80"/>
        <v>0</v>
      </c>
      <c r="J174" s="163">
        <f t="shared" si="80"/>
        <v>0</v>
      </c>
      <c r="K174" s="163">
        <f t="shared" si="80"/>
        <v>0</v>
      </c>
      <c r="L174" s="163">
        <f t="shared" si="80"/>
        <v>0</v>
      </c>
      <c r="M174" s="163">
        <f t="shared" si="80"/>
        <v>0</v>
      </c>
      <c r="N174" s="163">
        <f t="shared" si="80"/>
        <v>0</v>
      </c>
      <c r="O174" s="163">
        <f t="shared" si="80"/>
        <v>0</v>
      </c>
      <c r="P174" s="163">
        <f t="shared" si="80"/>
        <v>0</v>
      </c>
      <c r="Q174" s="171"/>
      <c r="R174" s="171"/>
      <c r="S174" s="171"/>
      <c r="T174" s="171"/>
      <c r="U174" s="171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172"/>
      <c r="BN174" s="172"/>
      <c r="BO174" s="172"/>
      <c r="BP174" s="172"/>
      <c r="BQ174" s="172"/>
      <c r="BR174" s="172"/>
      <c r="BS174" s="172"/>
      <c r="BT174" s="172"/>
      <c r="BU174" s="172"/>
      <c r="BV174" s="172"/>
      <c r="BW174" s="172"/>
      <c r="BX174" s="172"/>
      <c r="BY174" s="172"/>
      <c r="BZ174" s="172"/>
      <c r="CA174" s="172"/>
      <c r="CB174" s="172"/>
      <c r="CC174" s="172"/>
      <c r="CD174" s="172"/>
      <c r="CE174" s="172"/>
      <c r="CF174" s="172"/>
      <c r="CG174" s="172"/>
      <c r="CH174" s="172"/>
      <c r="CI174" s="172"/>
      <c r="CJ174" s="172"/>
      <c r="CK174" s="172"/>
      <c r="CL174" s="172"/>
      <c r="CM174" s="172"/>
      <c r="CN174" s="172"/>
      <c r="CO174" s="172"/>
      <c r="CP174" s="172"/>
      <c r="CQ174" s="172"/>
      <c r="CR174" s="172"/>
      <c r="CS174" s="172"/>
      <c r="CT174" s="172"/>
      <c r="CU174" s="172"/>
      <c r="CV174" s="172"/>
      <c r="CW174" s="172"/>
      <c r="CX174" s="172"/>
      <c r="CY174" s="172"/>
      <c r="CZ174" s="172"/>
      <c r="DA174" s="172"/>
      <c r="DB174" s="172"/>
      <c r="DC174" s="172"/>
      <c r="DD174" s="172"/>
      <c r="DE174" s="172"/>
      <c r="DF174" s="172"/>
      <c r="DG174" s="172"/>
      <c r="DH174" s="172"/>
      <c r="DI174" s="172"/>
      <c r="DJ174" s="172"/>
      <c r="DK174" s="172"/>
      <c r="DL174" s="172"/>
      <c r="DM174" s="172"/>
      <c r="DN174" s="172"/>
      <c r="DO174" s="172"/>
      <c r="DP174" s="172"/>
      <c r="DQ174" s="172"/>
      <c r="DR174" s="172"/>
      <c r="DS174" s="172"/>
      <c r="DT174" s="172"/>
      <c r="DU174" s="172"/>
      <c r="DV174" s="172"/>
      <c r="DW174" s="172"/>
      <c r="DX174" s="172"/>
      <c r="DY174" s="172"/>
      <c r="DZ174" s="172"/>
      <c r="EA174" s="172"/>
      <c r="EB174" s="172"/>
      <c r="EC174" s="172"/>
      <c r="ED174" s="172"/>
      <c r="EE174" s="172"/>
      <c r="EF174" s="172"/>
      <c r="EG174" s="172"/>
      <c r="EH174" s="172"/>
      <c r="EI174" s="172"/>
      <c r="EJ174" s="172"/>
      <c r="EK174" s="172"/>
      <c r="EL174" s="172"/>
      <c r="EM174" s="172"/>
      <c r="EN174" s="172"/>
      <c r="EO174" s="172"/>
      <c r="EP174" s="172"/>
      <c r="EQ174" s="172"/>
      <c r="ER174" s="172"/>
      <c r="ES174" s="172"/>
      <c r="ET174" s="172"/>
      <c r="EU174" s="172"/>
      <c r="EV174" s="172"/>
      <c r="EW174" s="172"/>
      <c r="EX174" s="172"/>
      <c r="EY174" s="172"/>
      <c r="EZ174" s="172"/>
      <c r="FA174" s="172"/>
      <c r="FB174" s="172"/>
      <c r="FC174" s="172"/>
      <c r="FD174" s="172"/>
      <c r="FE174" s="172"/>
      <c r="FF174" s="172"/>
      <c r="FG174" s="172"/>
      <c r="FH174" s="172"/>
      <c r="FI174" s="172"/>
      <c r="FJ174" s="172"/>
      <c r="FK174" s="172"/>
      <c r="FL174" s="172"/>
      <c r="FM174" s="172"/>
      <c r="FN174" s="172"/>
      <c r="FO174" s="172"/>
      <c r="FP174" s="172"/>
      <c r="FQ174" s="172"/>
      <c r="FR174" s="172"/>
      <c r="FS174" s="172"/>
      <c r="FT174" s="172"/>
      <c r="FU174" s="172"/>
      <c r="FV174" s="172"/>
      <c r="FW174" s="172"/>
      <c r="FX174" s="172"/>
      <c r="FY174" s="172"/>
      <c r="FZ174" s="172"/>
      <c r="GA174" s="172"/>
      <c r="GB174" s="172"/>
      <c r="GC174" s="172"/>
      <c r="GD174" s="172"/>
      <c r="GE174" s="172"/>
      <c r="GF174" s="172"/>
      <c r="GG174" s="172"/>
      <c r="GH174" s="172"/>
      <c r="GI174" s="172"/>
      <c r="GJ174" s="172"/>
      <c r="GK174" s="172"/>
      <c r="GL174" s="172"/>
      <c r="GM174" s="172"/>
      <c r="GN174" s="172"/>
      <c r="GO174" s="172"/>
      <c r="GP174" s="172"/>
      <c r="GQ174" s="172"/>
      <c r="GR174" s="172"/>
      <c r="GS174" s="172"/>
      <c r="GT174" s="172"/>
      <c r="GU174" s="172"/>
      <c r="GV174" s="172"/>
      <c r="GW174" s="172"/>
      <c r="GX174" s="172"/>
      <c r="GY174" s="172"/>
      <c r="GZ174" s="172"/>
      <c r="HA174" s="172"/>
      <c r="HB174" s="172"/>
      <c r="HC174" s="172"/>
      <c r="HD174" s="172"/>
      <c r="HE174" s="172"/>
      <c r="HF174" s="172"/>
      <c r="HG174" s="172"/>
      <c r="HH174" s="172"/>
      <c r="HI174" s="172"/>
      <c r="HJ174" s="172"/>
      <c r="HK174" s="172"/>
      <c r="HL174" s="172"/>
      <c r="HM174" s="172"/>
      <c r="HN174" s="172"/>
      <c r="HO174" s="172"/>
      <c r="HP174" s="172"/>
      <c r="HQ174" s="172"/>
      <c r="HR174" s="172"/>
      <c r="HS174" s="172"/>
      <c r="HT174" s="172"/>
      <c r="HU174" s="172"/>
      <c r="HV174" s="172"/>
      <c r="HW174" s="172"/>
      <c r="HX174" s="172"/>
      <c r="HY174" s="172"/>
      <c r="HZ174" s="172"/>
      <c r="IA174" s="172"/>
      <c r="IB174" s="172"/>
      <c r="IC174" s="172"/>
      <c r="ID174" s="172"/>
      <c r="IE174" s="172"/>
      <c r="IF174" s="172"/>
      <c r="IG174" s="172"/>
      <c r="IH174" s="172"/>
      <c r="II174" s="172"/>
      <c r="IJ174" s="172"/>
      <c r="IK174" s="172"/>
      <c r="IL174" s="172"/>
      <c r="IM174" s="172"/>
      <c r="IN174" s="172"/>
      <c r="IO174" s="172"/>
      <c r="IP174" s="172"/>
      <c r="IQ174" s="172"/>
      <c r="IR174" s="172"/>
      <c r="IS174" s="172"/>
      <c r="IT174" s="172"/>
      <c r="IU174" s="172"/>
      <c r="IV174" s="172"/>
    </row>
    <row r="175" spans="1:256" ht="15" hidden="1">
      <c r="A175" s="837"/>
      <c r="B175" s="840"/>
      <c r="C175" s="161" t="s">
        <v>2</v>
      </c>
      <c r="D175" s="162">
        <f>D174+D173</f>
        <v>73240086</v>
      </c>
      <c r="E175" s="163">
        <f t="shared" ref="E175:P175" si="81">E174+E173</f>
        <v>73240086</v>
      </c>
      <c r="F175" s="163">
        <f t="shared" si="81"/>
        <v>0</v>
      </c>
      <c r="G175" s="163">
        <f t="shared" si="81"/>
        <v>0</v>
      </c>
      <c r="H175" s="163">
        <f t="shared" si="81"/>
        <v>0</v>
      </c>
      <c r="I175" s="163">
        <f t="shared" si="81"/>
        <v>0</v>
      </c>
      <c r="J175" s="163">
        <f t="shared" si="81"/>
        <v>0</v>
      </c>
      <c r="K175" s="163">
        <f t="shared" si="81"/>
        <v>0</v>
      </c>
      <c r="L175" s="163">
        <f t="shared" si="81"/>
        <v>73240086</v>
      </c>
      <c r="M175" s="163">
        <f t="shared" si="81"/>
        <v>0</v>
      </c>
      <c r="N175" s="163">
        <f t="shared" si="81"/>
        <v>0</v>
      </c>
      <c r="O175" s="163">
        <f t="shared" si="81"/>
        <v>0</v>
      </c>
      <c r="P175" s="163">
        <f t="shared" si="81"/>
        <v>0</v>
      </c>
      <c r="Q175" s="171"/>
      <c r="R175" s="171"/>
      <c r="S175" s="171"/>
      <c r="T175" s="171"/>
      <c r="U175" s="171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  <c r="BJ175" s="172"/>
      <c r="BK175" s="172"/>
      <c r="BL175" s="172"/>
      <c r="BM175" s="172"/>
      <c r="BN175" s="172"/>
      <c r="BO175" s="172"/>
      <c r="BP175" s="172"/>
      <c r="BQ175" s="172"/>
      <c r="BR175" s="172"/>
      <c r="BS175" s="172"/>
      <c r="BT175" s="172"/>
      <c r="BU175" s="172"/>
      <c r="BV175" s="172"/>
      <c r="BW175" s="172"/>
      <c r="BX175" s="172"/>
      <c r="BY175" s="172"/>
      <c r="BZ175" s="172"/>
      <c r="CA175" s="172"/>
      <c r="CB175" s="172"/>
      <c r="CC175" s="172"/>
      <c r="CD175" s="172"/>
      <c r="CE175" s="172"/>
      <c r="CF175" s="172"/>
      <c r="CG175" s="172"/>
      <c r="CH175" s="172"/>
      <c r="CI175" s="172"/>
      <c r="CJ175" s="172"/>
      <c r="CK175" s="172"/>
      <c r="CL175" s="172"/>
      <c r="CM175" s="172"/>
      <c r="CN175" s="172"/>
      <c r="CO175" s="172"/>
      <c r="CP175" s="172"/>
      <c r="CQ175" s="172"/>
      <c r="CR175" s="172"/>
      <c r="CS175" s="172"/>
      <c r="CT175" s="172"/>
      <c r="CU175" s="172"/>
      <c r="CV175" s="172"/>
      <c r="CW175" s="172"/>
      <c r="CX175" s="172"/>
      <c r="CY175" s="172"/>
      <c r="CZ175" s="172"/>
      <c r="DA175" s="172"/>
      <c r="DB175" s="172"/>
      <c r="DC175" s="172"/>
      <c r="DD175" s="172"/>
      <c r="DE175" s="172"/>
      <c r="DF175" s="172"/>
      <c r="DG175" s="172"/>
      <c r="DH175" s="172"/>
      <c r="DI175" s="172"/>
      <c r="DJ175" s="172"/>
      <c r="DK175" s="172"/>
      <c r="DL175" s="172"/>
      <c r="DM175" s="172"/>
      <c r="DN175" s="172"/>
      <c r="DO175" s="172"/>
      <c r="DP175" s="172"/>
      <c r="DQ175" s="172"/>
      <c r="DR175" s="172"/>
      <c r="DS175" s="172"/>
      <c r="DT175" s="172"/>
      <c r="DU175" s="172"/>
      <c r="DV175" s="172"/>
      <c r="DW175" s="172"/>
      <c r="DX175" s="172"/>
      <c r="DY175" s="172"/>
      <c r="DZ175" s="172"/>
      <c r="EA175" s="172"/>
      <c r="EB175" s="172"/>
      <c r="EC175" s="172"/>
      <c r="ED175" s="172"/>
      <c r="EE175" s="172"/>
      <c r="EF175" s="172"/>
      <c r="EG175" s="172"/>
      <c r="EH175" s="172"/>
      <c r="EI175" s="172"/>
      <c r="EJ175" s="172"/>
      <c r="EK175" s="172"/>
      <c r="EL175" s="172"/>
      <c r="EM175" s="172"/>
      <c r="EN175" s="172"/>
      <c r="EO175" s="172"/>
      <c r="EP175" s="172"/>
      <c r="EQ175" s="172"/>
      <c r="ER175" s="172"/>
      <c r="ES175" s="172"/>
      <c r="ET175" s="172"/>
      <c r="EU175" s="172"/>
      <c r="EV175" s="172"/>
      <c r="EW175" s="172"/>
      <c r="EX175" s="172"/>
      <c r="EY175" s="172"/>
      <c r="EZ175" s="172"/>
      <c r="FA175" s="172"/>
      <c r="FB175" s="172"/>
      <c r="FC175" s="172"/>
      <c r="FD175" s="172"/>
      <c r="FE175" s="172"/>
      <c r="FF175" s="172"/>
      <c r="FG175" s="172"/>
      <c r="FH175" s="172"/>
      <c r="FI175" s="172"/>
      <c r="FJ175" s="172"/>
      <c r="FK175" s="172"/>
      <c r="FL175" s="172"/>
      <c r="FM175" s="172"/>
      <c r="FN175" s="172"/>
      <c r="FO175" s="172"/>
      <c r="FP175" s="172"/>
      <c r="FQ175" s="172"/>
      <c r="FR175" s="172"/>
      <c r="FS175" s="172"/>
      <c r="FT175" s="172"/>
      <c r="FU175" s="172"/>
      <c r="FV175" s="172"/>
      <c r="FW175" s="172"/>
      <c r="FX175" s="172"/>
      <c r="FY175" s="172"/>
      <c r="FZ175" s="172"/>
      <c r="GA175" s="172"/>
      <c r="GB175" s="172"/>
      <c r="GC175" s="172"/>
      <c r="GD175" s="172"/>
      <c r="GE175" s="172"/>
      <c r="GF175" s="172"/>
      <c r="GG175" s="172"/>
      <c r="GH175" s="172"/>
      <c r="GI175" s="172"/>
      <c r="GJ175" s="172"/>
      <c r="GK175" s="172"/>
      <c r="GL175" s="172"/>
      <c r="GM175" s="172"/>
      <c r="GN175" s="172"/>
      <c r="GO175" s="172"/>
      <c r="GP175" s="172"/>
      <c r="GQ175" s="172"/>
      <c r="GR175" s="172"/>
      <c r="GS175" s="172"/>
      <c r="GT175" s="172"/>
      <c r="GU175" s="172"/>
      <c r="GV175" s="172"/>
      <c r="GW175" s="172"/>
      <c r="GX175" s="172"/>
      <c r="GY175" s="172"/>
      <c r="GZ175" s="172"/>
      <c r="HA175" s="172"/>
      <c r="HB175" s="172"/>
      <c r="HC175" s="172"/>
      <c r="HD175" s="172"/>
      <c r="HE175" s="172"/>
      <c r="HF175" s="172"/>
      <c r="HG175" s="172"/>
      <c r="HH175" s="172"/>
      <c r="HI175" s="172"/>
      <c r="HJ175" s="172"/>
      <c r="HK175" s="172"/>
      <c r="HL175" s="172"/>
      <c r="HM175" s="172"/>
      <c r="HN175" s="172"/>
      <c r="HO175" s="172"/>
      <c r="HP175" s="172"/>
      <c r="HQ175" s="172"/>
      <c r="HR175" s="172"/>
      <c r="HS175" s="172"/>
      <c r="HT175" s="172"/>
      <c r="HU175" s="172"/>
      <c r="HV175" s="172"/>
      <c r="HW175" s="172"/>
      <c r="HX175" s="172"/>
      <c r="HY175" s="172"/>
      <c r="HZ175" s="172"/>
      <c r="IA175" s="172"/>
      <c r="IB175" s="172"/>
      <c r="IC175" s="172"/>
      <c r="ID175" s="172"/>
      <c r="IE175" s="172"/>
      <c r="IF175" s="172"/>
      <c r="IG175" s="172"/>
      <c r="IH175" s="172"/>
      <c r="II175" s="172"/>
      <c r="IJ175" s="172"/>
      <c r="IK175" s="172"/>
      <c r="IL175" s="172"/>
      <c r="IM175" s="172"/>
      <c r="IN175" s="172"/>
      <c r="IO175" s="172"/>
      <c r="IP175" s="172"/>
      <c r="IQ175" s="172"/>
      <c r="IR175" s="172"/>
      <c r="IS175" s="172"/>
      <c r="IT175" s="172"/>
      <c r="IU175" s="172"/>
      <c r="IV175" s="172"/>
    </row>
    <row r="176" spans="1:256" hidden="1">
      <c r="A176" s="823" t="s">
        <v>218</v>
      </c>
      <c r="B176" s="826" t="s">
        <v>219</v>
      </c>
      <c r="C176" s="157" t="s">
        <v>0</v>
      </c>
      <c r="D176" s="158">
        <f>E176+M176</f>
        <v>13753372</v>
      </c>
      <c r="E176" s="159">
        <f>F176+I176+J176+K176+L176</f>
        <v>13753372</v>
      </c>
      <c r="F176" s="159">
        <f>G176+H176</f>
        <v>0</v>
      </c>
      <c r="G176" s="159">
        <v>0</v>
      </c>
      <c r="H176" s="159">
        <v>0</v>
      </c>
      <c r="I176" s="159">
        <v>0</v>
      </c>
      <c r="J176" s="159">
        <v>0</v>
      </c>
      <c r="K176" s="159">
        <v>0</v>
      </c>
      <c r="L176" s="159">
        <v>13753372</v>
      </c>
      <c r="M176" s="159">
        <f>N176+P176</f>
        <v>0</v>
      </c>
      <c r="N176" s="159">
        <v>0</v>
      </c>
      <c r="O176" s="159">
        <v>0</v>
      </c>
      <c r="P176" s="159">
        <v>0</v>
      </c>
      <c r="Q176" s="160"/>
      <c r="R176" s="160"/>
      <c r="S176" s="160"/>
      <c r="T176" s="160"/>
      <c r="U176" s="160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1"/>
      <c r="CD176" s="151"/>
      <c r="CE176" s="151"/>
      <c r="CF176" s="151"/>
      <c r="CG176" s="151"/>
      <c r="CH176" s="151"/>
      <c r="CI176" s="151"/>
      <c r="CJ176" s="151"/>
      <c r="CK176" s="151"/>
      <c r="CL176" s="151"/>
      <c r="CM176" s="151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1"/>
      <c r="CY176" s="151"/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  <c r="EB176" s="151"/>
      <c r="EC176" s="151"/>
      <c r="ED176" s="151"/>
      <c r="EE176" s="151"/>
      <c r="EF176" s="151"/>
      <c r="EG176" s="151"/>
      <c r="EH176" s="151"/>
      <c r="EI176" s="151"/>
      <c r="EJ176" s="151"/>
      <c r="EK176" s="151"/>
      <c r="EL176" s="151"/>
      <c r="EM176" s="151"/>
      <c r="EN176" s="151"/>
      <c r="EO176" s="151"/>
      <c r="EP176" s="151"/>
      <c r="EQ176" s="151"/>
      <c r="ER176" s="151"/>
      <c r="ES176" s="151"/>
      <c r="ET176" s="151"/>
      <c r="EU176" s="151"/>
      <c r="EV176" s="151"/>
      <c r="EW176" s="151"/>
      <c r="EX176" s="151"/>
      <c r="EY176" s="151"/>
      <c r="EZ176" s="151"/>
      <c r="FA176" s="151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  <c r="HQ176" s="151"/>
      <c r="HR176" s="151"/>
      <c r="HS176" s="151"/>
      <c r="HT176" s="151"/>
      <c r="HU176" s="151"/>
      <c r="HV176" s="151"/>
      <c r="HW176" s="151"/>
      <c r="HX176" s="151"/>
      <c r="HY176" s="151"/>
      <c r="HZ176" s="151"/>
      <c r="IA176" s="151"/>
      <c r="IB176" s="151"/>
      <c r="IC176" s="151"/>
      <c r="ID176" s="151"/>
      <c r="IE176" s="151"/>
      <c r="IF176" s="151"/>
      <c r="IG176" s="151"/>
      <c r="IH176" s="151"/>
      <c r="II176" s="151"/>
      <c r="IJ176" s="151"/>
      <c r="IK176" s="151"/>
      <c r="IL176" s="151"/>
      <c r="IM176" s="151"/>
      <c r="IN176" s="151"/>
      <c r="IO176" s="151"/>
      <c r="IP176" s="151"/>
      <c r="IQ176" s="151"/>
      <c r="IR176" s="151"/>
      <c r="IS176" s="151"/>
      <c r="IT176" s="151"/>
      <c r="IU176" s="151"/>
      <c r="IV176" s="151"/>
    </row>
    <row r="177" spans="1:256" hidden="1">
      <c r="A177" s="824"/>
      <c r="B177" s="827"/>
      <c r="C177" s="157" t="s">
        <v>1</v>
      </c>
      <c r="D177" s="158">
        <f>E177+M177</f>
        <v>0</v>
      </c>
      <c r="E177" s="159">
        <f>F177+I177+J177+K177+L177</f>
        <v>0</v>
      </c>
      <c r="F177" s="159">
        <f>G177+H177</f>
        <v>0</v>
      </c>
      <c r="G177" s="159"/>
      <c r="H177" s="159"/>
      <c r="I177" s="159"/>
      <c r="J177" s="159"/>
      <c r="K177" s="159"/>
      <c r="L177" s="159"/>
      <c r="M177" s="159">
        <f>N177+P177</f>
        <v>0</v>
      </c>
      <c r="N177" s="159"/>
      <c r="O177" s="159"/>
      <c r="P177" s="159"/>
      <c r="Q177" s="160"/>
      <c r="R177" s="160"/>
      <c r="S177" s="160"/>
      <c r="T177" s="160"/>
      <c r="U177" s="160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51"/>
      <c r="CC177" s="151"/>
      <c r="CD177" s="151"/>
      <c r="CE177" s="151"/>
      <c r="CF177" s="151"/>
      <c r="CG177" s="151"/>
      <c r="CH177" s="151"/>
      <c r="CI177" s="151"/>
      <c r="CJ177" s="151"/>
      <c r="CK177" s="151"/>
      <c r="CL177" s="151"/>
      <c r="CM177" s="151"/>
      <c r="CN177" s="151"/>
      <c r="CO177" s="151"/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  <c r="HQ177" s="151"/>
      <c r="HR177" s="151"/>
      <c r="HS177" s="151"/>
      <c r="HT177" s="151"/>
      <c r="HU177" s="151"/>
      <c r="HV177" s="151"/>
      <c r="HW177" s="151"/>
      <c r="HX177" s="151"/>
      <c r="HY177" s="151"/>
      <c r="HZ177" s="151"/>
      <c r="IA177" s="151"/>
      <c r="IB177" s="151"/>
      <c r="IC177" s="151"/>
      <c r="ID177" s="151"/>
      <c r="IE177" s="151"/>
      <c r="IF177" s="151"/>
      <c r="IG177" s="151"/>
      <c r="IH177" s="151"/>
      <c r="II177" s="151"/>
      <c r="IJ177" s="151"/>
      <c r="IK177" s="151"/>
      <c r="IL177" s="151"/>
      <c r="IM177" s="151"/>
      <c r="IN177" s="151"/>
      <c r="IO177" s="151"/>
      <c r="IP177" s="151"/>
      <c r="IQ177" s="151"/>
      <c r="IR177" s="151"/>
      <c r="IS177" s="151"/>
      <c r="IT177" s="151"/>
      <c r="IU177" s="151"/>
      <c r="IV177" s="151"/>
    </row>
    <row r="178" spans="1:256" hidden="1">
      <c r="A178" s="825"/>
      <c r="B178" s="828"/>
      <c r="C178" s="157" t="s">
        <v>2</v>
      </c>
      <c r="D178" s="158">
        <f>D177+D176</f>
        <v>13753372</v>
      </c>
      <c r="E178" s="159">
        <f t="shared" ref="E178:P178" si="82">E177+E176</f>
        <v>13753372</v>
      </c>
      <c r="F178" s="159">
        <f t="shared" si="82"/>
        <v>0</v>
      </c>
      <c r="G178" s="159">
        <f t="shared" si="82"/>
        <v>0</v>
      </c>
      <c r="H178" s="159">
        <f t="shared" si="82"/>
        <v>0</v>
      </c>
      <c r="I178" s="159">
        <f t="shared" si="82"/>
        <v>0</v>
      </c>
      <c r="J178" s="159">
        <f t="shared" si="82"/>
        <v>0</v>
      </c>
      <c r="K178" s="159">
        <f t="shared" si="82"/>
        <v>0</v>
      </c>
      <c r="L178" s="159">
        <f t="shared" si="82"/>
        <v>13753372</v>
      </c>
      <c r="M178" s="159">
        <f t="shared" si="82"/>
        <v>0</v>
      </c>
      <c r="N178" s="159">
        <f t="shared" si="82"/>
        <v>0</v>
      </c>
      <c r="O178" s="159">
        <f t="shared" si="82"/>
        <v>0</v>
      </c>
      <c r="P178" s="159">
        <f t="shared" si="82"/>
        <v>0</v>
      </c>
      <c r="Q178" s="160"/>
      <c r="R178" s="160"/>
      <c r="S178" s="160"/>
      <c r="T178" s="160"/>
      <c r="U178" s="160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51"/>
      <c r="CC178" s="151"/>
      <c r="CD178" s="151"/>
      <c r="CE178" s="151"/>
      <c r="CF178" s="151"/>
      <c r="CG178" s="151"/>
      <c r="CH178" s="151"/>
      <c r="CI178" s="151"/>
      <c r="CJ178" s="151"/>
      <c r="CK178" s="151"/>
      <c r="CL178" s="151"/>
      <c r="CM178" s="151"/>
      <c r="CN178" s="151"/>
      <c r="CO178" s="151"/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  <c r="EB178" s="151"/>
      <c r="EC178" s="151"/>
      <c r="ED178" s="151"/>
      <c r="EE178" s="151"/>
      <c r="EF178" s="151"/>
      <c r="EG178" s="151"/>
      <c r="EH178" s="151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  <c r="GV178" s="151"/>
      <c r="GW178" s="151"/>
      <c r="GX178" s="151"/>
      <c r="GY178" s="151"/>
      <c r="GZ178" s="151"/>
      <c r="HA178" s="151"/>
      <c r="HB178" s="151"/>
      <c r="HC178" s="151"/>
      <c r="HD178" s="151"/>
      <c r="HE178" s="151"/>
      <c r="HF178" s="151"/>
      <c r="HG178" s="151"/>
      <c r="HH178" s="151"/>
      <c r="HI178" s="151"/>
      <c r="HJ178" s="151"/>
      <c r="HK178" s="151"/>
      <c r="HL178" s="151"/>
      <c r="HM178" s="151"/>
      <c r="HN178" s="151"/>
      <c r="HO178" s="151"/>
      <c r="HP178" s="151"/>
      <c r="HQ178" s="151"/>
      <c r="HR178" s="151"/>
      <c r="HS178" s="151"/>
      <c r="HT178" s="151"/>
      <c r="HU178" s="151"/>
      <c r="HV178" s="151"/>
      <c r="HW178" s="151"/>
      <c r="HX178" s="151"/>
      <c r="HY178" s="151"/>
      <c r="HZ178" s="151"/>
      <c r="IA178" s="151"/>
      <c r="IB178" s="151"/>
      <c r="IC178" s="151"/>
      <c r="ID178" s="151"/>
      <c r="IE178" s="151"/>
      <c r="IF178" s="151"/>
      <c r="IG178" s="151"/>
      <c r="IH178" s="151"/>
      <c r="II178" s="151"/>
      <c r="IJ178" s="151"/>
      <c r="IK178" s="151"/>
      <c r="IL178" s="151"/>
      <c r="IM178" s="151"/>
      <c r="IN178" s="151"/>
      <c r="IO178" s="151"/>
      <c r="IP178" s="151"/>
      <c r="IQ178" s="151"/>
      <c r="IR178" s="151"/>
      <c r="IS178" s="151"/>
      <c r="IT178" s="151"/>
      <c r="IU178" s="151"/>
      <c r="IV178" s="151"/>
    </row>
    <row r="179" spans="1:256" hidden="1">
      <c r="A179" s="823" t="s">
        <v>220</v>
      </c>
      <c r="B179" s="826" t="s">
        <v>221</v>
      </c>
      <c r="C179" s="157" t="s">
        <v>0</v>
      </c>
      <c r="D179" s="158">
        <f>E179+M179</f>
        <v>59486714</v>
      </c>
      <c r="E179" s="159">
        <f>F179+I179+J179+K179+L179</f>
        <v>59486714</v>
      </c>
      <c r="F179" s="159">
        <f>G179+H179</f>
        <v>0</v>
      </c>
      <c r="G179" s="159">
        <v>0</v>
      </c>
      <c r="H179" s="159">
        <v>0</v>
      </c>
      <c r="I179" s="159">
        <v>0</v>
      </c>
      <c r="J179" s="159">
        <v>0</v>
      </c>
      <c r="K179" s="159">
        <v>0</v>
      </c>
      <c r="L179" s="159">
        <v>59486714</v>
      </c>
      <c r="M179" s="159">
        <f>N179+P179</f>
        <v>0</v>
      </c>
      <c r="N179" s="159">
        <v>0</v>
      </c>
      <c r="O179" s="159">
        <v>0</v>
      </c>
      <c r="P179" s="159">
        <v>0</v>
      </c>
      <c r="Q179" s="160"/>
      <c r="R179" s="160"/>
      <c r="S179" s="160"/>
      <c r="T179" s="160"/>
      <c r="U179" s="16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  <c r="HQ179" s="151"/>
      <c r="HR179" s="151"/>
      <c r="HS179" s="151"/>
      <c r="HT179" s="151"/>
      <c r="HU179" s="151"/>
      <c r="HV179" s="151"/>
      <c r="HW179" s="151"/>
      <c r="HX179" s="151"/>
      <c r="HY179" s="151"/>
      <c r="HZ179" s="151"/>
      <c r="IA179" s="151"/>
      <c r="IB179" s="151"/>
      <c r="IC179" s="151"/>
      <c r="ID179" s="151"/>
      <c r="IE179" s="151"/>
      <c r="IF179" s="151"/>
      <c r="IG179" s="151"/>
      <c r="IH179" s="151"/>
      <c r="II179" s="151"/>
      <c r="IJ179" s="151"/>
      <c r="IK179" s="151"/>
      <c r="IL179" s="151"/>
      <c r="IM179" s="151"/>
      <c r="IN179" s="151"/>
      <c r="IO179" s="151"/>
      <c r="IP179" s="151"/>
      <c r="IQ179" s="151"/>
      <c r="IR179" s="151"/>
      <c r="IS179" s="151"/>
      <c r="IT179" s="151"/>
      <c r="IU179" s="151"/>
      <c r="IV179" s="151"/>
    </row>
    <row r="180" spans="1:256" hidden="1">
      <c r="A180" s="824"/>
      <c r="B180" s="827"/>
      <c r="C180" s="157" t="s">
        <v>1</v>
      </c>
      <c r="D180" s="158">
        <f>E180+M180</f>
        <v>0</v>
      </c>
      <c r="E180" s="159">
        <f>F180+I180+J180+K180+L180</f>
        <v>0</v>
      </c>
      <c r="F180" s="159">
        <f>G180+H180</f>
        <v>0</v>
      </c>
      <c r="G180" s="159"/>
      <c r="H180" s="159"/>
      <c r="I180" s="159"/>
      <c r="J180" s="159"/>
      <c r="K180" s="159"/>
      <c r="L180" s="159"/>
      <c r="M180" s="159">
        <f>N180+P180</f>
        <v>0</v>
      </c>
      <c r="N180" s="159"/>
      <c r="O180" s="159"/>
      <c r="P180" s="159"/>
      <c r="Q180" s="160"/>
      <c r="R180" s="160"/>
      <c r="S180" s="160"/>
      <c r="T180" s="160"/>
      <c r="U180" s="160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  <c r="HQ180" s="151"/>
      <c r="HR180" s="151"/>
      <c r="HS180" s="151"/>
      <c r="HT180" s="151"/>
      <c r="HU180" s="151"/>
      <c r="HV180" s="151"/>
      <c r="HW180" s="151"/>
      <c r="HX180" s="151"/>
      <c r="HY180" s="151"/>
      <c r="HZ180" s="151"/>
      <c r="IA180" s="151"/>
      <c r="IB180" s="151"/>
      <c r="IC180" s="151"/>
      <c r="ID180" s="151"/>
      <c r="IE180" s="151"/>
      <c r="IF180" s="151"/>
      <c r="IG180" s="151"/>
      <c r="IH180" s="151"/>
      <c r="II180" s="151"/>
      <c r="IJ180" s="151"/>
      <c r="IK180" s="151"/>
      <c r="IL180" s="151"/>
      <c r="IM180" s="151"/>
      <c r="IN180" s="151"/>
      <c r="IO180" s="151"/>
      <c r="IP180" s="151"/>
      <c r="IQ180" s="151"/>
      <c r="IR180" s="151"/>
      <c r="IS180" s="151"/>
      <c r="IT180" s="151"/>
      <c r="IU180" s="151"/>
      <c r="IV180" s="151"/>
    </row>
    <row r="181" spans="1:256" hidden="1">
      <c r="A181" s="825"/>
      <c r="B181" s="828"/>
      <c r="C181" s="157" t="s">
        <v>2</v>
      </c>
      <c r="D181" s="158">
        <f>D180+D179</f>
        <v>59486714</v>
      </c>
      <c r="E181" s="159">
        <f t="shared" ref="E181:P181" si="83">E180+E179</f>
        <v>59486714</v>
      </c>
      <c r="F181" s="159">
        <f t="shared" si="83"/>
        <v>0</v>
      </c>
      <c r="G181" s="159">
        <f t="shared" si="83"/>
        <v>0</v>
      </c>
      <c r="H181" s="159">
        <f t="shared" si="83"/>
        <v>0</v>
      </c>
      <c r="I181" s="159">
        <f t="shared" si="83"/>
        <v>0</v>
      </c>
      <c r="J181" s="159">
        <f t="shared" si="83"/>
        <v>0</v>
      </c>
      <c r="K181" s="159">
        <f t="shared" si="83"/>
        <v>0</v>
      </c>
      <c r="L181" s="159">
        <f t="shared" si="83"/>
        <v>59486714</v>
      </c>
      <c r="M181" s="159">
        <f t="shared" si="83"/>
        <v>0</v>
      </c>
      <c r="N181" s="159">
        <f t="shared" si="83"/>
        <v>0</v>
      </c>
      <c r="O181" s="159">
        <f t="shared" si="83"/>
        <v>0</v>
      </c>
      <c r="P181" s="159">
        <f t="shared" si="83"/>
        <v>0</v>
      </c>
      <c r="Q181" s="160"/>
      <c r="R181" s="160"/>
      <c r="S181" s="160"/>
      <c r="T181" s="160"/>
      <c r="U181" s="160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  <c r="HQ181" s="151"/>
      <c r="HR181" s="151"/>
      <c r="HS181" s="151"/>
      <c r="HT181" s="151"/>
      <c r="HU181" s="151"/>
      <c r="HV181" s="151"/>
      <c r="HW181" s="151"/>
      <c r="HX181" s="151"/>
      <c r="HY181" s="151"/>
      <c r="HZ181" s="151"/>
      <c r="IA181" s="151"/>
      <c r="IB181" s="151"/>
      <c r="IC181" s="151"/>
      <c r="ID181" s="151"/>
      <c r="IE181" s="151"/>
      <c r="IF181" s="151"/>
      <c r="IG181" s="151"/>
      <c r="IH181" s="151"/>
      <c r="II181" s="151"/>
      <c r="IJ181" s="151"/>
      <c r="IK181" s="151"/>
      <c r="IL181" s="151"/>
      <c r="IM181" s="151"/>
      <c r="IN181" s="151"/>
      <c r="IO181" s="151"/>
      <c r="IP181" s="151"/>
      <c r="IQ181" s="151"/>
      <c r="IR181" s="151"/>
      <c r="IS181" s="151"/>
      <c r="IT181" s="151"/>
      <c r="IU181" s="151"/>
      <c r="IV181" s="151"/>
    </row>
    <row r="182" spans="1:256" ht="15" hidden="1">
      <c r="A182" s="835" t="s">
        <v>57</v>
      </c>
      <c r="B182" s="838" t="s">
        <v>58</v>
      </c>
      <c r="C182" s="161" t="s">
        <v>0</v>
      </c>
      <c r="D182" s="162">
        <f t="shared" ref="D182:P183" si="84">D185</f>
        <v>48380667</v>
      </c>
      <c r="E182" s="163">
        <f t="shared" si="84"/>
        <v>37597964</v>
      </c>
      <c r="F182" s="163">
        <f t="shared" si="84"/>
        <v>37597964</v>
      </c>
      <c r="G182" s="163">
        <f t="shared" si="84"/>
        <v>0</v>
      </c>
      <c r="H182" s="163">
        <f t="shared" si="84"/>
        <v>37597964</v>
      </c>
      <c r="I182" s="163">
        <f t="shared" si="84"/>
        <v>0</v>
      </c>
      <c r="J182" s="163">
        <f t="shared" si="84"/>
        <v>0</v>
      </c>
      <c r="K182" s="163">
        <f t="shared" si="84"/>
        <v>0</v>
      </c>
      <c r="L182" s="163">
        <f t="shared" si="84"/>
        <v>0</v>
      </c>
      <c r="M182" s="163">
        <f t="shared" si="84"/>
        <v>10782703</v>
      </c>
      <c r="N182" s="163">
        <f t="shared" si="84"/>
        <v>10782703</v>
      </c>
      <c r="O182" s="163">
        <f t="shared" si="84"/>
        <v>0</v>
      </c>
      <c r="P182" s="163">
        <f t="shared" si="84"/>
        <v>0</v>
      </c>
      <c r="Q182" s="171"/>
      <c r="R182" s="171"/>
      <c r="S182" s="171"/>
      <c r="T182" s="171"/>
      <c r="U182" s="171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  <c r="BO182" s="172"/>
      <c r="BP182" s="172"/>
      <c r="BQ182" s="172"/>
      <c r="BR182" s="172"/>
      <c r="BS182" s="172"/>
      <c r="BT182" s="172"/>
      <c r="BU182" s="172"/>
      <c r="BV182" s="172"/>
      <c r="BW182" s="172"/>
      <c r="BX182" s="172"/>
      <c r="BY182" s="172"/>
      <c r="BZ182" s="172"/>
      <c r="CA182" s="172"/>
      <c r="CB182" s="172"/>
      <c r="CC182" s="172"/>
      <c r="CD182" s="172"/>
      <c r="CE182" s="172"/>
      <c r="CF182" s="172"/>
      <c r="CG182" s="172"/>
      <c r="CH182" s="172"/>
      <c r="CI182" s="172"/>
      <c r="CJ182" s="172"/>
      <c r="CK182" s="172"/>
      <c r="CL182" s="172"/>
      <c r="CM182" s="172"/>
      <c r="CN182" s="172"/>
      <c r="CO182" s="172"/>
      <c r="CP182" s="172"/>
      <c r="CQ182" s="172"/>
      <c r="CR182" s="172"/>
      <c r="CS182" s="172"/>
      <c r="CT182" s="172"/>
      <c r="CU182" s="172"/>
      <c r="CV182" s="172"/>
      <c r="CW182" s="172"/>
      <c r="CX182" s="172"/>
      <c r="CY182" s="172"/>
      <c r="CZ182" s="172"/>
      <c r="DA182" s="172"/>
      <c r="DB182" s="172"/>
      <c r="DC182" s="172"/>
      <c r="DD182" s="172"/>
      <c r="DE182" s="172"/>
      <c r="DF182" s="172"/>
      <c r="DG182" s="172"/>
      <c r="DH182" s="172"/>
      <c r="DI182" s="172"/>
      <c r="DJ182" s="172"/>
      <c r="DK182" s="172"/>
      <c r="DL182" s="172"/>
      <c r="DM182" s="172"/>
      <c r="DN182" s="172"/>
      <c r="DO182" s="172"/>
      <c r="DP182" s="172"/>
      <c r="DQ182" s="172"/>
      <c r="DR182" s="172"/>
      <c r="DS182" s="172"/>
      <c r="DT182" s="172"/>
      <c r="DU182" s="172"/>
      <c r="DV182" s="172"/>
      <c r="DW182" s="172"/>
      <c r="DX182" s="172"/>
      <c r="DY182" s="172"/>
      <c r="DZ182" s="172"/>
      <c r="EA182" s="172"/>
      <c r="EB182" s="172"/>
      <c r="EC182" s="172"/>
      <c r="ED182" s="172"/>
      <c r="EE182" s="172"/>
      <c r="EF182" s="172"/>
      <c r="EG182" s="172"/>
      <c r="EH182" s="172"/>
      <c r="EI182" s="172"/>
      <c r="EJ182" s="172"/>
      <c r="EK182" s="172"/>
      <c r="EL182" s="172"/>
      <c r="EM182" s="172"/>
      <c r="EN182" s="172"/>
      <c r="EO182" s="172"/>
      <c r="EP182" s="172"/>
      <c r="EQ182" s="172"/>
      <c r="ER182" s="172"/>
      <c r="ES182" s="172"/>
      <c r="ET182" s="172"/>
      <c r="EU182" s="172"/>
      <c r="EV182" s="172"/>
      <c r="EW182" s="172"/>
      <c r="EX182" s="172"/>
      <c r="EY182" s="172"/>
      <c r="EZ182" s="172"/>
      <c r="FA182" s="172"/>
      <c r="FB182" s="172"/>
      <c r="FC182" s="172"/>
      <c r="FD182" s="172"/>
      <c r="FE182" s="172"/>
      <c r="FF182" s="172"/>
      <c r="FG182" s="172"/>
      <c r="FH182" s="172"/>
      <c r="FI182" s="172"/>
      <c r="FJ182" s="172"/>
      <c r="FK182" s="172"/>
      <c r="FL182" s="172"/>
      <c r="FM182" s="172"/>
      <c r="FN182" s="172"/>
      <c r="FO182" s="172"/>
      <c r="FP182" s="172"/>
      <c r="FQ182" s="172"/>
      <c r="FR182" s="172"/>
      <c r="FS182" s="172"/>
      <c r="FT182" s="172"/>
      <c r="FU182" s="172"/>
      <c r="FV182" s="172"/>
      <c r="FW182" s="172"/>
      <c r="FX182" s="172"/>
      <c r="FY182" s="172"/>
      <c r="FZ182" s="172"/>
      <c r="GA182" s="172"/>
      <c r="GB182" s="172"/>
      <c r="GC182" s="172"/>
      <c r="GD182" s="172"/>
      <c r="GE182" s="172"/>
      <c r="GF182" s="172"/>
      <c r="GG182" s="172"/>
      <c r="GH182" s="172"/>
      <c r="GI182" s="172"/>
      <c r="GJ182" s="172"/>
      <c r="GK182" s="172"/>
      <c r="GL182" s="172"/>
      <c r="GM182" s="172"/>
      <c r="GN182" s="172"/>
      <c r="GO182" s="172"/>
      <c r="GP182" s="172"/>
      <c r="GQ182" s="172"/>
      <c r="GR182" s="172"/>
      <c r="GS182" s="172"/>
      <c r="GT182" s="172"/>
      <c r="GU182" s="172"/>
      <c r="GV182" s="172"/>
      <c r="GW182" s="172"/>
      <c r="GX182" s="172"/>
      <c r="GY182" s="172"/>
      <c r="GZ182" s="172"/>
      <c r="HA182" s="172"/>
      <c r="HB182" s="172"/>
      <c r="HC182" s="172"/>
      <c r="HD182" s="172"/>
      <c r="HE182" s="172"/>
      <c r="HF182" s="172"/>
      <c r="HG182" s="172"/>
      <c r="HH182" s="172"/>
      <c r="HI182" s="172"/>
      <c r="HJ182" s="172"/>
      <c r="HK182" s="172"/>
      <c r="HL182" s="172"/>
      <c r="HM182" s="172"/>
      <c r="HN182" s="172"/>
      <c r="HO182" s="172"/>
      <c r="HP182" s="172"/>
      <c r="HQ182" s="172"/>
      <c r="HR182" s="172"/>
      <c r="HS182" s="172"/>
      <c r="HT182" s="172"/>
      <c r="HU182" s="172"/>
      <c r="HV182" s="172"/>
      <c r="HW182" s="172"/>
      <c r="HX182" s="172"/>
      <c r="HY182" s="172"/>
      <c r="HZ182" s="172"/>
      <c r="IA182" s="172"/>
      <c r="IB182" s="172"/>
      <c r="IC182" s="172"/>
      <c r="ID182" s="172"/>
      <c r="IE182" s="172"/>
      <c r="IF182" s="172"/>
      <c r="IG182" s="172"/>
      <c r="IH182" s="172"/>
      <c r="II182" s="172"/>
      <c r="IJ182" s="172"/>
      <c r="IK182" s="172"/>
      <c r="IL182" s="172"/>
      <c r="IM182" s="172"/>
      <c r="IN182" s="172"/>
      <c r="IO182" s="172"/>
      <c r="IP182" s="172"/>
      <c r="IQ182" s="172"/>
      <c r="IR182" s="172"/>
      <c r="IS182" s="172"/>
      <c r="IT182" s="172"/>
      <c r="IU182" s="172"/>
      <c r="IV182" s="172"/>
    </row>
    <row r="183" spans="1:256" ht="15" hidden="1">
      <c r="A183" s="836"/>
      <c r="B183" s="839"/>
      <c r="C183" s="161" t="s">
        <v>1</v>
      </c>
      <c r="D183" s="162">
        <f t="shared" si="84"/>
        <v>0</v>
      </c>
      <c r="E183" s="163">
        <f t="shared" si="84"/>
        <v>0</v>
      </c>
      <c r="F183" s="163">
        <f t="shared" si="84"/>
        <v>0</v>
      </c>
      <c r="G183" s="163">
        <f t="shared" si="84"/>
        <v>0</v>
      </c>
      <c r="H183" s="163">
        <f t="shared" si="84"/>
        <v>0</v>
      </c>
      <c r="I183" s="163">
        <f t="shared" si="84"/>
        <v>0</v>
      </c>
      <c r="J183" s="163">
        <f t="shared" si="84"/>
        <v>0</v>
      </c>
      <c r="K183" s="163">
        <f t="shared" si="84"/>
        <v>0</v>
      </c>
      <c r="L183" s="163">
        <f t="shared" si="84"/>
        <v>0</v>
      </c>
      <c r="M183" s="163">
        <f t="shared" si="84"/>
        <v>0</v>
      </c>
      <c r="N183" s="163">
        <f t="shared" si="84"/>
        <v>0</v>
      </c>
      <c r="O183" s="163">
        <f t="shared" si="84"/>
        <v>0</v>
      </c>
      <c r="P183" s="163">
        <f t="shared" si="84"/>
        <v>0</v>
      </c>
      <c r="Q183" s="171"/>
      <c r="R183" s="171"/>
      <c r="S183" s="171"/>
      <c r="T183" s="171"/>
      <c r="U183" s="171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  <c r="BI183" s="172"/>
      <c r="BJ183" s="172"/>
      <c r="BK183" s="172"/>
      <c r="BL183" s="172"/>
      <c r="BM183" s="172"/>
      <c r="BN183" s="172"/>
      <c r="BO183" s="172"/>
      <c r="BP183" s="172"/>
      <c r="BQ183" s="172"/>
      <c r="BR183" s="172"/>
      <c r="BS183" s="172"/>
      <c r="BT183" s="172"/>
      <c r="BU183" s="172"/>
      <c r="BV183" s="172"/>
      <c r="BW183" s="172"/>
      <c r="BX183" s="172"/>
      <c r="BY183" s="172"/>
      <c r="BZ183" s="172"/>
      <c r="CA183" s="172"/>
      <c r="CB183" s="172"/>
      <c r="CC183" s="172"/>
      <c r="CD183" s="172"/>
      <c r="CE183" s="172"/>
      <c r="CF183" s="172"/>
      <c r="CG183" s="172"/>
      <c r="CH183" s="172"/>
      <c r="CI183" s="172"/>
      <c r="CJ183" s="172"/>
      <c r="CK183" s="172"/>
      <c r="CL183" s="172"/>
      <c r="CM183" s="172"/>
      <c r="CN183" s="172"/>
      <c r="CO183" s="172"/>
      <c r="CP183" s="172"/>
      <c r="CQ183" s="172"/>
      <c r="CR183" s="172"/>
      <c r="CS183" s="172"/>
      <c r="CT183" s="172"/>
      <c r="CU183" s="172"/>
      <c r="CV183" s="172"/>
      <c r="CW183" s="172"/>
      <c r="CX183" s="172"/>
      <c r="CY183" s="172"/>
      <c r="CZ183" s="172"/>
      <c r="DA183" s="172"/>
      <c r="DB183" s="172"/>
      <c r="DC183" s="172"/>
      <c r="DD183" s="172"/>
      <c r="DE183" s="172"/>
      <c r="DF183" s="172"/>
      <c r="DG183" s="172"/>
      <c r="DH183" s="172"/>
      <c r="DI183" s="172"/>
      <c r="DJ183" s="172"/>
      <c r="DK183" s="172"/>
      <c r="DL183" s="172"/>
      <c r="DM183" s="172"/>
      <c r="DN183" s="172"/>
      <c r="DO183" s="172"/>
      <c r="DP183" s="172"/>
      <c r="DQ183" s="172"/>
      <c r="DR183" s="172"/>
      <c r="DS183" s="172"/>
      <c r="DT183" s="172"/>
      <c r="DU183" s="172"/>
      <c r="DV183" s="172"/>
      <c r="DW183" s="172"/>
      <c r="DX183" s="172"/>
      <c r="DY183" s="172"/>
      <c r="DZ183" s="172"/>
      <c r="EA183" s="172"/>
      <c r="EB183" s="172"/>
      <c r="EC183" s="172"/>
      <c r="ED183" s="172"/>
      <c r="EE183" s="172"/>
      <c r="EF183" s="172"/>
      <c r="EG183" s="172"/>
      <c r="EH183" s="172"/>
      <c r="EI183" s="172"/>
      <c r="EJ183" s="172"/>
      <c r="EK183" s="172"/>
      <c r="EL183" s="172"/>
      <c r="EM183" s="172"/>
      <c r="EN183" s="172"/>
      <c r="EO183" s="172"/>
      <c r="EP183" s="172"/>
      <c r="EQ183" s="172"/>
      <c r="ER183" s="172"/>
      <c r="ES183" s="172"/>
      <c r="ET183" s="172"/>
      <c r="EU183" s="172"/>
      <c r="EV183" s="172"/>
      <c r="EW183" s="172"/>
      <c r="EX183" s="172"/>
      <c r="EY183" s="172"/>
      <c r="EZ183" s="172"/>
      <c r="FA183" s="172"/>
      <c r="FB183" s="172"/>
      <c r="FC183" s="172"/>
      <c r="FD183" s="172"/>
      <c r="FE183" s="172"/>
      <c r="FF183" s="172"/>
      <c r="FG183" s="172"/>
      <c r="FH183" s="172"/>
      <c r="FI183" s="172"/>
      <c r="FJ183" s="172"/>
      <c r="FK183" s="172"/>
      <c r="FL183" s="172"/>
      <c r="FM183" s="172"/>
      <c r="FN183" s="172"/>
      <c r="FO183" s="172"/>
      <c r="FP183" s="172"/>
      <c r="FQ183" s="172"/>
      <c r="FR183" s="172"/>
      <c r="FS183" s="172"/>
      <c r="FT183" s="172"/>
      <c r="FU183" s="172"/>
      <c r="FV183" s="172"/>
      <c r="FW183" s="172"/>
      <c r="FX183" s="172"/>
      <c r="FY183" s="172"/>
      <c r="FZ183" s="172"/>
      <c r="GA183" s="172"/>
      <c r="GB183" s="172"/>
      <c r="GC183" s="172"/>
      <c r="GD183" s="172"/>
      <c r="GE183" s="172"/>
      <c r="GF183" s="172"/>
      <c r="GG183" s="172"/>
      <c r="GH183" s="172"/>
      <c r="GI183" s="172"/>
      <c r="GJ183" s="172"/>
      <c r="GK183" s="172"/>
      <c r="GL183" s="172"/>
      <c r="GM183" s="172"/>
      <c r="GN183" s="172"/>
      <c r="GO183" s="172"/>
      <c r="GP183" s="172"/>
      <c r="GQ183" s="172"/>
      <c r="GR183" s="172"/>
      <c r="GS183" s="172"/>
      <c r="GT183" s="172"/>
      <c r="GU183" s="172"/>
      <c r="GV183" s="172"/>
      <c r="GW183" s="172"/>
      <c r="GX183" s="172"/>
      <c r="GY183" s="172"/>
      <c r="GZ183" s="172"/>
      <c r="HA183" s="172"/>
      <c r="HB183" s="172"/>
      <c r="HC183" s="172"/>
      <c r="HD183" s="172"/>
      <c r="HE183" s="172"/>
      <c r="HF183" s="172"/>
      <c r="HG183" s="172"/>
      <c r="HH183" s="172"/>
      <c r="HI183" s="172"/>
      <c r="HJ183" s="172"/>
      <c r="HK183" s="172"/>
      <c r="HL183" s="172"/>
      <c r="HM183" s="172"/>
      <c r="HN183" s="172"/>
      <c r="HO183" s="172"/>
      <c r="HP183" s="172"/>
      <c r="HQ183" s="172"/>
      <c r="HR183" s="172"/>
      <c r="HS183" s="172"/>
      <c r="HT183" s="172"/>
      <c r="HU183" s="172"/>
      <c r="HV183" s="172"/>
      <c r="HW183" s="172"/>
      <c r="HX183" s="172"/>
      <c r="HY183" s="172"/>
      <c r="HZ183" s="172"/>
      <c r="IA183" s="172"/>
      <c r="IB183" s="172"/>
      <c r="IC183" s="172"/>
      <c r="ID183" s="172"/>
      <c r="IE183" s="172"/>
      <c r="IF183" s="172"/>
      <c r="IG183" s="172"/>
      <c r="IH183" s="172"/>
      <c r="II183" s="172"/>
      <c r="IJ183" s="172"/>
      <c r="IK183" s="172"/>
      <c r="IL183" s="172"/>
      <c r="IM183" s="172"/>
      <c r="IN183" s="172"/>
      <c r="IO183" s="172"/>
      <c r="IP183" s="172"/>
      <c r="IQ183" s="172"/>
      <c r="IR183" s="172"/>
      <c r="IS183" s="172"/>
      <c r="IT183" s="172"/>
      <c r="IU183" s="172"/>
      <c r="IV183" s="172"/>
    </row>
    <row r="184" spans="1:256" ht="15" hidden="1">
      <c r="A184" s="837"/>
      <c r="B184" s="840"/>
      <c r="C184" s="161" t="s">
        <v>2</v>
      </c>
      <c r="D184" s="162">
        <f>D183+D182</f>
        <v>48380667</v>
      </c>
      <c r="E184" s="163">
        <f t="shared" ref="E184:P184" si="85">E183+E182</f>
        <v>37597964</v>
      </c>
      <c r="F184" s="163">
        <f t="shared" si="85"/>
        <v>37597964</v>
      </c>
      <c r="G184" s="163">
        <f t="shared" si="85"/>
        <v>0</v>
      </c>
      <c r="H184" s="163">
        <f t="shared" si="85"/>
        <v>37597964</v>
      </c>
      <c r="I184" s="163">
        <f t="shared" si="85"/>
        <v>0</v>
      </c>
      <c r="J184" s="163">
        <f t="shared" si="85"/>
        <v>0</v>
      </c>
      <c r="K184" s="163">
        <f t="shared" si="85"/>
        <v>0</v>
      </c>
      <c r="L184" s="163">
        <f t="shared" si="85"/>
        <v>0</v>
      </c>
      <c r="M184" s="163">
        <f t="shared" si="85"/>
        <v>10782703</v>
      </c>
      <c r="N184" s="163">
        <f t="shared" si="85"/>
        <v>10782703</v>
      </c>
      <c r="O184" s="163">
        <f t="shared" si="85"/>
        <v>0</v>
      </c>
      <c r="P184" s="163">
        <f t="shared" si="85"/>
        <v>0</v>
      </c>
      <c r="Q184" s="171"/>
      <c r="R184" s="171"/>
      <c r="S184" s="171"/>
      <c r="T184" s="171"/>
      <c r="U184" s="171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  <c r="BI184" s="172"/>
      <c r="BJ184" s="172"/>
      <c r="BK184" s="172"/>
      <c r="BL184" s="172"/>
      <c r="BM184" s="172"/>
      <c r="BN184" s="172"/>
      <c r="BO184" s="172"/>
      <c r="BP184" s="172"/>
      <c r="BQ184" s="172"/>
      <c r="BR184" s="172"/>
      <c r="BS184" s="172"/>
      <c r="BT184" s="172"/>
      <c r="BU184" s="172"/>
      <c r="BV184" s="172"/>
      <c r="BW184" s="172"/>
      <c r="BX184" s="172"/>
      <c r="BY184" s="172"/>
      <c r="BZ184" s="172"/>
      <c r="CA184" s="172"/>
      <c r="CB184" s="172"/>
      <c r="CC184" s="172"/>
      <c r="CD184" s="172"/>
      <c r="CE184" s="172"/>
      <c r="CF184" s="172"/>
      <c r="CG184" s="172"/>
      <c r="CH184" s="172"/>
      <c r="CI184" s="172"/>
      <c r="CJ184" s="172"/>
      <c r="CK184" s="172"/>
      <c r="CL184" s="172"/>
      <c r="CM184" s="172"/>
      <c r="CN184" s="172"/>
      <c r="CO184" s="172"/>
      <c r="CP184" s="172"/>
      <c r="CQ184" s="172"/>
      <c r="CR184" s="172"/>
      <c r="CS184" s="172"/>
      <c r="CT184" s="172"/>
      <c r="CU184" s="172"/>
      <c r="CV184" s="172"/>
      <c r="CW184" s="172"/>
      <c r="CX184" s="172"/>
      <c r="CY184" s="172"/>
      <c r="CZ184" s="172"/>
      <c r="DA184" s="172"/>
      <c r="DB184" s="172"/>
      <c r="DC184" s="172"/>
      <c r="DD184" s="172"/>
      <c r="DE184" s="172"/>
      <c r="DF184" s="172"/>
      <c r="DG184" s="172"/>
      <c r="DH184" s="172"/>
      <c r="DI184" s="172"/>
      <c r="DJ184" s="172"/>
      <c r="DK184" s="172"/>
      <c r="DL184" s="172"/>
      <c r="DM184" s="172"/>
      <c r="DN184" s="172"/>
      <c r="DO184" s="172"/>
      <c r="DP184" s="172"/>
      <c r="DQ184" s="172"/>
      <c r="DR184" s="172"/>
      <c r="DS184" s="172"/>
      <c r="DT184" s="172"/>
      <c r="DU184" s="172"/>
      <c r="DV184" s="172"/>
      <c r="DW184" s="172"/>
      <c r="DX184" s="172"/>
      <c r="DY184" s="172"/>
      <c r="DZ184" s="172"/>
      <c r="EA184" s="172"/>
      <c r="EB184" s="172"/>
      <c r="EC184" s="172"/>
      <c r="ED184" s="172"/>
      <c r="EE184" s="172"/>
      <c r="EF184" s="172"/>
      <c r="EG184" s="172"/>
      <c r="EH184" s="172"/>
      <c r="EI184" s="172"/>
      <c r="EJ184" s="172"/>
      <c r="EK184" s="172"/>
      <c r="EL184" s="172"/>
      <c r="EM184" s="172"/>
      <c r="EN184" s="172"/>
      <c r="EO184" s="172"/>
      <c r="EP184" s="172"/>
      <c r="EQ184" s="172"/>
      <c r="ER184" s="172"/>
      <c r="ES184" s="172"/>
      <c r="ET184" s="172"/>
      <c r="EU184" s="172"/>
      <c r="EV184" s="172"/>
      <c r="EW184" s="172"/>
      <c r="EX184" s="172"/>
      <c r="EY184" s="172"/>
      <c r="EZ184" s="172"/>
      <c r="FA184" s="172"/>
      <c r="FB184" s="172"/>
      <c r="FC184" s="172"/>
      <c r="FD184" s="172"/>
      <c r="FE184" s="172"/>
      <c r="FF184" s="172"/>
      <c r="FG184" s="172"/>
      <c r="FH184" s="172"/>
      <c r="FI184" s="172"/>
      <c r="FJ184" s="172"/>
      <c r="FK184" s="172"/>
      <c r="FL184" s="172"/>
      <c r="FM184" s="172"/>
      <c r="FN184" s="172"/>
      <c r="FO184" s="172"/>
      <c r="FP184" s="172"/>
      <c r="FQ184" s="172"/>
      <c r="FR184" s="172"/>
      <c r="FS184" s="172"/>
      <c r="FT184" s="172"/>
      <c r="FU184" s="172"/>
      <c r="FV184" s="172"/>
      <c r="FW184" s="172"/>
      <c r="FX184" s="172"/>
      <c r="FY184" s="172"/>
      <c r="FZ184" s="172"/>
      <c r="GA184" s="172"/>
      <c r="GB184" s="172"/>
      <c r="GC184" s="172"/>
      <c r="GD184" s="172"/>
      <c r="GE184" s="172"/>
      <c r="GF184" s="172"/>
      <c r="GG184" s="172"/>
      <c r="GH184" s="172"/>
      <c r="GI184" s="172"/>
      <c r="GJ184" s="172"/>
      <c r="GK184" s="172"/>
      <c r="GL184" s="172"/>
      <c r="GM184" s="172"/>
      <c r="GN184" s="172"/>
      <c r="GO184" s="172"/>
      <c r="GP184" s="172"/>
      <c r="GQ184" s="172"/>
      <c r="GR184" s="172"/>
      <c r="GS184" s="172"/>
      <c r="GT184" s="172"/>
      <c r="GU184" s="172"/>
      <c r="GV184" s="172"/>
      <c r="GW184" s="172"/>
      <c r="GX184" s="172"/>
      <c r="GY184" s="172"/>
      <c r="GZ184" s="172"/>
      <c r="HA184" s="172"/>
      <c r="HB184" s="172"/>
      <c r="HC184" s="172"/>
      <c r="HD184" s="172"/>
      <c r="HE184" s="172"/>
      <c r="HF184" s="172"/>
      <c r="HG184" s="172"/>
      <c r="HH184" s="172"/>
      <c r="HI184" s="172"/>
      <c r="HJ184" s="172"/>
      <c r="HK184" s="172"/>
      <c r="HL184" s="172"/>
      <c r="HM184" s="172"/>
      <c r="HN184" s="172"/>
      <c r="HO184" s="172"/>
      <c r="HP184" s="172"/>
      <c r="HQ184" s="172"/>
      <c r="HR184" s="172"/>
      <c r="HS184" s="172"/>
      <c r="HT184" s="172"/>
      <c r="HU184" s="172"/>
      <c r="HV184" s="172"/>
      <c r="HW184" s="172"/>
      <c r="HX184" s="172"/>
      <c r="HY184" s="172"/>
      <c r="HZ184" s="172"/>
      <c r="IA184" s="172"/>
      <c r="IB184" s="172"/>
      <c r="IC184" s="172"/>
      <c r="ID184" s="172"/>
      <c r="IE184" s="172"/>
      <c r="IF184" s="172"/>
      <c r="IG184" s="172"/>
      <c r="IH184" s="172"/>
      <c r="II184" s="172"/>
      <c r="IJ184" s="172"/>
      <c r="IK184" s="172"/>
      <c r="IL184" s="172"/>
      <c r="IM184" s="172"/>
      <c r="IN184" s="172"/>
      <c r="IO184" s="172"/>
      <c r="IP184" s="172"/>
      <c r="IQ184" s="172"/>
      <c r="IR184" s="172"/>
      <c r="IS184" s="172"/>
      <c r="IT184" s="172"/>
      <c r="IU184" s="172"/>
      <c r="IV184" s="172"/>
    </row>
    <row r="185" spans="1:256" hidden="1">
      <c r="A185" s="823" t="s">
        <v>222</v>
      </c>
      <c r="B185" s="826" t="s">
        <v>223</v>
      </c>
      <c r="C185" s="157" t="s">
        <v>0</v>
      </c>
      <c r="D185" s="158">
        <f>E185+M185</f>
        <v>48380667</v>
      </c>
      <c r="E185" s="159">
        <f>F185+I185+J185+K185+L185</f>
        <v>37597964</v>
      </c>
      <c r="F185" s="159">
        <f>G185+H185</f>
        <v>37597964</v>
      </c>
      <c r="G185" s="159">
        <v>0</v>
      </c>
      <c r="H185" s="159">
        <v>37597964</v>
      </c>
      <c r="I185" s="159">
        <v>0</v>
      </c>
      <c r="J185" s="159">
        <v>0</v>
      </c>
      <c r="K185" s="159">
        <v>0</v>
      </c>
      <c r="L185" s="159">
        <v>0</v>
      </c>
      <c r="M185" s="159">
        <f>N185+P185</f>
        <v>10782703</v>
      </c>
      <c r="N185" s="159">
        <v>10782703</v>
      </c>
      <c r="O185" s="159">
        <v>0</v>
      </c>
      <c r="P185" s="159">
        <v>0</v>
      </c>
      <c r="Q185" s="166"/>
      <c r="R185" s="166"/>
      <c r="S185" s="166"/>
      <c r="T185" s="166"/>
      <c r="U185" s="166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</row>
    <row r="186" spans="1:256" hidden="1">
      <c r="A186" s="824"/>
      <c r="B186" s="827"/>
      <c r="C186" s="157" t="s">
        <v>1</v>
      </c>
      <c r="D186" s="158">
        <f>E186+M186</f>
        <v>0</v>
      </c>
      <c r="E186" s="159">
        <f>F186+I186+J186+K186+L186</f>
        <v>0</v>
      </c>
      <c r="F186" s="159">
        <f>G186+H186</f>
        <v>0</v>
      </c>
      <c r="G186" s="159"/>
      <c r="H186" s="159"/>
      <c r="I186" s="159"/>
      <c r="J186" s="159"/>
      <c r="K186" s="159"/>
      <c r="L186" s="159"/>
      <c r="M186" s="159">
        <f>N186+P186</f>
        <v>0</v>
      </c>
      <c r="N186" s="159"/>
      <c r="O186" s="159"/>
      <c r="P186" s="159"/>
      <c r="Q186" s="166"/>
      <c r="R186" s="166"/>
      <c r="S186" s="166"/>
      <c r="T186" s="166"/>
      <c r="U186" s="166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</row>
    <row r="187" spans="1:256" hidden="1">
      <c r="A187" s="825"/>
      <c r="B187" s="828"/>
      <c r="C187" s="157" t="s">
        <v>2</v>
      </c>
      <c r="D187" s="158">
        <f>D186+D185</f>
        <v>48380667</v>
      </c>
      <c r="E187" s="159">
        <f t="shared" ref="E187:P187" si="86">E186+E185</f>
        <v>37597964</v>
      </c>
      <c r="F187" s="159">
        <f t="shared" si="86"/>
        <v>37597964</v>
      </c>
      <c r="G187" s="159">
        <f t="shared" si="86"/>
        <v>0</v>
      </c>
      <c r="H187" s="159">
        <f t="shared" si="86"/>
        <v>37597964</v>
      </c>
      <c r="I187" s="159">
        <f t="shared" si="86"/>
        <v>0</v>
      </c>
      <c r="J187" s="159">
        <f t="shared" si="86"/>
        <v>0</v>
      </c>
      <c r="K187" s="159">
        <f t="shared" si="86"/>
        <v>0</v>
      </c>
      <c r="L187" s="159">
        <f t="shared" si="86"/>
        <v>0</v>
      </c>
      <c r="M187" s="159">
        <f t="shared" si="86"/>
        <v>10782703</v>
      </c>
      <c r="N187" s="159">
        <f t="shared" si="86"/>
        <v>10782703</v>
      </c>
      <c r="O187" s="159">
        <f t="shared" si="86"/>
        <v>0</v>
      </c>
      <c r="P187" s="159">
        <f t="shared" si="86"/>
        <v>0</v>
      </c>
      <c r="Q187" s="166"/>
      <c r="R187" s="166"/>
      <c r="S187" s="166"/>
      <c r="T187" s="166"/>
      <c r="U187" s="166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</row>
    <row r="188" spans="1:256" ht="15">
      <c r="A188" s="835" t="s">
        <v>59</v>
      </c>
      <c r="B188" s="838" t="s">
        <v>60</v>
      </c>
      <c r="C188" s="161" t="s">
        <v>0</v>
      </c>
      <c r="D188" s="173">
        <f>D191+D197+D200+D203+D206+D209+D212+D215+D218+D221+D227+D194+D224</f>
        <v>169669932</v>
      </c>
      <c r="E188" s="163">
        <f t="shared" ref="E188:P189" si="87">E191+E197+E200+E203+E206+E209+E212+E215+E218+E221+E227+E194+E224</f>
        <v>164586339</v>
      </c>
      <c r="F188" s="163">
        <f t="shared" si="87"/>
        <v>143583185</v>
      </c>
      <c r="G188" s="163">
        <f t="shared" si="87"/>
        <v>122358605</v>
      </c>
      <c r="H188" s="163">
        <f t="shared" si="87"/>
        <v>21224580</v>
      </c>
      <c r="I188" s="163">
        <f t="shared" si="87"/>
        <v>0</v>
      </c>
      <c r="J188" s="163">
        <f t="shared" si="87"/>
        <v>243628</v>
      </c>
      <c r="K188" s="163">
        <f t="shared" si="87"/>
        <v>20759526</v>
      </c>
      <c r="L188" s="163">
        <f t="shared" si="87"/>
        <v>0</v>
      </c>
      <c r="M188" s="163">
        <f t="shared" si="87"/>
        <v>5083593</v>
      </c>
      <c r="N188" s="163">
        <f t="shared" si="87"/>
        <v>5083593</v>
      </c>
      <c r="O188" s="163">
        <f t="shared" si="87"/>
        <v>2298224</v>
      </c>
      <c r="P188" s="163">
        <f t="shared" si="87"/>
        <v>0</v>
      </c>
      <c r="Q188" s="171"/>
      <c r="R188" s="171"/>
      <c r="S188" s="171"/>
      <c r="T188" s="171"/>
      <c r="U188" s="171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2"/>
      <c r="CP188" s="172"/>
      <c r="CQ188" s="172"/>
      <c r="CR188" s="172"/>
      <c r="CS188" s="172"/>
      <c r="CT188" s="172"/>
      <c r="CU188" s="172"/>
      <c r="CV188" s="172"/>
      <c r="CW188" s="172"/>
      <c r="CX188" s="172"/>
      <c r="CY188" s="172"/>
      <c r="CZ188" s="172"/>
      <c r="DA188" s="172"/>
      <c r="DB188" s="172"/>
      <c r="DC188" s="172"/>
      <c r="DD188" s="172"/>
      <c r="DE188" s="172"/>
      <c r="DF188" s="172"/>
      <c r="DG188" s="172"/>
      <c r="DH188" s="172"/>
      <c r="DI188" s="172"/>
      <c r="DJ188" s="172"/>
      <c r="DK188" s="172"/>
      <c r="DL188" s="172"/>
      <c r="DM188" s="172"/>
      <c r="DN188" s="172"/>
      <c r="DO188" s="172"/>
      <c r="DP188" s="172"/>
      <c r="DQ188" s="172"/>
      <c r="DR188" s="172"/>
      <c r="DS188" s="172"/>
      <c r="DT188" s="172"/>
      <c r="DU188" s="172"/>
      <c r="DV188" s="172"/>
      <c r="DW188" s="172"/>
      <c r="DX188" s="172"/>
      <c r="DY188" s="172"/>
      <c r="DZ188" s="172"/>
      <c r="EA188" s="172"/>
      <c r="EB188" s="172"/>
      <c r="EC188" s="172"/>
      <c r="ED188" s="172"/>
      <c r="EE188" s="172"/>
      <c r="EF188" s="172"/>
      <c r="EG188" s="172"/>
      <c r="EH188" s="172"/>
      <c r="EI188" s="172"/>
      <c r="EJ188" s="172"/>
      <c r="EK188" s="172"/>
      <c r="EL188" s="172"/>
      <c r="EM188" s="172"/>
      <c r="EN188" s="172"/>
      <c r="EO188" s="172"/>
      <c r="EP188" s="172"/>
      <c r="EQ188" s="172"/>
      <c r="ER188" s="172"/>
      <c r="ES188" s="172"/>
      <c r="ET188" s="172"/>
      <c r="EU188" s="172"/>
      <c r="EV188" s="172"/>
      <c r="EW188" s="172"/>
      <c r="EX188" s="172"/>
      <c r="EY188" s="172"/>
      <c r="EZ188" s="172"/>
      <c r="FA188" s="172"/>
      <c r="FB188" s="172"/>
      <c r="FC188" s="172"/>
      <c r="FD188" s="172"/>
      <c r="FE188" s="172"/>
      <c r="FF188" s="172"/>
      <c r="FG188" s="172"/>
      <c r="FH188" s="172"/>
      <c r="FI188" s="172"/>
      <c r="FJ188" s="172"/>
      <c r="FK188" s="172"/>
      <c r="FL188" s="172"/>
      <c r="FM188" s="172"/>
      <c r="FN188" s="172"/>
      <c r="FO188" s="172"/>
      <c r="FP188" s="172"/>
      <c r="FQ188" s="172"/>
      <c r="FR188" s="172"/>
      <c r="FS188" s="172"/>
      <c r="FT188" s="172"/>
      <c r="FU188" s="172"/>
      <c r="FV188" s="172"/>
      <c r="FW188" s="172"/>
      <c r="FX188" s="172"/>
      <c r="FY188" s="172"/>
      <c r="FZ188" s="172"/>
      <c r="GA188" s="172"/>
      <c r="GB188" s="172"/>
      <c r="GC188" s="172"/>
      <c r="GD188" s="172"/>
      <c r="GE188" s="172"/>
      <c r="GF188" s="172"/>
      <c r="GG188" s="172"/>
      <c r="GH188" s="172"/>
      <c r="GI188" s="172"/>
      <c r="GJ188" s="172"/>
      <c r="GK188" s="172"/>
      <c r="GL188" s="172"/>
      <c r="GM188" s="172"/>
      <c r="GN188" s="172"/>
      <c r="GO188" s="172"/>
      <c r="GP188" s="172"/>
      <c r="GQ188" s="172"/>
      <c r="GR188" s="172"/>
      <c r="GS188" s="172"/>
      <c r="GT188" s="172"/>
      <c r="GU188" s="172"/>
      <c r="GV188" s="172"/>
      <c r="GW188" s="172"/>
      <c r="GX188" s="172"/>
      <c r="GY188" s="172"/>
      <c r="GZ188" s="172"/>
      <c r="HA188" s="172"/>
      <c r="HB188" s="172"/>
      <c r="HC188" s="172"/>
      <c r="HD188" s="172"/>
      <c r="HE188" s="172"/>
      <c r="HF188" s="172"/>
      <c r="HG188" s="172"/>
      <c r="HH188" s="172"/>
      <c r="HI188" s="172"/>
      <c r="HJ188" s="172"/>
      <c r="HK188" s="172"/>
      <c r="HL188" s="172"/>
      <c r="HM188" s="172"/>
      <c r="HN188" s="172"/>
      <c r="HO188" s="172"/>
      <c r="HP188" s="172"/>
      <c r="HQ188" s="172"/>
      <c r="HR188" s="172"/>
      <c r="HS188" s="172"/>
      <c r="HT188" s="172"/>
      <c r="HU188" s="172"/>
      <c r="HV188" s="172"/>
      <c r="HW188" s="172"/>
      <c r="HX188" s="172"/>
      <c r="HY188" s="172"/>
      <c r="HZ188" s="172"/>
      <c r="IA188" s="172"/>
      <c r="IB188" s="172"/>
      <c r="IC188" s="172"/>
      <c r="ID188" s="172"/>
      <c r="IE188" s="172"/>
      <c r="IF188" s="172"/>
      <c r="IG188" s="172"/>
      <c r="IH188" s="172"/>
      <c r="II188" s="172"/>
      <c r="IJ188" s="172"/>
      <c r="IK188" s="172"/>
      <c r="IL188" s="172"/>
      <c r="IM188" s="172"/>
      <c r="IN188" s="172"/>
      <c r="IO188" s="172"/>
      <c r="IP188" s="172"/>
      <c r="IQ188" s="172"/>
      <c r="IR188" s="172"/>
      <c r="IS188" s="172"/>
      <c r="IT188" s="172"/>
      <c r="IU188" s="172"/>
      <c r="IV188" s="172"/>
    </row>
    <row r="189" spans="1:256" ht="15">
      <c r="A189" s="836"/>
      <c r="B189" s="839"/>
      <c r="C189" s="161" t="s">
        <v>1</v>
      </c>
      <c r="D189" s="173">
        <f>D192+D198+D201+D204+D207+D210+D213+D216+D219+D222+D228+D195+D225</f>
        <v>2738882</v>
      </c>
      <c r="E189" s="163">
        <f t="shared" si="87"/>
        <v>2730750</v>
      </c>
      <c r="F189" s="163">
        <f t="shared" si="87"/>
        <v>1206988</v>
      </c>
      <c r="G189" s="163">
        <f t="shared" si="87"/>
        <v>998358</v>
      </c>
      <c r="H189" s="163">
        <f t="shared" si="87"/>
        <v>208630</v>
      </c>
      <c r="I189" s="163">
        <f t="shared" si="87"/>
        <v>0</v>
      </c>
      <c r="J189" s="163">
        <f t="shared" si="87"/>
        <v>0</v>
      </c>
      <c r="K189" s="163">
        <f t="shared" si="87"/>
        <v>1523762</v>
      </c>
      <c r="L189" s="163">
        <f t="shared" si="87"/>
        <v>0</v>
      </c>
      <c r="M189" s="163">
        <f t="shared" si="87"/>
        <v>8132</v>
      </c>
      <c r="N189" s="163">
        <f t="shared" si="87"/>
        <v>8132</v>
      </c>
      <c r="O189" s="163">
        <f t="shared" si="87"/>
        <v>8132</v>
      </c>
      <c r="P189" s="163">
        <f t="shared" si="87"/>
        <v>0</v>
      </c>
      <c r="Q189" s="171"/>
      <c r="R189" s="171"/>
      <c r="S189" s="171"/>
      <c r="T189" s="171"/>
      <c r="U189" s="171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2"/>
      <c r="CP189" s="172"/>
      <c r="CQ189" s="172"/>
      <c r="CR189" s="172"/>
      <c r="CS189" s="172"/>
      <c r="CT189" s="172"/>
      <c r="CU189" s="172"/>
      <c r="CV189" s="172"/>
      <c r="CW189" s="172"/>
      <c r="CX189" s="172"/>
      <c r="CY189" s="172"/>
      <c r="CZ189" s="172"/>
      <c r="DA189" s="172"/>
      <c r="DB189" s="172"/>
      <c r="DC189" s="172"/>
      <c r="DD189" s="172"/>
      <c r="DE189" s="172"/>
      <c r="DF189" s="172"/>
      <c r="DG189" s="172"/>
      <c r="DH189" s="172"/>
      <c r="DI189" s="172"/>
      <c r="DJ189" s="172"/>
      <c r="DK189" s="172"/>
      <c r="DL189" s="172"/>
      <c r="DM189" s="172"/>
      <c r="DN189" s="172"/>
      <c r="DO189" s="172"/>
      <c r="DP189" s="172"/>
      <c r="DQ189" s="172"/>
      <c r="DR189" s="172"/>
      <c r="DS189" s="172"/>
      <c r="DT189" s="172"/>
      <c r="DU189" s="172"/>
      <c r="DV189" s="172"/>
      <c r="DW189" s="172"/>
      <c r="DX189" s="172"/>
      <c r="DY189" s="172"/>
      <c r="DZ189" s="172"/>
      <c r="EA189" s="172"/>
      <c r="EB189" s="172"/>
      <c r="EC189" s="172"/>
      <c r="ED189" s="172"/>
      <c r="EE189" s="172"/>
      <c r="EF189" s="172"/>
      <c r="EG189" s="172"/>
      <c r="EH189" s="172"/>
      <c r="EI189" s="172"/>
      <c r="EJ189" s="172"/>
      <c r="EK189" s="172"/>
      <c r="EL189" s="172"/>
      <c r="EM189" s="172"/>
      <c r="EN189" s="172"/>
      <c r="EO189" s="172"/>
      <c r="EP189" s="172"/>
      <c r="EQ189" s="172"/>
      <c r="ER189" s="172"/>
      <c r="ES189" s="172"/>
      <c r="ET189" s="172"/>
      <c r="EU189" s="172"/>
      <c r="EV189" s="172"/>
      <c r="EW189" s="172"/>
      <c r="EX189" s="172"/>
      <c r="EY189" s="172"/>
      <c r="EZ189" s="172"/>
      <c r="FA189" s="172"/>
      <c r="FB189" s="172"/>
      <c r="FC189" s="172"/>
      <c r="FD189" s="172"/>
      <c r="FE189" s="172"/>
      <c r="FF189" s="172"/>
      <c r="FG189" s="172"/>
      <c r="FH189" s="172"/>
      <c r="FI189" s="172"/>
      <c r="FJ189" s="172"/>
      <c r="FK189" s="172"/>
      <c r="FL189" s="172"/>
      <c r="FM189" s="172"/>
      <c r="FN189" s="172"/>
      <c r="FO189" s="172"/>
      <c r="FP189" s="172"/>
      <c r="FQ189" s="172"/>
      <c r="FR189" s="172"/>
      <c r="FS189" s="172"/>
      <c r="FT189" s="172"/>
      <c r="FU189" s="172"/>
      <c r="FV189" s="172"/>
      <c r="FW189" s="172"/>
      <c r="FX189" s="172"/>
      <c r="FY189" s="172"/>
      <c r="FZ189" s="172"/>
      <c r="GA189" s="172"/>
      <c r="GB189" s="172"/>
      <c r="GC189" s="172"/>
      <c r="GD189" s="172"/>
      <c r="GE189" s="172"/>
      <c r="GF189" s="172"/>
      <c r="GG189" s="172"/>
      <c r="GH189" s="172"/>
      <c r="GI189" s="172"/>
      <c r="GJ189" s="172"/>
      <c r="GK189" s="172"/>
      <c r="GL189" s="172"/>
      <c r="GM189" s="172"/>
      <c r="GN189" s="172"/>
      <c r="GO189" s="172"/>
      <c r="GP189" s="172"/>
      <c r="GQ189" s="172"/>
      <c r="GR189" s="172"/>
      <c r="GS189" s="172"/>
      <c r="GT189" s="172"/>
      <c r="GU189" s="172"/>
      <c r="GV189" s="172"/>
      <c r="GW189" s="172"/>
      <c r="GX189" s="172"/>
      <c r="GY189" s="172"/>
      <c r="GZ189" s="172"/>
      <c r="HA189" s="172"/>
      <c r="HB189" s="172"/>
      <c r="HC189" s="172"/>
      <c r="HD189" s="172"/>
      <c r="HE189" s="172"/>
      <c r="HF189" s="172"/>
      <c r="HG189" s="172"/>
      <c r="HH189" s="172"/>
      <c r="HI189" s="172"/>
      <c r="HJ189" s="172"/>
      <c r="HK189" s="172"/>
      <c r="HL189" s="172"/>
      <c r="HM189" s="172"/>
      <c r="HN189" s="172"/>
      <c r="HO189" s="172"/>
      <c r="HP189" s="172"/>
      <c r="HQ189" s="172"/>
      <c r="HR189" s="172"/>
      <c r="HS189" s="172"/>
      <c r="HT189" s="172"/>
      <c r="HU189" s="172"/>
      <c r="HV189" s="172"/>
      <c r="HW189" s="172"/>
      <c r="HX189" s="172"/>
      <c r="HY189" s="172"/>
      <c r="HZ189" s="172"/>
      <c r="IA189" s="172"/>
      <c r="IB189" s="172"/>
      <c r="IC189" s="172"/>
      <c r="ID189" s="172"/>
      <c r="IE189" s="172"/>
      <c r="IF189" s="172"/>
      <c r="IG189" s="172"/>
      <c r="IH189" s="172"/>
      <c r="II189" s="172"/>
      <c r="IJ189" s="172"/>
      <c r="IK189" s="172"/>
      <c r="IL189" s="172"/>
      <c r="IM189" s="172"/>
      <c r="IN189" s="172"/>
      <c r="IO189" s="172"/>
      <c r="IP189" s="172"/>
      <c r="IQ189" s="172"/>
      <c r="IR189" s="172"/>
      <c r="IS189" s="172"/>
      <c r="IT189" s="172"/>
      <c r="IU189" s="172"/>
      <c r="IV189" s="172"/>
    </row>
    <row r="190" spans="1:256" ht="15">
      <c r="A190" s="837"/>
      <c r="B190" s="840"/>
      <c r="C190" s="161" t="s">
        <v>2</v>
      </c>
      <c r="D190" s="173">
        <f>D189+D188</f>
        <v>172408814</v>
      </c>
      <c r="E190" s="163">
        <f t="shared" ref="E190:P190" si="88">E189+E188</f>
        <v>167317089</v>
      </c>
      <c r="F190" s="163">
        <f t="shared" si="88"/>
        <v>144790173</v>
      </c>
      <c r="G190" s="163">
        <f t="shared" si="88"/>
        <v>123356963</v>
      </c>
      <c r="H190" s="163">
        <f t="shared" si="88"/>
        <v>21433210</v>
      </c>
      <c r="I190" s="163">
        <f t="shared" si="88"/>
        <v>0</v>
      </c>
      <c r="J190" s="163">
        <f t="shared" si="88"/>
        <v>243628</v>
      </c>
      <c r="K190" s="163">
        <f t="shared" si="88"/>
        <v>22283288</v>
      </c>
      <c r="L190" s="163">
        <f t="shared" si="88"/>
        <v>0</v>
      </c>
      <c r="M190" s="163">
        <f t="shared" si="88"/>
        <v>5091725</v>
      </c>
      <c r="N190" s="163">
        <f t="shared" si="88"/>
        <v>5091725</v>
      </c>
      <c r="O190" s="163">
        <f t="shared" si="88"/>
        <v>2306356</v>
      </c>
      <c r="P190" s="163">
        <f t="shared" si="88"/>
        <v>0</v>
      </c>
      <c r="Q190" s="171"/>
      <c r="R190" s="171"/>
      <c r="S190" s="171"/>
      <c r="T190" s="171"/>
      <c r="U190" s="171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2"/>
      <c r="CP190" s="172"/>
      <c r="CQ190" s="172"/>
      <c r="CR190" s="172"/>
      <c r="CS190" s="172"/>
      <c r="CT190" s="172"/>
      <c r="CU190" s="172"/>
      <c r="CV190" s="172"/>
      <c r="CW190" s="172"/>
      <c r="CX190" s="172"/>
      <c r="CY190" s="172"/>
      <c r="CZ190" s="172"/>
      <c r="DA190" s="172"/>
      <c r="DB190" s="172"/>
      <c r="DC190" s="172"/>
      <c r="DD190" s="172"/>
      <c r="DE190" s="172"/>
      <c r="DF190" s="172"/>
      <c r="DG190" s="172"/>
      <c r="DH190" s="172"/>
      <c r="DI190" s="172"/>
      <c r="DJ190" s="172"/>
      <c r="DK190" s="172"/>
      <c r="DL190" s="172"/>
      <c r="DM190" s="172"/>
      <c r="DN190" s="172"/>
      <c r="DO190" s="172"/>
      <c r="DP190" s="172"/>
      <c r="DQ190" s="172"/>
      <c r="DR190" s="172"/>
      <c r="DS190" s="172"/>
      <c r="DT190" s="172"/>
      <c r="DU190" s="172"/>
      <c r="DV190" s="172"/>
      <c r="DW190" s="172"/>
      <c r="DX190" s="172"/>
      <c r="DY190" s="172"/>
      <c r="DZ190" s="172"/>
      <c r="EA190" s="172"/>
      <c r="EB190" s="172"/>
      <c r="EC190" s="172"/>
      <c r="ED190" s="172"/>
      <c r="EE190" s="172"/>
      <c r="EF190" s="172"/>
      <c r="EG190" s="172"/>
      <c r="EH190" s="172"/>
      <c r="EI190" s="172"/>
      <c r="EJ190" s="172"/>
      <c r="EK190" s="172"/>
      <c r="EL190" s="172"/>
      <c r="EM190" s="172"/>
      <c r="EN190" s="172"/>
      <c r="EO190" s="172"/>
      <c r="EP190" s="172"/>
      <c r="EQ190" s="172"/>
      <c r="ER190" s="172"/>
      <c r="ES190" s="172"/>
      <c r="ET190" s="172"/>
      <c r="EU190" s="172"/>
      <c r="EV190" s="172"/>
      <c r="EW190" s="172"/>
      <c r="EX190" s="172"/>
      <c r="EY190" s="172"/>
      <c r="EZ190" s="172"/>
      <c r="FA190" s="172"/>
      <c r="FB190" s="172"/>
      <c r="FC190" s="172"/>
      <c r="FD190" s="172"/>
      <c r="FE190" s="172"/>
      <c r="FF190" s="172"/>
      <c r="FG190" s="172"/>
      <c r="FH190" s="172"/>
      <c r="FI190" s="172"/>
      <c r="FJ190" s="172"/>
      <c r="FK190" s="172"/>
      <c r="FL190" s="172"/>
      <c r="FM190" s="172"/>
      <c r="FN190" s="172"/>
      <c r="FO190" s="172"/>
      <c r="FP190" s="172"/>
      <c r="FQ190" s="172"/>
      <c r="FR190" s="172"/>
      <c r="FS190" s="172"/>
      <c r="FT190" s="172"/>
      <c r="FU190" s="172"/>
      <c r="FV190" s="172"/>
      <c r="FW190" s="172"/>
      <c r="FX190" s="172"/>
      <c r="FY190" s="172"/>
      <c r="FZ190" s="172"/>
      <c r="GA190" s="172"/>
      <c r="GB190" s="172"/>
      <c r="GC190" s="172"/>
      <c r="GD190" s="172"/>
      <c r="GE190" s="172"/>
      <c r="GF190" s="172"/>
      <c r="GG190" s="172"/>
      <c r="GH190" s="172"/>
      <c r="GI190" s="172"/>
      <c r="GJ190" s="172"/>
      <c r="GK190" s="172"/>
      <c r="GL190" s="172"/>
      <c r="GM190" s="172"/>
      <c r="GN190" s="172"/>
      <c r="GO190" s="172"/>
      <c r="GP190" s="172"/>
      <c r="GQ190" s="172"/>
      <c r="GR190" s="172"/>
      <c r="GS190" s="172"/>
      <c r="GT190" s="172"/>
      <c r="GU190" s="172"/>
      <c r="GV190" s="172"/>
      <c r="GW190" s="172"/>
      <c r="GX190" s="172"/>
      <c r="GY190" s="172"/>
      <c r="GZ190" s="172"/>
      <c r="HA190" s="172"/>
      <c r="HB190" s="172"/>
      <c r="HC190" s="172"/>
      <c r="HD190" s="172"/>
      <c r="HE190" s="172"/>
      <c r="HF190" s="172"/>
      <c r="HG190" s="172"/>
      <c r="HH190" s="172"/>
      <c r="HI190" s="172"/>
      <c r="HJ190" s="172"/>
      <c r="HK190" s="172"/>
      <c r="HL190" s="172"/>
      <c r="HM190" s="172"/>
      <c r="HN190" s="172"/>
      <c r="HO190" s="172"/>
      <c r="HP190" s="172"/>
      <c r="HQ190" s="172"/>
      <c r="HR190" s="172"/>
      <c r="HS190" s="172"/>
      <c r="HT190" s="172"/>
      <c r="HU190" s="172"/>
      <c r="HV190" s="172"/>
      <c r="HW190" s="172"/>
      <c r="HX190" s="172"/>
      <c r="HY190" s="172"/>
      <c r="HZ190" s="172"/>
      <c r="IA190" s="172"/>
      <c r="IB190" s="172"/>
      <c r="IC190" s="172"/>
      <c r="ID190" s="172"/>
      <c r="IE190" s="172"/>
      <c r="IF190" s="172"/>
      <c r="IG190" s="172"/>
      <c r="IH190" s="172"/>
      <c r="II190" s="172"/>
      <c r="IJ190" s="172"/>
      <c r="IK190" s="172"/>
      <c r="IL190" s="172"/>
      <c r="IM190" s="172"/>
      <c r="IN190" s="172"/>
      <c r="IO190" s="172"/>
      <c r="IP190" s="172"/>
      <c r="IQ190" s="172"/>
      <c r="IR190" s="172"/>
      <c r="IS190" s="172"/>
      <c r="IT190" s="172"/>
      <c r="IU190" s="172"/>
      <c r="IV190" s="172"/>
    </row>
    <row r="191" spans="1:256">
      <c r="A191" s="823" t="s">
        <v>224</v>
      </c>
      <c r="B191" s="826" t="s">
        <v>225</v>
      </c>
      <c r="C191" s="157" t="s">
        <v>0</v>
      </c>
      <c r="D191" s="158">
        <f t="shared" ref="D191:D222" si="89">E191+M191</f>
        <v>45946039</v>
      </c>
      <c r="E191" s="159">
        <f t="shared" ref="E191:E228" si="90">F191+I191+J191+K191+L191</f>
        <v>45946039</v>
      </c>
      <c r="F191" s="159">
        <f t="shared" ref="F191:F228" si="91">G191+H191</f>
        <v>45903598</v>
      </c>
      <c r="G191" s="159">
        <v>43113749</v>
      </c>
      <c r="H191" s="159">
        <f>45635111-42441-1771869-139622-6026466-668430-23000-138107-31676005-2359322</f>
        <v>2789849</v>
      </c>
      <c r="I191" s="159">
        <v>0</v>
      </c>
      <c r="J191" s="159">
        <v>42441</v>
      </c>
      <c r="K191" s="159">
        <v>0</v>
      </c>
      <c r="L191" s="159">
        <v>0</v>
      </c>
      <c r="M191" s="159">
        <f t="shared" ref="M191:M228" si="92">N191+P191</f>
        <v>0</v>
      </c>
      <c r="N191" s="159">
        <v>0</v>
      </c>
      <c r="O191" s="159">
        <v>0</v>
      </c>
      <c r="P191" s="159">
        <v>0</v>
      </c>
      <c r="Q191" s="166"/>
      <c r="R191" s="166"/>
      <c r="S191" s="166"/>
      <c r="T191" s="166"/>
      <c r="U191" s="166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</row>
    <row r="192" spans="1:256">
      <c r="A192" s="824"/>
      <c r="B192" s="827"/>
      <c r="C192" s="157" t="s">
        <v>1</v>
      </c>
      <c r="D192" s="158">
        <f t="shared" si="89"/>
        <v>998358</v>
      </c>
      <c r="E192" s="159">
        <f t="shared" si="90"/>
        <v>998358</v>
      </c>
      <c r="F192" s="159">
        <f t="shared" si="91"/>
        <v>998358</v>
      </c>
      <c r="G192" s="159">
        <v>998358</v>
      </c>
      <c r="H192" s="159"/>
      <c r="I192" s="159"/>
      <c r="J192" s="159"/>
      <c r="K192" s="159"/>
      <c r="L192" s="159"/>
      <c r="M192" s="159">
        <f t="shared" si="92"/>
        <v>0</v>
      </c>
      <c r="N192" s="159"/>
      <c r="O192" s="159"/>
      <c r="P192" s="159"/>
      <c r="Q192" s="166"/>
      <c r="R192" s="166"/>
      <c r="S192" s="166"/>
      <c r="T192" s="166"/>
      <c r="U192" s="166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</row>
    <row r="193" spans="1:256">
      <c r="A193" s="825"/>
      <c r="B193" s="828"/>
      <c r="C193" s="157" t="s">
        <v>2</v>
      </c>
      <c r="D193" s="158">
        <f>D192+D191</f>
        <v>46944397</v>
      </c>
      <c r="E193" s="159">
        <f t="shared" ref="E193:P193" si="93">E192+E191</f>
        <v>46944397</v>
      </c>
      <c r="F193" s="159">
        <f t="shared" si="93"/>
        <v>46901956</v>
      </c>
      <c r="G193" s="159">
        <f t="shared" si="93"/>
        <v>44112107</v>
      </c>
      <c r="H193" s="159">
        <f t="shared" si="93"/>
        <v>2789849</v>
      </c>
      <c r="I193" s="159">
        <f t="shared" si="93"/>
        <v>0</v>
      </c>
      <c r="J193" s="159">
        <f t="shared" si="93"/>
        <v>42441</v>
      </c>
      <c r="K193" s="159">
        <f t="shared" si="93"/>
        <v>0</v>
      </c>
      <c r="L193" s="159">
        <f t="shared" si="93"/>
        <v>0</v>
      </c>
      <c r="M193" s="159">
        <f t="shared" si="93"/>
        <v>0</v>
      </c>
      <c r="N193" s="159">
        <f t="shared" si="93"/>
        <v>0</v>
      </c>
      <c r="O193" s="159">
        <f t="shared" si="93"/>
        <v>0</v>
      </c>
      <c r="P193" s="159">
        <f t="shared" si="93"/>
        <v>0</v>
      </c>
      <c r="Q193" s="166"/>
      <c r="R193" s="166"/>
      <c r="S193" s="166"/>
      <c r="T193" s="166"/>
      <c r="U193" s="166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</row>
    <row r="194" spans="1:256">
      <c r="A194" s="823">
        <v>80104</v>
      </c>
      <c r="B194" s="826" t="s">
        <v>226</v>
      </c>
      <c r="C194" s="157" t="s">
        <v>0</v>
      </c>
      <c r="D194" s="158">
        <f t="shared" si="89"/>
        <v>931008</v>
      </c>
      <c r="E194" s="159">
        <f>F194+I194+J194+K194+L194</f>
        <v>931008</v>
      </c>
      <c r="F194" s="159">
        <f>G194+H194</f>
        <v>0</v>
      </c>
      <c r="G194" s="159">
        <v>0</v>
      </c>
      <c r="H194" s="159">
        <v>0</v>
      </c>
      <c r="I194" s="159">
        <v>0</v>
      </c>
      <c r="J194" s="159">
        <v>0</v>
      </c>
      <c r="K194" s="159">
        <f>879285+51723</f>
        <v>931008</v>
      </c>
      <c r="L194" s="159">
        <v>0</v>
      </c>
      <c r="M194" s="159">
        <f t="shared" si="92"/>
        <v>0</v>
      </c>
      <c r="N194" s="159">
        <v>0</v>
      </c>
      <c r="O194" s="159">
        <v>0</v>
      </c>
      <c r="P194" s="159">
        <v>0</v>
      </c>
      <c r="Q194" s="166"/>
      <c r="R194" s="166"/>
      <c r="S194" s="166"/>
      <c r="T194" s="166"/>
      <c r="U194" s="166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</row>
    <row r="195" spans="1:256">
      <c r="A195" s="824"/>
      <c r="B195" s="827"/>
      <c r="C195" s="157" t="s">
        <v>1</v>
      </c>
      <c r="D195" s="158">
        <f t="shared" si="89"/>
        <v>709916</v>
      </c>
      <c r="E195" s="159">
        <f>F195+I195+J195+K195+L195</f>
        <v>709916</v>
      </c>
      <c r="F195" s="159">
        <f>G195+H195</f>
        <v>0</v>
      </c>
      <c r="G195" s="159"/>
      <c r="H195" s="159"/>
      <c r="I195" s="159"/>
      <c r="J195" s="159"/>
      <c r="K195" s="159">
        <v>709916</v>
      </c>
      <c r="L195" s="159"/>
      <c r="M195" s="159">
        <f t="shared" si="92"/>
        <v>0</v>
      </c>
      <c r="N195" s="159"/>
      <c r="O195" s="159"/>
      <c r="P195" s="159"/>
      <c r="Q195" s="166"/>
      <c r="R195" s="166"/>
      <c r="S195" s="166"/>
      <c r="T195" s="166"/>
      <c r="U195" s="166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</row>
    <row r="196" spans="1:256">
      <c r="A196" s="825"/>
      <c r="B196" s="828"/>
      <c r="C196" s="157" t="s">
        <v>2</v>
      </c>
      <c r="D196" s="158">
        <f>D195+D194</f>
        <v>1640924</v>
      </c>
      <c r="E196" s="159">
        <f t="shared" ref="E196:P196" si="94">E195+E194</f>
        <v>1640924</v>
      </c>
      <c r="F196" s="159">
        <f t="shared" si="94"/>
        <v>0</v>
      </c>
      <c r="G196" s="159">
        <f t="shared" si="94"/>
        <v>0</v>
      </c>
      <c r="H196" s="159">
        <f t="shared" si="94"/>
        <v>0</v>
      </c>
      <c r="I196" s="159">
        <f t="shared" si="94"/>
        <v>0</v>
      </c>
      <c r="J196" s="159">
        <f t="shared" si="94"/>
        <v>0</v>
      </c>
      <c r="K196" s="159">
        <f t="shared" si="94"/>
        <v>1640924</v>
      </c>
      <c r="L196" s="159">
        <f t="shared" si="94"/>
        <v>0</v>
      </c>
      <c r="M196" s="159">
        <f t="shared" si="94"/>
        <v>0</v>
      </c>
      <c r="N196" s="159">
        <f t="shared" si="94"/>
        <v>0</v>
      </c>
      <c r="O196" s="159">
        <f t="shared" si="94"/>
        <v>0</v>
      </c>
      <c r="P196" s="159">
        <f t="shared" si="94"/>
        <v>0</v>
      </c>
      <c r="Q196" s="166"/>
      <c r="R196" s="166"/>
      <c r="S196" s="166"/>
      <c r="T196" s="166"/>
      <c r="U196" s="166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</row>
    <row r="197" spans="1:256" hidden="1">
      <c r="A197" s="823" t="s">
        <v>227</v>
      </c>
      <c r="B197" s="826" t="s">
        <v>228</v>
      </c>
      <c r="C197" s="157" t="s">
        <v>0</v>
      </c>
      <c r="D197" s="158">
        <f t="shared" si="89"/>
        <v>790239</v>
      </c>
      <c r="E197" s="159">
        <f t="shared" si="90"/>
        <v>790239</v>
      </c>
      <c r="F197" s="159">
        <f t="shared" si="91"/>
        <v>599099</v>
      </c>
      <c r="G197" s="159">
        <v>513052</v>
      </c>
      <c r="H197" s="159">
        <v>86047</v>
      </c>
      <c r="I197" s="159">
        <v>0</v>
      </c>
      <c r="J197" s="159">
        <v>1587</v>
      </c>
      <c r="K197" s="159">
        <v>189553</v>
      </c>
      <c r="L197" s="159">
        <v>0</v>
      </c>
      <c r="M197" s="159">
        <f t="shared" si="92"/>
        <v>0</v>
      </c>
      <c r="N197" s="159">
        <v>0</v>
      </c>
      <c r="O197" s="159">
        <v>0</v>
      </c>
      <c r="P197" s="159">
        <v>0</v>
      </c>
      <c r="Q197" s="166"/>
      <c r="R197" s="166"/>
      <c r="S197" s="166"/>
      <c r="T197" s="166"/>
      <c r="U197" s="166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</row>
    <row r="198" spans="1:256" hidden="1">
      <c r="A198" s="824"/>
      <c r="B198" s="827"/>
      <c r="C198" s="157" t="s">
        <v>1</v>
      </c>
      <c r="D198" s="158">
        <f t="shared" si="89"/>
        <v>0</v>
      </c>
      <c r="E198" s="159">
        <f t="shared" si="90"/>
        <v>0</v>
      </c>
      <c r="F198" s="159">
        <f t="shared" si="91"/>
        <v>0</v>
      </c>
      <c r="G198" s="159"/>
      <c r="H198" s="159"/>
      <c r="I198" s="159"/>
      <c r="J198" s="159"/>
      <c r="K198" s="159"/>
      <c r="L198" s="159"/>
      <c r="M198" s="159">
        <f t="shared" si="92"/>
        <v>0</v>
      </c>
      <c r="N198" s="159"/>
      <c r="O198" s="159"/>
      <c r="P198" s="159"/>
      <c r="Q198" s="166"/>
      <c r="R198" s="166"/>
      <c r="S198" s="166"/>
      <c r="T198" s="166"/>
      <c r="U198" s="166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</row>
    <row r="199" spans="1:256" hidden="1">
      <c r="A199" s="825"/>
      <c r="B199" s="828"/>
      <c r="C199" s="157" t="s">
        <v>2</v>
      </c>
      <c r="D199" s="158">
        <f>D198+D197</f>
        <v>790239</v>
      </c>
      <c r="E199" s="159">
        <f t="shared" ref="E199:P199" si="95">E198+E197</f>
        <v>790239</v>
      </c>
      <c r="F199" s="159">
        <f t="shared" si="95"/>
        <v>599099</v>
      </c>
      <c r="G199" s="159">
        <f t="shared" si="95"/>
        <v>513052</v>
      </c>
      <c r="H199" s="159">
        <f t="shared" si="95"/>
        <v>86047</v>
      </c>
      <c r="I199" s="159">
        <f t="shared" si="95"/>
        <v>0</v>
      </c>
      <c r="J199" s="159">
        <f t="shared" si="95"/>
        <v>1587</v>
      </c>
      <c r="K199" s="159">
        <f t="shared" si="95"/>
        <v>189553</v>
      </c>
      <c r="L199" s="159">
        <f t="shared" si="95"/>
        <v>0</v>
      </c>
      <c r="M199" s="159">
        <f t="shared" si="95"/>
        <v>0</v>
      </c>
      <c r="N199" s="159">
        <f t="shared" si="95"/>
        <v>0</v>
      </c>
      <c r="O199" s="159">
        <f t="shared" si="95"/>
        <v>0</v>
      </c>
      <c r="P199" s="159">
        <f t="shared" si="95"/>
        <v>0</v>
      </c>
      <c r="Q199" s="166"/>
      <c r="R199" s="166"/>
      <c r="S199" s="166"/>
      <c r="T199" s="166"/>
      <c r="U199" s="166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</row>
    <row r="200" spans="1:256" hidden="1">
      <c r="A200" s="823" t="s">
        <v>229</v>
      </c>
      <c r="B200" s="826" t="s">
        <v>230</v>
      </c>
      <c r="C200" s="157" t="s">
        <v>0</v>
      </c>
      <c r="D200" s="158">
        <f t="shared" si="89"/>
        <v>16500</v>
      </c>
      <c r="E200" s="159">
        <f t="shared" si="90"/>
        <v>16500</v>
      </c>
      <c r="F200" s="159">
        <f t="shared" si="91"/>
        <v>16500</v>
      </c>
      <c r="G200" s="159">
        <v>0</v>
      </c>
      <c r="H200" s="159">
        <f>16500</f>
        <v>16500</v>
      </c>
      <c r="I200" s="159">
        <v>0</v>
      </c>
      <c r="J200" s="159">
        <v>0</v>
      </c>
      <c r="K200" s="159">
        <v>0</v>
      </c>
      <c r="L200" s="159">
        <v>0</v>
      </c>
      <c r="M200" s="159">
        <f t="shared" si="92"/>
        <v>0</v>
      </c>
      <c r="N200" s="159">
        <v>0</v>
      </c>
      <c r="O200" s="159">
        <v>0</v>
      </c>
      <c r="P200" s="159">
        <v>0</v>
      </c>
      <c r="Q200" s="166"/>
      <c r="R200" s="166"/>
      <c r="S200" s="166"/>
      <c r="T200" s="166"/>
      <c r="U200" s="166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</row>
    <row r="201" spans="1:256" hidden="1">
      <c r="A201" s="824"/>
      <c r="B201" s="827"/>
      <c r="C201" s="157" t="s">
        <v>1</v>
      </c>
      <c r="D201" s="158">
        <f t="shared" si="89"/>
        <v>0</v>
      </c>
      <c r="E201" s="159">
        <f t="shared" si="90"/>
        <v>0</v>
      </c>
      <c r="F201" s="159">
        <f t="shared" si="91"/>
        <v>0</v>
      </c>
      <c r="G201" s="159"/>
      <c r="H201" s="159"/>
      <c r="I201" s="159"/>
      <c r="J201" s="159"/>
      <c r="K201" s="159"/>
      <c r="L201" s="159"/>
      <c r="M201" s="159">
        <f t="shared" si="92"/>
        <v>0</v>
      </c>
      <c r="N201" s="159"/>
      <c r="O201" s="159"/>
      <c r="P201" s="159"/>
      <c r="Q201" s="166"/>
      <c r="R201" s="166"/>
      <c r="S201" s="166"/>
      <c r="T201" s="166"/>
      <c r="U201" s="166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</row>
    <row r="202" spans="1:256" hidden="1">
      <c r="A202" s="825"/>
      <c r="B202" s="828"/>
      <c r="C202" s="157" t="s">
        <v>2</v>
      </c>
      <c r="D202" s="158">
        <f>D201+D200</f>
        <v>16500</v>
      </c>
      <c r="E202" s="159">
        <f t="shared" ref="E202:P202" si="96">E201+E200</f>
        <v>16500</v>
      </c>
      <c r="F202" s="159">
        <f t="shared" si="96"/>
        <v>16500</v>
      </c>
      <c r="G202" s="159">
        <f t="shared" si="96"/>
        <v>0</v>
      </c>
      <c r="H202" s="159">
        <f t="shared" si="96"/>
        <v>16500</v>
      </c>
      <c r="I202" s="159">
        <f t="shared" si="96"/>
        <v>0</v>
      </c>
      <c r="J202" s="159">
        <f t="shared" si="96"/>
        <v>0</v>
      </c>
      <c r="K202" s="159">
        <f t="shared" si="96"/>
        <v>0</v>
      </c>
      <c r="L202" s="159">
        <f t="shared" si="96"/>
        <v>0</v>
      </c>
      <c r="M202" s="159">
        <f t="shared" si="96"/>
        <v>0</v>
      </c>
      <c r="N202" s="159">
        <f t="shared" si="96"/>
        <v>0</v>
      </c>
      <c r="O202" s="159">
        <f t="shared" si="96"/>
        <v>0</v>
      </c>
      <c r="P202" s="159">
        <f t="shared" si="96"/>
        <v>0</v>
      </c>
      <c r="Q202" s="166"/>
      <c r="R202" s="166"/>
      <c r="S202" s="166"/>
      <c r="T202" s="166"/>
      <c r="U202" s="166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</row>
    <row r="203" spans="1:256" hidden="1">
      <c r="A203" s="823" t="s">
        <v>231</v>
      </c>
      <c r="B203" s="826" t="s">
        <v>232</v>
      </c>
      <c r="C203" s="157" t="s">
        <v>0</v>
      </c>
      <c r="D203" s="158">
        <f t="shared" si="89"/>
        <v>12180290</v>
      </c>
      <c r="E203" s="159">
        <f t="shared" si="90"/>
        <v>12180290</v>
      </c>
      <c r="F203" s="159">
        <f t="shared" si="91"/>
        <v>12160290</v>
      </c>
      <c r="G203" s="159">
        <v>9932013</v>
      </c>
      <c r="H203" s="159">
        <v>2228277</v>
      </c>
      <c r="I203" s="159">
        <v>0</v>
      </c>
      <c r="J203" s="159">
        <v>20000</v>
      </c>
      <c r="K203" s="159">
        <v>0</v>
      </c>
      <c r="L203" s="159">
        <v>0</v>
      </c>
      <c r="M203" s="159">
        <f t="shared" si="92"/>
        <v>0</v>
      </c>
      <c r="N203" s="159">
        <v>0</v>
      </c>
      <c r="O203" s="159">
        <v>0</v>
      </c>
      <c r="P203" s="159">
        <v>0</v>
      </c>
      <c r="Q203" s="166"/>
      <c r="R203" s="166"/>
      <c r="S203" s="166"/>
      <c r="T203" s="166"/>
      <c r="U203" s="166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</row>
    <row r="204" spans="1:256" hidden="1">
      <c r="A204" s="824"/>
      <c r="B204" s="827"/>
      <c r="C204" s="157" t="s">
        <v>1</v>
      </c>
      <c r="D204" s="158">
        <f t="shared" si="89"/>
        <v>0</v>
      </c>
      <c r="E204" s="159">
        <f t="shared" si="90"/>
        <v>0</v>
      </c>
      <c r="F204" s="159">
        <f t="shared" si="91"/>
        <v>0</v>
      </c>
      <c r="G204" s="159"/>
      <c r="H204" s="159"/>
      <c r="I204" s="159"/>
      <c r="J204" s="159"/>
      <c r="K204" s="159"/>
      <c r="L204" s="159"/>
      <c r="M204" s="159">
        <f t="shared" si="92"/>
        <v>0</v>
      </c>
      <c r="N204" s="159"/>
      <c r="O204" s="159"/>
      <c r="P204" s="159"/>
      <c r="Q204" s="166"/>
      <c r="R204" s="166"/>
      <c r="S204" s="166"/>
      <c r="T204" s="166"/>
      <c r="U204" s="166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</row>
    <row r="205" spans="1:256" hidden="1">
      <c r="A205" s="825"/>
      <c r="B205" s="828"/>
      <c r="C205" s="157" t="s">
        <v>2</v>
      </c>
      <c r="D205" s="158">
        <f>D204+D203</f>
        <v>12180290</v>
      </c>
      <c r="E205" s="159">
        <f t="shared" ref="E205:P205" si="97">E204+E203</f>
        <v>12180290</v>
      </c>
      <c r="F205" s="159">
        <f t="shared" si="97"/>
        <v>12160290</v>
      </c>
      <c r="G205" s="159">
        <f t="shared" si="97"/>
        <v>9932013</v>
      </c>
      <c r="H205" s="159">
        <f t="shared" si="97"/>
        <v>2228277</v>
      </c>
      <c r="I205" s="159">
        <f t="shared" si="97"/>
        <v>0</v>
      </c>
      <c r="J205" s="159">
        <f t="shared" si="97"/>
        <v>20000</v>
      </c>
      <c r="K205" s="159">
        <f t="shared" si="97"/>
        <v>0</v>
      </c>
      <c r="L205" s="159">
        <f t="shared" si="97"/>
        <v>0</v>
      </c>
      <c r="M205" s="159">
        <f t="shared" si="97"/>
        <v>0</v>
      </c>
      <c r="N205" s="159">
        <f t="shared" si="97"/>
        <v>0</v>
      </c>
      <c r="O205" s="159">
        <f t="shared" si="97"/>
        <v>0</v>
      </c>
      <c r="P205" s="159">
        <f t="shared" si="97"/>
        <v>0</v>
      </c>
      <c r="Q205" s="166"/>
      <c r="R205" s="166"/>
      <c r="S205" s="166"/>
      <c r="T205" s="166"/>
      <c r="U205" s="166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</row>
    <row r="206" spans="1:256" ht="12" hidden="1" customHeight="1">
      <c r="A206" s="823" t="s">
        <v>233</v>
      </c>
      <c r="B206" s="826" t="s">
        <v>234</v>
      </c>
      <c r="C206" s="157" t="s">
        <v>0</v>
      </c>
      <c r="D206" s="158">
        <f t="shared" si="89"/>
        <v>6512512</v>
      </c>
      <c r="E206" s="159">
        <f t="shared" si="90"/>
        <v>6512512</v>
      </c>
      <c r="F206" s="159">
        <f t="shared" si="91"/>
        <v>6505682</v>
      </c>
      <c r="G206" s="159">
        <v>6081574</v>
      </c>
      <c r="H206" s="159">
        <f>1000+32835+21260+114105+7792+6440+33280+6135+3700+1980+186525+5750+3306</f>
        <v>424108</v>
      </c>
      <c r="I206" s="159">
        <v>0</v>
      </c>
      <c r="J206" s="159">
        <v>6830</v>
      </c>
      <c r="K206" s="159">
        <v>0</v>
      </c>
      <c r="L206" s="159">
        <v>0</v>
      </c>
      <c r="M206" s="159">
        <f t="shared" si="92"/>
        <v>0</v>
      </c>
      <c r="N206" s="159">
        <v>0</v>
      </c>
      <c r="O206" s="159">
        <v>0</v>
      </c>
      <c r="P206" s="159">
        <v>0</v>
      </c>
      <c r="Q206" s="166"/>
      <c r="R206" s="166"/>
      <c r="S206" s="166"/>
      <c r="T206" s="166"/>
      <c r="U206" s="166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</row>
    <row r="207" spans="1:256" hidden="1">
      <c r="A207" s="824"/>
      <c r="B207" s="827"/>
      <c r="C207" s="157" t="s">
        <v>1</v>
      </c>
      <c r="D207" s="158">
        <f t="shared" si="89"/>
        <v>0</v>
      </c>
      <c r="E207" s="159">
        <f t="shared" si="90"/>
        <v>0</v>
      </c>
      <c r="F207" s="159">
        <f t="shared" si="91"/>
        <v>0</v>
      </c>
      <c r="G207" s="159"/>
      <c r="H207" s="159"/>
      <c r="I207" s="159"/>
      <c r="J207" s="159"/>
      <c r="K207" s="159"/>
      <c r="L207" s="159"/>
      <c r="M207" s="159">
        <f t="shared" si="92"/>
        <v>0</v>
      </c>
      <c r="N207" s="159"/>
      <c r="O207" s="159"/>
      <c r="P207" s="159"/>
      <c r="Q207" s="166"/>
      <c r="R207" s="166"/>
      <c r="S207" s="166"/>
      <c r="T207" s="166"/>
      <c r="U207" s="166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</row>
    <row r="208" spans="1:256" hidden="1">
      <c r="A208" s="825"/>
      <c r="B208" s="828"/>
      <c r="C208" s="157" t="s">
        <v>2</v>
      </c>
      <c r="D208" s="158">
        <f>D207+D206</f>
        <v>6512512</v>
      </c>
      <c r="E208" s="159">
        <f t="shared" ref="E208:P208" si="98">E207+E206</f>
        <v>6512512</v>
      </c>
      <c r="F208" s="159">
        <f t="shared" si="98"/>
        <v>6505682</v>
      </c>
      <c r="G208" s="159">
        <f t="shared" si="98"/>
        <v>6081574</v>
      </c>
      <c r="H208" s="159">
        <f t="shared" si="98"/>
        <v>424108</v>
      </c>
      <c r="I208" s="159">
        <f t="shared" si="98"/>
        <v>0</v>
      </c>
      <c r="J208" s="159">
        <f t="shared" si="98"/>
        <v>6830</v>
      </c>
      <c r="K208" s="159">
        <f t="shared" si="98"/>
        <v>0</v>
      </c>
      <c r="L208" s="159">
        <f t="shared" si="98"/>
        <v>0</v>
      </c>
      <c r="M208" s="159">
        <f t="shared" si="98"/>
        <v>0</v>
      </c>
      <c r="N208" s="159">
        <f t="shared" si="98"/>
        <v>0</v>
      </c>
      <c r="O208" s="159">
        <f t="shared" si="98"/>
        <v>0</v>
      </c>
      <c r="P208" s="159">
        <f t="shared" si="98"/>
        <v>0</v>
      </c>
      <c r="Q208" s="166"/>
      <c r="R208" s="166"/>
      <c r="S208" s="166"/>
      <c r="T208" s="166"/>
      <c r="U208" s="166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</row>
    <row r="209" spans="1:256">
      <c r="A209" s="823" t="s">
        <v>235</v>
      </c>
      <c r="B209" s="826" t="s">
        <v>236</v>
      </c>
      <c r="C209" s="157" t="s">
        <v>0</v>
      </c>
      <c r="D209" s="158">
        <f t="shared" si="89"/>
        <v>32031514</v>
      </c>
      <c r="E209" s="159">
        <f t="shared" si="90"/>
        <v>32031514</v>
      </c>
      <c r="F209" s="159">
        <f t="shared" si="91"/>
        <v>32016894</v>
      </c>
      <c r="G209" s="159">
        <v>29229783</v>
      </c>
      <c r="H209" s="159">
        <f>31979871-14620-520024-40619-4134362-429467-94794-22367593-1591281</f>
        <v>2787111</v>
      </c>
      <c r="I209" s="159">
        <v>0</v>
      </c>
      <c r="J209" s="159">
        <v>14620</v>
      </c>
      <c r="K209" s="159">
        <v>0</v>
      </c>
      <c r="L209" s="159">
        <v>0</v>
      </c>
      <c r="M209" s="159">
        <f t="shared" si="92"/>
        <v>0</v>
      </c>
      <c r="N209" s="159">
        <v>0</v>
      </c>
      <c r="O209" s="159">
        <v>0</v>
      </c>
      <c r="P209" s="159">
        <v>0</v>
      </c>
      <c r="Q209" s="166"/>
      <c r="R209" s="166"/>
      <c r="S209" s="166"/>
      <c r="T209" s="166"/>
      <c r="U209" s="166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</row>
    <row r="210" spans="1:256">
      <c r="A210" s="824"/>
      <c r="B210" s="827"/>
      <c r="C210" s="157" t="s">
        <v>1</v>
      </c>
      <c r="D210" s="158">
        <f t="shared" si="89"/>
        <v>158630</v>
      </c>
      <c r="E210" s="159">
        <f t="shared" si="90"/>
        <v>158630</v>
      </c>
      <c r="F210" s="159">
        <f t="shared" si="91"/>
        <v>158630</v>
      </c>
      <c r="G210" s="159"/>
      <c r="H210" s="159">
        <v>158630</v>
      </c>
      <c r="I210" s="159"/>
      <c r="J210" s="159"/>
      <c r="K210" s="159"/>
      <c r="L210" s="159"/>
      <c r="M210" s="159">
        <f t="shared" si="92"/>
        <v>0</v>
      </c>
      <c r="N210" s="159"/>
      <c r="O210" s="159"/>
      <c r="P210" s="159"/>
      <c r="Q210" s="166"/>
      <c r="R210" s="166"/>
      <c r="S210" s="166"/>
      <c r="T210" s="166"/>
      <c r="U210" s="166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</row>
    <row r="211" spans="1:256">
      <c r="A211" s="825"/>
      <c r="B211" s="828"/>
      <c r="C211" s="157" t="s">
        <v>2</v>
      </c>
      <c r="D211" s="158">
        <f>D210+D209</f>
        <v>32190144</v>
      </c>
      <c r="E211" s="159">
        <f t="shared" ref="E211:P211" si="99">E210+E209</f>
        <v>32190144</v>
      </c>
      <c r="F211" s="159">
        <f t="shared" si="99"/>
        <v>32175524</v>
      </c>
      <c r="G211" s="159">
        <f t="shared" si="99"/>
        <v>29229783</v>
      </c>
      <c r="H211" s="159">
        <f t="shared" si="99"/>
        <v>2945741</v>
      </c>
      <c r="I211" s="159">
        <f t="shared" si="99"/>
        <v>0</v>
      </c>
      <c r="J211" s="159">
        <f t="shared" si="99"/>
        <v>14620</v>
      </c>
      <c r="K211" s="159">
        <f t="shared" si="99"/>
        <v>0</v>
      </c>
      <c r="L211" s="159">
        <f t="shared" si="99"/>
        <v>0</v>
      </c>
      <c r="M211" s="159">
        <f t="shared" si="99"/>
        <v>0</v>
      </c>
      <c r="N211" s="159">
        <f t="shared" si="99"/>
        <v>0</v>
      </c>
      <c r="O211" s="159">
        <f t="shared" si="99"/>
        <v>0</v>
      </c>
      <c r="P211" s="159">
        <f t="shared" si="99"/>
        <v>0</v>
      </c>
      <c r="Q211" s="166"/>
      <c r="R211" s="166"/>
      <c r="S211" s="166"/>
      <c r="T211" s="166"/>
      <c r="U211" s="166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</row>
    <row r="212" spans="1:256" hidden="1">
      <c r="A212" s="823" t="s">
        <v>237</v>
      </c>
      <c r="B212" s="826" t="s">
        <v>238</v>
      </c>
      <c r="C212" s="157" t="s">
        <v>0</v>
      </c>
      <c r="D212" s="158">
        <f t="shared" si="89"/>
        <v>4549270</v>
      </c>
      <c r="E212" s="159">
        <f t="shared" si="90"/>
        <v>4549270</v>
      </c>
      <c r="F212" s="159">
        <f t="shared" si="91"/>
        <v>4547270</v>
      </c>
      <c r="G212" s="159">
        <v>4153839</v>
      </c>
      <c r="H212" s="159">
        <f>4546760-2000-811666-66743-592389-52938-13703-2441933-171957</f>
        <v>393431</v>
      </c>
      <c r="I212" s="159">
        <v>0</v>
      </c>
      <c r="J212" s="159">
        <v>2000</v>
      </c>
      <c r="K212" s="159">
        <v>0</v>
      </c>
      <c r="L212" s="159">
        <v>0</v>
      </c>
      <c r="M212" s="159">
        <f t="shared" si="92"/>
        <v>0</v>
      </c>
      <c r="N212" s="159">
        <v>0</v>
      </c>
      <c r="O212" s="159">
        <v>0</v>
      </c>
      <c r="P212" s="159">
        <v>0</v>
      </c>
      <c r="Q212" s="160"/>
      <c r="R212" s="160"/>
      <c r="S212" s="160"/>
      <c r="T212" s="160"/>
      <c r="U212" s="160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1"/>
      <c r="HT212" s="151"/>
      <c r="HU212" s="151"/>
      <c r="HV212" s="151"/>
      <c r="HW212" s="151"/>
      <c r="HX212" s="151"/>
      <c r="HY212" s="151"/>
      <c r="HZ212" s="151"/>
      <c r="IA212" s="151"/>
      <c r="IB212" s="151"/>
      <c r="IC212" s="151"/>
      <c r="ID212" s="151"/>
      <c r="IE212" s="151"/>
      <c r="IF212" s="151"/>
      <c r="IG212" s="151"/>
      <c r="IH212" s="151"/>
      <c r="II212" s="151"/>
      <c r="IJ212" s="151"/>
      <c r="IK212" s="151"/>
      <c r="IL212" s="151"/>
      <c r="IM212" s="151"/>
      <c r="IN212" s="151"/>
      <c r="IO212" s="151"/>
      <c r="IP212" s="151"/>
      <c r="IQ212" s="151"/>
      <c r="IR212" s="151"/>
      <c r="IS212" s="151"/>
      <c r="IT212" s="151"/>
      <c r="IU212" s="151"/>
      <c r="IV212" s="151"/>
    </row>
    <row r="213" spans="1:256" hidden="1">
      <c r="A213" s="824"/>
      <c r="B213" s="827"/>
      <c r="C213" s="157" t="s">
        <v>1</v>
      </c>
      <c r="D213" s="158">
        <f t="shared" si="89"/>
        <v>0</v>
      </c>
      <c r="E213" s="159">
        <f t="shared" si="90"/>
        <v>0</v>
      </c>
      <c r="F213" s="159">
        <f t="shared" si="91"/>
        <v>0</v>
      </c>
      <c r="G213" s="159"/>
      <c r="H213" s="159"/>
      <c r="I213" s="159"/>
      <c r="J213" s="159"/>
      <c r="K213" s="159"/>
      <c r="L213" s="159"/>
      <c r="M213" s="159">
        <f t="shared" si="92"/>
        <v>0</v>
      </c>
      <c r="N213" s="159"/>
      <c r="O213" s="159"/>
      <c r="P213" s="159"/>
      <c r="Q213" s="160"/>
      <c r="R213" s="160"/>
      <c r="S213" s="160"/>
      <c r="T213" s="160"/>
      <c r="U213" s="160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  <c r="HQ213" s="151"/>
      <c r="HR213" s="151"/>
      <c r="HS213" s="151"/>
      <c r="HT213" s="151"/>
      <c r="HU213" s="151"/>
      <c r="HV213" s="151"/>
      <c r="HW213" s="151"/>
      <c r="HX213" s="151"/>
      <c r="HY213" s="151"/>
      <c r="HZ213" s="151"/>
      <c r="IA213" s="151"/>
      <c r="IB213" s="151"/>
      <c r="IC213" s="151"/>
      <c r="ID213" s="151"/>
      <c r="IE213" s="151"/>
      <c r="IF213" s="151"/>
      <c r="IG213" s="151"/>
      <c r="IH213" s="151"/>
      <c r="II213" s="151"/>
      <c r="IJ213" s="151"/>
      <c r="IK213" s="151"/>
      <c r="IL213" s="151"/>
      <c r="IM213" s="151"/>
      <c r="IN213" s="151"/>
      <c r="IO213" s="151"/>
      <c r="IP213" s="151"/>
      <c r="IQ213" s="151"/>
      <c r="IR213" s="151"/>
      <c r="IS213" s="151"/>
      <c r="IT213" s="151"/>
      <c r="IU213" s="151"/>
      <c r="IV213" s="151"/>
    </row>
    <row r="214" spans="1:256" hidden="1">
      <c r="A214" s="825"/>
      <c r="B214" s="828"/>
      <c r="C214" s="157" t="s">
        <v>2</v>
      </c>
      <c r="D214" s="158">
        <f>D213+D212</f>
        <v>4549270</v>
      </c>
      <c r="E214" s="159">
        <f t="shared" ref="E214:P214" si="100">E213+E212</f>
        <v>4549270</v>
      </c>
      <c r="F214" s="159">
        <f t="shared" si="100"/>
        <v>4547270</v>
      </c>
      <c r="G214" s="159">
        <f t="shared" si="100"/>
        <v>4153839</v>
      </c>
      <c r="H214" s="159">
        <f t="shared" si="100"/>
        <v>393431</v>
      </c>
      <c r="I214" s="159">
        <f t="shared" si="100"/>
        <v>0</v>
      </c>
      <c r="J214" s="159">
        <f t="shared" si="100"/>
        <v>2000</v>
      </c>
      <c r="K214" s="159">
        <f t="shared" si="100"/>
        <v>0</v>
      </c>
      <c r="L214" s="159">
        <f t="shared" si="100"/>
        <v>0</v>
      </c>
      <c r="M214" s="159">
        <f t="shared" si="100"/>
        <v>0</v>
      </c>
      <c r="N214" s="159">
        <f t="shared" si="100"/>
        <v>0</v>
      </c>
      <c r="O214" s="159">
        <f t="shared" si="100"/>
        <v>0</v>
      </c>
      <c r="P214" s="159">
        <f t="shared" si="100"/>
        <v>0</v>
      </c>
      <c r="Q214" s="160"/>
      <c r="R214" s="160"/>
      <c r="S214" s="160"/>
      <c r="T214" s="160"/>
      <c r="U214" s="160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  <c r="HQ214" s="151"/>
      <c r="HR214" s="151"/>
      <c r="HS214" s="151"/>
      <c r="HT214" s="151"/>
      <c r="HU214" s="151"/>
      <c r="HV214" s="151"/>
      <c r="HW214" s="151"/>
      <c r="HX214" s="151"/>
      <c r="HY214" s="151"/>
      <c r="HZ214" s="151"/>
      <c r="IA214" s="151"/>
      <c r="IB214" s="151"/>
      <c r="IC214" s="151"/>
      <c r="ID214" s="151"/>
      <c r="IE214" s="151"/>
      <c r="IF214" s="151"/>
      <c r="IG214" s="151"/>
      <c r="IH214" s="151"/>
      <c r="II214" s="151"/>
      <c r="IJ214" s="151"/>
      <c r="IK214" s="151"/>
      <c r="IL214" s="151"/>
      <c r="IM214" s="151"/>
      <c r="IN214" s="151"/>
      <c r="IO214" s="151"/>
      <c r="IP214" s="151"/>
      <c r="IQ214" s="151"/>
      <c r="IR214" s="151"/>
      <c r="IS214" s="151"/>
      <c r="IT214" s="151"/>
      <c r="IU214" s="151"/>
      <c r="IV214" s="151"/>
    </row>
    <row r="215" spans="1:256" hidden="1">
      <c r="A215" s="823" t="s">
        <v>239</v>
      </c>
      <c r="B215" s="826" t="s">
        <v>240</v>
      </c>
      <c r="C215" s="157" t="s">
        <v>0</v>
      </c>
      <c r="D215" s="158">
        <f t="shared" si="89"/>
        <v>22461798</v>
      </c>
      <c r="E215" s="159">
        <f t="shared" si="90"/>
        <v>20250798</v>
      </c>
      <c r="F215" s="159">
        <f t="shared" si="91"/>
        <v>20240298</v>
      </c>
      <c r="G215" s="159">
        <v>13833712</v>
      </c>
      <c r="H215" s="159">
        <v>6406586</v>
      </c>
      <c r="I215" s="159">
        <v>0</v>
      </c>
      <c r="J215" s="159">
        <v>10500</v>
      </c>
      <c r="K215" s="159">
        <v>0</v>
      </c>
      <c r="L215" s="159">
        <v>0</v>
      </c>
      <c r="M215" s="159">
        <f t="shared" si="92"/>
        <v>2211000</v>
      </c>
      <c r="N215" s="159">
        <v>2211000</v>
      </c>
      <c r="O215" s="159">
        <v>0</v>
      </c>
      <c r="P215" s="159">
        <v>0</v>
      </c>
      <c r="Q215" s="166"/>
      <c r="R215" s="166"/>
      <c r="S215" s="166"/>
      <c r="T215" s="166"/>
      <c r="U215" s="166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</row>
    <row r="216" spans="1:256" hidden="1">
      <c r="A216" s="824"/>
      <c r="B216" s="827"/>
      <c r="C216" s="157" t="s">
        <v>1</v>
      </c>
      <c r="D216" s="158">
        <f t="shared" si="89"/>
        <v>0</v>
      </c>
      <c r="E216" s="159">
        <f t="shared" si="90"/>
        <v>0</v>
      </c>
      <c r="F216" s="159">
        <f t="shared" si="91"/>
        <v>0</v>
      </c>
      <c r="G216" s="159"/>
      <c r="H216" s="159"/>
      <c r="I216" s="159"/>
      <c r="J216" s="159"/>
      <c r="K216" s="159"/>
      <c r="L216" s="159"/>
      <c r="M216" s="159">
        <f t="shared" si="92"/>
        <v>0</v>
      </c>
      <c r="N216" s="159"/>
      <c r="O216" s="159"/>
      <c r="P216" s="159"/>
      <c r="Q216" s="166"/>
      <c r="R216" s="166"/>
      <c r="S216" s="166"/>
      <c r="T216" s="166"/>
      <c r="U216" s="166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</row>
    <row r="217" spans="1:256" hidden="1">
      <c r="A217" s="825"/>
      <c r="B217" s="828"/>
      <c r="C217" s="157" t="s">
        <v>2</v>
      </c>
      <c r="D217" s="158">
        <f>D216+D215</f>
        <v>22461798</v>
      </c>
      <c r="E217" s="159">
        <f t="shared" ref="E217:P217" si="101">E216+E215</f>
        <v>20250798</v>
      </c>
      <c r="F217" s="159">
        <f t="shared" si="101"/>
        <v>20240298</v>
      </c>
      <c r="G217" s="159">
        <f t="shared" si="101"/>
        <v>13833712</v>
      </c>
      <c r="H217" s="159">
        <f t="shared" si="101"/>
        <v>6406586</v>
      </c>
      <c r="I217" s="159">
        <f t="shared" si="101"/>
        <v>0</v>
      </c>
      <c r="J217" s="159">
        <f t="shared" si="101"/>
        <v>10500</v>
      </c>
      <c r="K217" s="159">
        <f t="shared" si="101"/>
        <v>0</v>
      </c>
      <c r="L217" s="159">
        <f t="shared" si="101"/>
        <v>0</v>
      </c>
      <c r="M217" s="159">
        <f t="shared" si="101"/>
        <v>2211000</v>
      </c>
      <c r="N217" s="159">
        <f t="shared" si="101"/>
        <v>2211000</v>
      </c>
      <c r="O217" s="159">
        <f t="shared" si="101"/>
        <v>0</v>
      </c>
      <c r="P217" s="159">
        <f t="shared" si="101"/>
        <v>0</v>
      </c>
      <c r="Q217" s="166"/>
      <c r="R217" s="166"/>
      <c r="S217" s="166"/>
      <c r="T217" s="166"/>
      <c r="U217" s="166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</row>
    <row r="218" spans="1:256">
      <c r="A218" s="823" t="s">
        <v>241</v>
      </c>
      <c r="B218" s="826" t="s">
        <v>242</v>
      </c>
      <c r="C218" s="157" t="s">
        <v>0</v>
      </c>
      <c r="D218" s="158">
        <f t="shared" si="89"/>
        <v>12394090</v>
      </c>
      <c r="E218" s="159">
        <f t="shared" si="90"/>
        <v>11831249</v>
      </c>
      <c r="F218" s="159">
        <f t="shared" si="91"/>
        <v>11822399</v>
      </c>
      <c r="G218" s="159">
        <v>10272798</v>
      </c>
      <c r="H218" s="159">
        <f>155330+158000+484072+37180+9800+221672+23015+3500+14304+431508+4020+7200</f>
        <v>1549601</v>
      </c>
      <c r="I218" s="159">
        <v>0</v>
      </c>
      <c r="J218" s="159">
        <v>8850</v>
      </c>
      <c r="K218" s="159">
        <v>0</v>
      </c>
      <c r="L218" s="159">
        <v>0</v>
      </c>
      <c r="M218" s="159">
        <f t="shared" si="92"/>
        <v>562841</v>
      </c>
      <c r="N218" s="159">
        <v>562841</v>
      </c>
      <c r="O218" s="159">
        <v>0</v>
      </c>
      <c r="P218" s="159">
        <v>0</v>
      </c>
      <c r="Q218" s="166"/>
      <c r="R218" s="166"/>
      <c r="S218" s="166"/>
      <c r="T218" s="166"/>
      <c r="U218" s="166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</row>
    <row r="219" spans="1:256">
      <c r="A219" s="824"/>
      <c r="B219" s="827"/>
      <c r="C219" s="157" t="s">
        <v>1</v>
      </c>
      <c r="D219" s="158">
        <f t="shared" si="89"/>
        <v>50000</v>
      </c>
      <c r="E219" s="159">
        <f t="shared" si="90"/>
        <v>50000</v>
      </c>
      <c r="F219" s="159">
        <f t="shared" si="91"/>
        <v>50000</v>
      </c>
      <c r="G219" s="159"/>
      <c r="H219" s="159">
        <v>50000</v>
      </c>
      <c r="I219" s="159"/>
      <c r="J219" s="159"/>
      <c r="K219" s="159"/>
      <c r="L219" s="159"/>
      <c r="M219" s="159">
        <f t="shared" si="92"/>
        <v>0</v>
      </c>
      <c r="N219" s="159"/>
      <c r="O219" s="159"/>
      <c r="P219" s="159"/>
      <c r="Q219" s="166"/>
      <c r="R219" s="166"/>
      <c r="S219" s="166"/>
      <c r="T219" s="166"/>
      <c r="U219" s="166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</row>
    <row r="220" spans="1:256">
      <c r="A220" s="825"/>
      <c r="B220" s="828"/>
      <c r="C220" s="157" t="s">
        <v>2</v>
      </c>
      <c r="D220" s="158">
        <f>D219+D218</f>
        <v>12444090</v>
      </c>
      <c r="E220" s="159">
        <f t="shared" ref="E220:P220" si="102">E219+E218</f>
        <v>11881249</v>
      </c>
      <c r="F220" s="159">
        <f t="shared" si="102"/>
        <v>11872399</v>
      </c>
      <c r="G220" s="159">
        <f t="shared" si="102"/>
        <v>10272798</v>
      </c>
      <c r="H220" s="159">
        <f t="shared" si="102"/>
        <v>1599601</v>
      </c>
      <c r="I220" s="159">
        <f t="shared" si="102"/>
        <v>0</v>
      </c>
      <c r="J220" s="159">
        <f t="shared" si="102"/>
        <v>8850</v>
      </c>
      <c r="K220" s="159">
        <f t="shared" si="102"/>
        <v>0</v>
      </c>
      <c r="L220" s="159">
        <f t="shared" si="102"/>
        <v>0</v>
      </c>
      <c r="M220" s="159">
        <f t="shared" si="102"/>
        <v>562841</v>
      </c>
      <c r="N220" s="159">
        <f t="shared" si="102"/>
        <v>562841</v>
      </c>
      <c r="O220" s="159">
        <f t="shared" si="102"/>
        <v>0</v>
      </c>
      <c r="P220" s="159">
        <f t="shared" si="102"/>
        <v>0</v>
      </c>
      <c r="Q220" s="166"/>
      <c r="R220" s="166"/>
      <c r="S220" s="166"/>
      <c r="T220" s="166"/>
      <c r="U220" s="166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</row>
    <row r="221" spans="1:256" hidden="1">
      <c r="A221" s="823" t="s">
        <v>243</v>
      </c>
      <c r="B221" s="826" t="s">
        <v>244</v>
      </c>
      <c r="C221" s="157" t="s">
        <v>0</v>
      </c>
      <c r="D221" s="158">
        <f t="shared" si="89"/>
        <v>5408751</v>
      </c>
      <c r="E221" s="159">
        <f t="shared" si="90"/>
        <v>5408751</v>
      </c>
      <c r="F221" s="159">
        <f t="shared" si="91"/>
        <v>5406951</v>
      </c>
      <c r="G221" s="159">
        <v>4972969</v>
      </c>
      <c r="H221" s="159">
        <f>30256+2000+5500+171670+6731+3170+46000+3740+1200+160236+500+1100+1879</f>
        <v>433982</v>
      </c>
      <c r="I221" s="159">
        <v>0</v>
      </c>
      <c r="J221" s="159">
        <v>1800</v>
      </c>
      <c r="K221" s="159">
        <v>0</v>
      </c>
      <c r="L221" s="159">
        <v>0</v>
      </c>
      <c r="M221" s="159">
        <f t="shared" si="92"/>
        <v>0</v>
      </c>
      <c r="N221" s="159">
        <v>0</v>
      </c>
      <c r="O221" s="159">
        <v>0</v>
      </c>
      <c r="P221" s="159">
        <v>0</v>
      </c>
      <c r="Q221" s="160"/>
      <c r="R221" s="160"/>
      <c r="S221" s="160"/>
      <c r="T221" s="160"/>
      <c r="U221" s="160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51"/>
      <c r="ES221" s="151"/>
      <c r="ET221" s="151"/>
      <c r="EU221" s="151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  <c r="GV221" s="151"/>
      <c r="GW221" s="151"/>
      <c r="GX221" s="151"/>
      <c r="GY221" s="151"/>
      <c r="GZ221" s="151"/>
      <c r="HA221" s="151"/>
      <c r="HB221" s="151"/>
      <c r="HC221" s="151"/>
      <c r="HD221" s="151"/>
      <c r="HE221" s="151"/>
      <c r="HF221" s="151"/>
      <c r="HG221" s="151"/>
      <c r="HH221" s="151"/>
      <c r="HI221" s="151"/>
      <c r="HJ221" s="151"/>
      <c r="HK221" s="151"/>
      <c r="HL221" s="151"/>
      <c r="HM221" s="151"/>
      <c r="HN221" s="151"/>
      <c r="HO221" s="151"/>
      <c r="HP221" s="151"/>
      <c r="HQ221" s="151"/>
      <c r="HR221" s="151"/>
      <c r="HS221" s="151"/>
      <c r="HT221" s="151"/>
      <c r="HU221" s="151"/>
      <c r="HV221" s="151"/>
      <c r="HW221" s="151"/>
      <c r="HX221" s="151"/>
      <c r="HY221" s="151"/>
      <c r="HZ221" s="151"/>
      <c r="IA221" s="151"/>
      <c r="IB221" s="151"/>
      <c r="IC221" s="151"/>
      <c r="ID221" s="151"/>
      <c r="IE221" s="151"/>
      <c r="IF221" s="151"/>
      <c r="IG221" s="151"/>
      <c r="IH221" s="151"/>
      <c r="II221" s="151"/>
      <c r="IJ221" s="151"/>
      <c r="IK221" s="151"/>
      <c r="IL221" s="151"/>
      <c r="IM221" s="151"/>
      <c r="IN221" s="151"/>
      <c r="IO221" s="151"/>
      <c r="IP221" s="151"/>
      <c r="IQ221" s="151"/>
      <c r="IR221" s="151"/>
      <c r="IS221" s="151"/>
      <c r="IT221" s="151"/>
      <c r="IU221" s="151"/>
      <c r="IV221" s="151"/>
    </row>
    <row r="222" spans="1:256" hidden="1">
      <c r="A222" s="824"/>
      <c r="B222" s="827"/>
      <c r="C222" s="157" t="s">
        <v>1</v>
      </c>
      <c r="D222" s="158">
        <f t="shared" si="89"/>
        <v>0</v>
      </c>
      <c r="E222" s="159">
        <f t="shared" si="90"/>
        <v>0</v>
      </c>
      <c r="F222" s="159">
        <f t="shared" si="91"/>
        <v>0</v>
      </c>
      <c r="G222" s="159"/>
      <c r="H222" s="159"/>
      <c r="I222" s="159"/>
      <c r="J222" s="159"/>
      <c r="K222" s="159"/>
      <c r="L222" s="159"/>
      <c r="M222" s="159">
        <f t="shared" si="92"/>
        <v>0</v>
      </c>
      <c r="N222" s="159"/>
      <c r="O222" s="159"/>
      <c r="P222" s="159"/>
      <c r="Q222" s="160"/>
      <c r="R222" s="160"/>
      <c r="S222" s="160"/>
      <c r="T222" s="160"/>
      <c r="U222" s="160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1"/>
      <c r="CM222" s="151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1"/>
      <c r="DV222" s="151"/>
      <c r="DW222" s="151"/>
      <c r="DX222" s="151"/>
      <c r="DY222" s="151"/>
      <c r="DZ222" s="151"/>
      <c r="EA222" s="151"/>
      <c r="EB222" s="151"/>
      <c r="EC222" s="151"/>
      <c r="ED222" s="151"/>
      <c r="EE222" s="151"/>
      <c r="EF222" s="151"/>
      <c r="EG222" s="151"/>
      <c r="EH222" s="151"/>
      <c r="EI222" s="151"/>
      <c r="EJ222" s="151"/>
      <c r="EK222" s="151"/>
      <c r="EL222" s="151"/>
      <c r="EM222" s="151"/>
      <c r="EN222" s="151"/>
      <c r="EO222" s="151"/>
      <c r="EP222" s="151"/>
      <c r="EQ222" s="151"/>
      <c r="ER222" s="151"/>
      <c r="ES222" s="151"/>
      <c r="ET222" s="151"/>
      <c r="EU222" s="151"/>
      <c r="EV222" s="151"/>
      <c r="EW222" s="151"/>
      <c r="EX222" s="151"/>
      <c r="EY222" s="151"/>
      <c r="EZ222" s="151"/>
      <c r="FA222" s="151"/>
      <c r="FB222" s="151"/>
      <c r="FC222" s="151"/>
      <c r="FD222" s="151"/>
      <c r="FE222" s="151"/>
      <c r="FF222" s="151"/>
      <c r="FG222" s="151"/>
      <c r="FH222" s="151"/>
      <c r="FI222" s="151"/>
      <c r="FJ222" s="151"/>
      <c r="FK222" s="151"/>
      <c r="FL222" s="151"/>
      <c r="FM222" s="151"/>
      <c r="FN222" s="151"/>
      <c r="FO222" s="151"/>
      <c r="FP222" s="151"/>
      <c r="FQ222" s="151"/>
      <c r="FR222" s="151"/>
      <c r="FS222" s="151"/>
      <c r="FT222" s="151"/>
      <c r="FU222" s="151"/>
      <c r="FV222" s="151"/>
      <c r="FW222" s="151"/>
      <c r="FX222" s="151"/>
      <c r="FY222" s="151"/>
      <c r="FZ222" s="151"/>
      <c r="GA222" s="151"/>
      <c r="GB222" s="151"/>
      <c r="GC222" s="151"/>
      <c r="GD222" s="151"/>
      <c r="GE222" s="151"/>
      <c r="GF222" s="151"/>
      <c r="GG222" s="151"/>
      <c r="GH222" s="151"/>
      <c r="GI222" s="151"/>
      <c r="GJ222" s="151"/>
      <c r="GK222" s="151"/>
      <c r="GL222" s="151"/>
      <c r="GM222" s="151"/>
      <c r="GN222" s="151"/>
      <c r="GO222" s="151"/>
      <c r="GP222" s="151"/>
      <c r="GQ222" s="151"/>
      <c r="GR222" s="151"/>
      <c r="GS222" s="151"/>
      <c r="GT222" s="151"/>
      <c r="GU222" s="151"/>
      <c r="GV222" s="151"/>
      <c r="GW222" s="151"/>
      <c r="GX222" s="151"/>
      <c r="GY222" s="151"/>
      <c r="GZ222" s="151"/>
      <c r="HA222" s="151"/>
      <c r="HB222" s="151"/>
      <c r="HC222" s="151"/>
      <c r="HD222" s="151"/>
      <c r="HE222" s="151"/>
      <c r="HF222" s="151"/>
      <c r="HG222" s="151"/>
      <c r="HH222" s="151"/>
      <c r="HI222" s="151"/>
      <c r="HJ222" s="151"/>
      <c r="HK222" s="151"/>
      <c r="HL222" s="151"/>
      <c r="HM222" s="151"/>
      <c r="HN222" s="151"/>
      <c r="HO222" s="151"/>
      <c r="HP222" s="151"/>
      <c r="HQ222" s="151"/>
      <c r="HR222" s="151"/>
      <c r="HS222" s="151"/>
      <c r="HT222" s="151"/>
      <c r="HU222" s="151"/>
      <c r="HV222" s="151"/>
      <c r="HW222" s="151"/>
      <c r="HX222" s="151"/>
      <c r="HY222" s="151"/>
      <c r="HZ222" s="151"/>
      <c r="IA222" s="151"/>
      <c r="IB222" s="151"/>
      <c r="IC222" s="151"/>
      <c r="ID222" s="151"/>
      <c r="IE222" s="151"/>
      <c r="IF222" s="151"/>
      <c r="IG222" s="151"/>
      <c r="IH222" s="151"/>
      <c r="II222" s="151"/>
      <c r="IJ222" s="151"/>
      <c r="IK222" s="151"/>
      <c r="IL222" s="151"/>
      <c r="IM222" s="151"/>
      <c r="IN222" s="151"/>
      <c r="IO222" s="151"/>
      <c r="IP222" s="151"/>
      <c r="IQ222" s="151"/>
      <c r="IR222" s="151"/>
      <c r="IS222" s="151"/>
      <c r="IT222" s="151"/>
      <c r="IU222" s="151"/>
      <c r="IV222" s="151"/>
    </row>
    <row r="223" spans="1:256" hidden="1">
      <c r="A223" s="825"/>
      <c r="B223" s="828"/>
      <c r="C223" s="157" t="s">
        <v>2</v>
      </c>
      <c r="D223" s="158">
        <f>D222+D221</f>
        <v>5408751</v>
      </c>
      <c r="E223" s="159">
        <f t="shared" ref="E223:P223" si="103">E222+E221</f>
        <v>5408751</v>
      </c>
      <c r="F223" s="159">
        <f t="shared" si="103"/>
        <v>5406951</v>
      </c>
      <c r="G223" s="159">
        <f t="shared" si="103"/>
        <v>4972969</v>
      </c>
      <c r="H223" s="159">
        <f t="shared" si="103"/>
        <v>433982</v>
      </c>
      <c r="I223" s="159">
        <f t="shared" si="103"/>
        <v>0</v>
      </c>
      <c r="J223" s="159">
        <f t="shared" si="103"/>
        <v>1800</v>
      </c>
      <c r="K223" s="159">
        <f t="shared" si="103"/>
        <v>0</v>
      </c>
      <c r="L223" s="159">
        <f t="shared" si="103"/>
        <v>0</v>
      </c>
      <c r="M223" s="159">
        <f t="shared" si="103"/>
        <v>0</v>
      </c>
      <c r="N223" s="159">
        <f t="shared" si="103"/>
        <v>0</v>
      </c>
      <c r="O223" s="159">
        <f t="shared" si="103"/>
        <v>0</v>
      </c>
      <c r="P223" s="159">
        <f t="shared" si="103"/>
        <v>0</v>
      </c>
      <c r="Q223" s="160"/>
      <c r="R223" s="160"/>
      <c r="S223" s="160"/>
      <c r="T223" s="160"/>
      <c r="U223" s="160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  <c r="EB223" s="151"/>
      <c r="EC223" s="151"/>
      <c r="ED223" s="151"/>
      <c r="EE223" s="151"/>
      <c r="EF223" s="151"/>
      <c r="EG223" s="151"/>
      <c r="EH223" s="151"/>
      <c r="EI223" s="151"/>
      <c r="EJ223" s="151"/>
      <c r="EK223" s="151"/>
      <c r="EL223" s="151"/>
      <c r="EM223" s="151"/>
      <c r="EN223" s="151"/>
      <c r="EO223" s="151"/>
      <c r="EP223" s="151"/>
      <c r="EQ223" s="151"/>
      <c r="ER223" s="151"/>
      <c r="ES223" s="151"/>
      <c r="ET223" s="151"/>
      <c r="EU223" s="151"/>
      <c r="EV223" s="151"/>
      <c r="EW223" s="151"/>
      <c r="EX223" s="151"/>
      <c r="EY223" s="151"/>
      <c r="EZ223" s="151"/>
      <c r="FA223" s="151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1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  <c r="GV223" s="151"/>
      <c r="GW223" s="151"/>
      <c r="GX223" s="151"/>
      <c r="GY223" s="151"/>
      <c r="GZ223" s="151"/>
      <c r="HA223" s="151"/>
      <c r="HB223" s="151"/>
      <c r="HC223" s="151"/>
      <c r="HD223" s="151"/>
      <c r="HE223" s="151"/>
      <c r="HF223" s="151"/>
      <c r="HG223" s="151"/>
      <c r="HH223" s="151"/>
      <c r="HI223" s="151"/>
      <c r="HJ223" s="151"/>
      <c r="HK223" s="151"/>
      <c r="HL223" s="151"/>
      <c r="HM223" s="151"/>
      <c r="HN223" s="151"/>
      <c r="HO223" s="151"/>
      <c r="HP223" s="151"/>
      <c r="HQ223" s="151"/>
      <c r="HR223" s="151"/>
      <c r="HS223" s="151"/>
      <c r="HT223" s="151"/>
      <c r="HU223" s="151"/>
      <c r="HV223" s="151"/>
      <c r="HW223" s="151"/>
      <c r="HX223" s="151"/>
      <c r="HY223" s="151"/>
      <c r="HZ223" s="151"/>
      <c r="IA223" s="151"/>
      <c r="IB223" s="151"/>
      <c r="IC223" s="151"/>
      <c r="ID223" s="151"/>
      <c r="IE223" s="151"/>
      <c r="IF223" s="151"/>
      <c r="IG223" s="151"/>
      <c r="IH223" s="151"/>
      <c r="II223" s="151"/>
      <c r="IJ223" s="151"/>
      <c r="IK223" s="151"/>
      <c r="IL223" s="151"/>
      <c r="IM223" s="151"/>
      <c r="IN223" s="151"/>
      <c r="IO223" s="151"/>
      <c r="IP223" s="151"/>
      <c r="IQ223" s="151"/>
      <c r="IR223" s="151"/>
      <c r="IS223" s="151"/>
      <c r="IT223" s="151"/>
      <c r="IU223" s="151"/>
      <c r="IV223" s="151"/>
    </row>
    <row r="224" spans="1:256" hidden="1">
      <c r="A224" s="823" t="s">
        <v>245</v>
      </c>
      <c r="B224" s="826" t="s">
        <v>246</v>
      </c>
      <c r="C224" s="157" t="s">
        <v>0</v>
      </c>
      <c r="D224" s="158">
        <f>E224+M224</f>
        <v>15400</v>
      </c>
      <c r="E224" s="159">
        <f>F224+I224+J224+K224+L224</f>
        <v>15400</v>
      </c>
      <c r="F224" s="159">
        <f>G224+H224</f>
        <v>15400</v>
      </c>
      <c r="G224" s="159">
        <v>0</v>
      </c>
      <c r="H224" s="159">
        <v>15400</v>
      </c>
      <c r="I224" s="159">
        <v>0</v>
      </c>
      <c r="J224" s="159">
        <v>0</v>
      </c>
      <c r="K224" s="159">
        <v>0</v>
      </c>
      <c r="L224" s="159">
        <v>0</v>
      </c>
      <c r="M224" s="159">
        <f>N224+P224</f>
        <v>0</v>
      </c>
      <c r="N224" s="159">
        <v>0</v>
      </c>
      <c r="O224" s="159">
        <v>0</v>
      </c>
      <c r="P224" s="159">
        <v>0</v>
      </c>
      <c r="Q224" s="166"/>
      <c r="R224" s="166"/>
      <c r="S224" s="166"/>
      <c r="T224" s="166"/>
      <c r="U224" s="166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</row>
    <row r="225" spans="1:256" hidden="1">
      <c r="A225" s="824"/>
      <c r="B225" s="827"/>
      <c r="C225" s="157" t="s">
        <v>1</v>
      </c>
      <c r="D225" s="158">
        <f>E225+M225</f>
        <v>0</v>
      </c>
      <c r="E225" s="159">
        <f>F225+I225+J225+K225+L225</f>
        <v>0</v>
      </c>
      <c r="F225" s="159">
        <f>G225+H225</f>
        <v>0</v>
      </c>
      <c r="G225" s="159"/>
      <c r="H225" s="159"/>
      <c r="I225" s="159"/>
      <c r="J225" s="159"/>
      <c r="K225" s="159"/>
      <c r="L225" s="159"/>
      <c r="M225" s="159">
        <f>N225+P225</f>
        <v>0</v>
      </c>
      <c r="N225" s="159"/>
      <c r="O225" s="159"/>
      <c r="P225" s="159"/>
      <c r="Q225" s="166"/>
      <c r="R225" s="166"/>
      <c r="S225" s="166"/>
      <c r="T225" s="166"/>
      <c r="U225" s="166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</row>
    <row r="226" spans="1:256" hidden="1">
      <c r="A226" s="825"/>
      <c r="B226" s="828"/>
      <c r="C226" s="157" t="s">
        <v>2</v>
      </c>
      <c r="D226" s="158">
        <f>D225+D224</f>
        <v>15400</v>
      </c>
      <c r="E226" s="159">
        <f t="shared" ref="E226:P226" si="104">E225+E224</f>
        <v>15400</v>
      </c>
      <c r="F226" s="159">
        <f t="shared" si="104"/>
        <v>15400</v>
      </c>
      <c r="G226" s="159">
        <f t="shared" si="104"/>
        <v>0</v>
      </c>
      <c r="H226" s="159">
        <f t="shared" si="104"/>
        <v>15400</v>
      </c>
      <c r="I226" s="159">
        <f t="shared" si="104"/>
        <v>0</v>
      </c>
      <c r="J226" s="159">
        <f t="shared" si="104"/>
        <v>0</v>
      </c>
      <c r="K226" s="159">
        <f t="shared" si="104"/>
        <v>0</v>
      </c>
      <c r="L226" s="159">
        <f t="shared" si="104"/>
        <v>0</v>
      </c>
      <c r="M226" s="159">
        <f t="shared" si="104"/>
        <v>0</v>
      </c>
      <c r="N226" s="159">
        <f t="shared" si="104"/>
        <v>0</v>
      </c>
      <c r="O226" s="159">
        <f t="shared" si="104"/>
        <v>0</v>
      </c>
      <c r="P226" s="159">
        <f t="shared" si="104"/>
        <v>0</v>
      </c>
      <c r="Q226" s="166"/>
      <c r="R226" s="166"/>
      <c r="S226" s="166"/>
      <c r="T226" s="166"/>
      <c r="U226" s="166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</row>
    <row r="227" spans="1:256">
      <c r="A227" s="823" t="s">
        <v>247</v>
      </c>
      <c r="B227" s="826" t="s">
        <v>103</v>
      </c>
      <c r="C227" s="157" t="s">
        <v>0</v>
      </c>
      <c r="D227" s="158">
        <f>E227+M227</f>
        <v>26432521</v>
      </c>
      <c r="E227" s="159">
        <f t="shared" si="90"/>
        <v>24122769</v>
      </c>
      <c r="F227" s="159">
        <f t="shared" si="91"/>
        <v>4348804</v>
      </c>
      <c r="G227" s="159">
        <v>255116</v>
      </c>
      <c r="H227" s="159">
        <v>4093688</v>
      </c>
      <c r="I227" s="159">
        <v>0</v>
      </c>
      <c r="J227" s="159">
        <v>135000</v>
      </c>
      <c r="K227" s="159">
        <v>19638965</v>
      </c>
      <c r="L227" s="159">
        <v>0</v>
      </c>
      <c r="M227" s="159">
        <f t="shared" si="92"/>
        <v>2309752</v>
      </c>
      <c r="N227" s="159">
        <v>2309752</v>
      </c>
      <c r="O227" s="159">
        <v>2298224</v>
      </c>
      <c r="P227" s="159">
        <v>0</v>
      </c>
      <c r="Q227" s="166"/>
      <c r="R227" s="166"/>
      <c r="S227" s="166"/>
      <c r="T227" s="166"/>
      <c r="U227" s="166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</row>
    <row r="228" spans="1:256">
      <c r="A228" s="824"/>
      <c r="B228" s="827"/>
      <c r="C228" s="157" t="s">
        <v>1</v>
      </c>
      <c r="D228" s="158">
        <f>E228+M228</f>
        <v>821978</v>
      </c>
      <c r="E228" s="159">
        <f t="shared" si="90"/>
        <v>813846</v>
      </c>
      <c r="F228" s="159">
        <f t="shared" si="91"/>
        <v>0</v>
      </c>
      <c r="G228" s="159"/>
      <c r="H228" s="159"/>
      <c r="I228" s="159"/>
      <c r="J228" s="159"/>
      <c r="K228" s="159">
        <f>-43158+120000+86889+5111+593506+34911+18889+1111-3224-189</f>
        <v>813846</v>
      </c>
      <c r="L228" s="159"/>
      <c r="M228" s="159">
        <f t="shared" si="92"/>
        <v>8132</v>
      </c>
      <c r="N228" s="159">
        <f>5962+2170</f>
        <v>8132</v>
      </c>
      <c r="O228" s="159">
        <v>8132</v>
      </c>
      <c r="P228" s="159"/>
      <c r="Q228" s="166"/>
      <c r="R228" s="166"/>
      <c r="S228" s="166"/>
      <c r="T228" s="166"/>
      <c r="U228" s="166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</row>
    <row r="229" spans="1:256">
      <c r="A229" s="825"/>
      <c r="B229" s="828"/>
      <c r="C229" s="157" t="s">
        <v>2</v>
      </c>
      <c r="D229" s="158">
        <f>D228+D227</f>
        <v>27254499</v>
      </c>
      <c r="E229" s="159">
        <f t="shared" ref="E229:P229" si="105">E228+E227</f>
        <v>24936615</v>
      </c>
      <c r="F229" s="159">
        <f t="shared" si="105"/>
        <v>4348804</v>
      </c>
      <c r="G229" s="159">
        <f t="shared" si="105"/>
        <v>255116</v>
      </c>
      <c r="H229" s="159">
        <f t="shared" si="105"/>
        <v>4093688</v>
      </c>
      <c r="I229" s="159">
        <f t="shared" si="105"/>
        <v>0</v>
      </c>
      <c r="J229" s="159">
        <f t="shared" si="105"/>
        <v>135000</v>
      </c>
      <c r="K229" s="159">
        <f t="shared" si="105"/>
        <v>20452811</v>
      </c>
      <c r="L229" s="159">
        <f t="shared" si="105"/>
        <v>0</v>
      </c>
      <c r="M229" s="159">
        <f t="shared" si="105"/>
        <v>2317884</v>
      </c>
      <c r="N229" s="159">
        <f t="shared" si="105"/>
        <v>2317884</v>
      </c>
      <c r="O229" s="159">
        <f t="shared" si="105"/>
        <v>2306356</v>
      </c>
      <c r="P229" s="159">
        <f t="shared" si="105"/>
        <v>0</v>
      </c>
      <c r="Q229" s="166"/>
      <c r="R229" s="166"/>
      <c r="S229" s="166"/>
      <c r="T229" s="166"/>
      <c r="U229" s="166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</row>
    <row r="230" spans="1:256" ht="15">
      <c r="A230" s="835" t="s">
        <v>61</v>
      </c>
      <c r="B230" s="838" t="s">
        <v>62</v>
      </c>
      <c r="C230" s="161" t="s">
        <v>0</v>
      </c>
      <c r="D230" s="173">
        <f>D233+D239+D242+D245+D248+D254+D251+D236</f>
        <v>94120077</v>
      </c>
      <c r="E230" s="163">
        <f>E233+E239+E242+E245+E248+E254+E251+E236</f>
        <v>45558643</v>
      </c>
      <c r="F230" s="163">
        <f t="shared" ref="F230:P230" si="106">F233+F239+F242+F245+F248+F254+F251+F236</f>
        <v>36134000</v>
      </c>
      <c r="G230" s="163">
        <f t="shared" si="106"/>
        <v>18000</v>
      </c>
      <c r="H230" s="163">
        <f t="shared" si="106"/>
        <v>36116000</v>
      </c>
      <c r="I230" s="163">
        <f t="shared" si="106"/>
        <v>3248000</v>
      </c>
      <c r="J230" s="163">
        <f t="shared" si="106"/>
        <v>0</v>
      </c>
      <c r="K230" s="163">
        <f t="shared" si="106"/>
        <v>6176643</v>
      </c>
      <c r="L230" s="163">
        <f t="shared" si="106"/>
        <v>0</v>
      </c>
      <c r="M230" s="163">
        <f t="shared" si="106"/>
        <v>48561434</v>
      </c>
      <c r="N230" s="163">
        <f t="shared" si="106"/>
        <v>15561434</v>
      </c>
      <c r="O230" s="163">
        <f t="shared" si="106"/>
        <v>933797</v>
      </c>
      <c r="P230" s="163">
        <f t="shared" si="106"/>
        <v>33000000</v>
      </c>
      <c r="Q230" s="171"/>
      <c r="R230" s="171"/>
      <c r="S230" s="171"/>
      <c r="T230" s="171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  <c r="CL230" s="172"/>
      <c r="CM230" s="172"/>
      <c r="CN230" s="172"/>
      <c r="CO230" s="172"/>
      <c r="CP230" s="172"/>
      <c r="CQ230" s="172"/>
      <c r="CR230" s="172"/>
      <c r="CS230" s="172"/>
      <c r="CT230" s="172"/>
      <c r="CU230" s="172"/>
      <c r="CV230" s="172"/>
      <c r="CW230" s="172"/>
      <c r="CX230" s="172"/>
      <c r="CY230" s="172"/>
      <c r="CZ230" s="172"/>
      <c r="DA230" s="172"/>
      <c r="DB230" s="172"/>
      <c r="DC230" s="172"/>
      <c r="DD230" s="172"/>
      <c r="DE230" s="172"/>
      <c r="DF230" s="172"/>
      <c r="DG230" s="172"/>
      <c r="DH230" s="172"/>
      <c r="DI230" s="172"/>
      <c r="DJ230" s="172"/>
      <c r="DK230" s="172"/>
      <c r="DL230" s="172"/>
      <c r="DM230" s="172"/>
      <c r="DN230" s="172"/>
      <c r="DO230" s="172"/>
      <c r="DP230" s="172"/>
      <c r="DQ230" s="172"/>
      <c r="DR230" s="172"/>
      <c r="DS230" s="172"/>
      <c r="DT230" s="172"/>
      <c r="DU230" s="172"/>
      <c r="DV230" s="172"/>
      <c r="DW230" s="172"/>
      <c r="DX230" s="172"/>
      <c r="DY230" s="172"/>
      <c r="DZ230" s="172"/>
      <c r="EA230" s="172"/>
      <c r="EB230" s="172"/>
      <c r="EC230" s="172"/>
      <c r="ED230" s="172"/>
      <c r="EE230" s="172"/>
      <c r="EF230" s="172"/>
      <c r="EG230" s="172"/>
      <c r="EH230" s="172"/>
      <c r="EI230" s="172"/>
      <c r="EJ230" s="172"/>
      <c r="EK230" s="172"/>
      <c r="EL230" s="172"/>
      <c r="EM230" s="172"/>
      <c r="EN230" s="172"/>
      <c r="EO230" s="172"/>
      <c r="EP230" s="172"/>
      <c r="EQ230" s="172"/>
      <c r="ER230" s="172"/>
      <c r="ES230" s="172"/>
      <c r="ET230" s="172"/>
      <c r="EU230" s="172"/>
      <c r="EV230" s="172"/>
      <c r="EW230" s="172"/>
      <c r="EX230" s="172"/>
      <c r="EY230" s="172"/>
      <c r="EZ230" s="172"/>
      <c r="FA230" s="172"/>
      <c r="FB230" s="172"/>
      <c r="FC230" s="172"/>
      <c r="FD230" s="172"/>
      <c r="FE230" s="172"/>
      <c r="FF230" s="172"/>
      <c r="FG230" s="172"/>
      <c r="FH230" s="172"/>
      <c r="FI230" s="172"/>
      <c r="FJ230" s="172"/>
      <c r="FK230" s="172"/>
      <c r="FL230" s="172"/>
      <c r="FM230" s="172"/>
      <c r="FN230" s="172"/>
      <c r="FO230" s="172"/>
      <c r="FP230" s="172"/>
      <c r="FQ230" s="172"/>
      <c r="FR230" s="172"/>
      <c r="FS230" s="172"/>
      <c r="FT230" s="172"/>
      <c r="FU230" s="172"/>
      <c r="FV230" s="172"/>
      <c r="FW230" s="172"/>
      <c r="FX230" s="172"/>
      <c r="FY230" s="172"/>
      <c r="FZ230" s="172"/>
      <c r="GA230" s="172"/>
      <c r="GB230" s="172"/>
      <c r="GC230" s="172"/>
      <c r="GD230" s="172"/>
      <c r="GE230" s="172"/>
      <c r="GF230" s="172"/>
      <c r="GG230" s="172"/>
      <c r="GH230" s="172"/>
      <c r="GI230" s="172"/>
      <c r="GJ230" s="172"/>
      <c r="GK230" s="172"/>
      <c r="GL230" s="172"/>
      <c r="GM230" s="172"/>
      <c r="GN230" s="172"/>
      <c r="GO230" s="172"/>
      <c r="GP230" s="172"/>
      <c r="GQ230" s="172"/>
      <c r="GR230" s="172"/>
      <c r="GS230" s="172"/>
      <c r="GT230" s="172"/>
      <c r="GU230" s="172"/>
      <c r="GV230" s="172"/>
      <c r="GW230" s="172"/>
      <c r="GX230" s="172"/>
      <c r="GY230" s="172"/>
      <c r="GZ230" s="172"/>
      <c r="HA230" s="172"/>
      <c r="HB230" s="172"/>
      <c r="HC230" s="172"/>
      <c r="HD230" s="172"/>
      <c r="HE230" s="172"/>
      <c r="HF230" s="172"/>
      <c r="HG230" s="172"/>
      <c r="HH230" s="172"/>
      <c r="HI230" s="172"/>
      <c r="HJ230" s="172"/>
      <c r="HK230" s="172"/>
      <c r="HL230" s="172"/>
      <c r="HM230" s="172"/>
      <c r="HN230" s="172"/>
      <c r="HO230" s="172"/>
      <c r="HP230" s="172"/>
      <c r="HQ230" s="172"/>
      <c r="HR230" s="172"/>
      <c r="HS230" s="172"/>
      <c r="HT230" s="172"/>
      <c r="HU230" s="172"/>
      <c r="HV230" s="172"/>
      <c r="HW230" s="172"/>
      <c r="HX230" s="172"/>
      <c r="HY230" s="172"/>
      <c r="HZ230" s="172"/>
      <c r="IA230" s="172"/>
      <c r="IB230" s="172"/>
      <c r="IC230" s="172"/>
      <c r="ID230" s="172"/>
      <c r="IE230" s="172"/>
      <c r="IF230" s="172"/>
      <c r="IG230" s="172"/>
      <c r="IH230" s="172"/>
      <c r="II230" s="172"/>
      <c r="IJ230" s="172"/>
      <c r="IK230" s="172"/>
      <c r="IL230" s="172"/>
      <c r="IM230" s="172"/>
      <c r="IN230" s="172"/>
      <c r="IO230" s="172"/>
      <c r="IP230" s="172"/>
      <c r="IQ230" s="172"/>
      <c r="IR230" s="172"/>
      <c r="IS230" s="172"/>
      <c r="IT230" s="172"/>
      <c r="IU230" s="172"/>
      <c r="IV230" s="172"/>
    </row>
    <row r="231" spans="1:256" ht="15">
      <c r="A231" s="836"/>
      <c r="B231" s="839"/>
      <c r="C231" s="161" t="s">
        <v>1</v>
      </c>
      <c r="D231" s="173">
        <f>D234+D240+D243+D246+D249+D255+D252+D237</f>
        <v>11801291</v>
      </c>
      <c r="E231" s="163">
        <f t="shared" ref="E231:P231" si="107">E234+E240+E243+E246+E249+E255+E252+E237</f>
        <v>1080627</v>
      </c>
      <c r="F231" s="163">
        <f t="shared" si="107"/>
        <v>0</v>
      </c>
      <c r="G231" s="163">
        <f t="shared" si="107"/>
        <v>0</v>
      </c>
      <c r="H231" s="163">
        <f t="shared" si="107"/>
        <v>0</v>
      </c>
      <c r="I231" s="163">
        <f t="shared" si="107"/>
        <v>0</v>
      </c>
      <c r="J231" s="163">
        <f t="shared" si="107"/>
        <v>0</v>
      </c>
      <c r="K231" s="163">
        <f t="shared" si="107"/>
        <v>1080627</v>
      </c>
      <c r="L231" s="163">
        <f t="shared" si="107"/>
        <v>0</v>
      </c>
      <c r="M231" s="163">
        <f t="shared" si="107"/>
        <v>10720664</v>
      </c>
      <c r="N231" s="163">
        <f t="shared" si="107"/>
        <v>4720664</v>
      </c>
      <c r="O231" s="163">
        <f t="shared" si="107"/>
        <v>0</v>
      </c>
      <c r="P231" s="163">
        <f t="shared" si="107"/>
        <v>6000000</v>
      </c>
      <c r="Q231" s="171"/>
      <c r="R231" s="171"/>
      <c r="S231" s="171"/>
      <c r="T231" s="171"/>
      <c r="U231" s="171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  <c r="CL231" s="172"/>
      <c r="CM231" s="172"/>
      <c r="CN231" s="172"/>
      <c r="CO231" s="172"/>
      <c r="CP231" s="172"/>
      <c r="CQ231" s="172"/>
      <c r="CR231" s="172"/>
      <c r="CS231" s="172"/>
      <c r="CT231" s="172"/>
      <c r="CU231" s="172"/>
      <c r="CV231" s="172"/>
      <c r="CW231" s="172"/>
      <c r="CX231" s="172"/>
      <c r="CY231" s="172"/>
      <c r="CZ231" s="172"/>
      <c r="DA231" s="172"/>
      <c r="DB231" s="172"/>
      <c r="DC231" s="172"/>
      <c r="DD231" s="172"/>
      <c r="DE231" s="172"/>
      <c r="DF231" s="172"/>
      <c r="DG231" s="172"/>
      <c r="DH231" s="172"/>
      <c r="DI231" s="172"/>
      <c r="DJ231" s="172"/>
      <c r="DK231" s="172"/>
      <c r="DL231" s="172"/>
      <c r="DM231" s="172"/>
      <c r="DN231" s="172"/>
      <c r="DO231" s="172"/>
      <c r="DP231" s="172"/>
      <c r="DQ231" s="172"/>
      <c r="DR231" s="172"/>
      <c r="DS231" s="172"/>
      <c r="DT231" s="172"/>
      <c r="DU231" s="172"/>
      <c r="DV231" s="172"/>
      <c r="DW231" s="172"/>
      <c r="DX231" s="172"/>
      <c r="DY231" s="172"/>
      <c r="DZ231" s="172"/>
      <c r="EA231" s="172"/>
      <c r="EB231" s="172"/>
      <c r="EC231" s="172"/>
      <c r="ED231" s="172"/>
      <c r="EE231" s="172"/>
      <c r="EF231" s="172"/>
      <c r="EG231" s="172"/>
      <c r="EH231" s="172"/>
      <c r="EI231" s="172"/>
      <c r="EJ231" s="172"/>
      <c r="EK231" s="172"/>
      <c r="EL231" s="172"/>
      <c r="EM231" s="172"/>
      <c r="EN231" s="172"/>
      <c r="EO231" s="172"/>
      <c r="EP231" s="172"/>
      <c r="EQ231" s="172"/>
      <c r="ER231" s="172"/>
      <c r="ES231" s="172"/>
      <c r="ET231" s="172"/>
      <c r="EU231" s="172"/>
      <c r="EV231" s="172"/>
      <c r="EW231" s="172"/>
      <c r="EX231" s="172"/>
      <c r="EY231" s="172"/>
      <c r="EZ231" s="172"/>
      <c r="FA231" s="172"/>
      <c r="FB231" s="172"/>
      <c r="FC231" s="172"/>
      <c r="FD231" s="172"/>
      <c r="FE231" s="172"/>
      <c r="FF231" s="172"/>
      <c r="FG231" s="172"/>
      <c r="FH231" s="172"/>
      <c r="FI231" s="172"/>
      <c r="FJ231" s="172"/>
      <c r="FK231" s="172"/>
      <c r="FL231" s="172"/>
      <c r="FM231" s="172"/>
      <c r="FN231" s="172"/>
      <c r="FO231" s="172"/>
      <c r="FP231" s="172"/>
      <c r="FQ231" s="172"/>
      <c r="FR231" s="172"/>
      <c r="FS231" s="172"/>
      <c r="FT231" s="172"/>
      <c r="FU231" s="172"/>
      <c r="FV231" s="172"/>
      <c r="FW231" s="172"/>
      <c r="FX231" s="172"/>
      <c r="FY231" s="172"/>
      <c r="FZ231" s="172"/>
      <c r="GA231" s="172"/>
      <c r="GB231" s="172"/>
      <c r="GC231" s="172"/>
      <c r="GD231" s="172"/>
      <c r="GE231" s="172"/>
      <c r="GF231" s="172"/>
      <c r="GG231" s="172"/>
      <c r="GH231" s="172"/>
      <c r="GI231" s="172"/>
      <c r="GJ231" s="172"/>
      <c r="GK231" s="172"/>
      <c r="GL231" s="172"/>
      <c r="GM231" s="172"/>
      <c r="GN231" s="172"/>
      <c r="GO231" s="172"/>
      <c r="GP231" s="172"/>
      <c r="GQ231" s="172"/>
      <c r="GR231" s="172"/>
      <c r="GS231" s="172"/>
      <c r="GT231" s="172"/>
      <c r="GU231" s="172"/>
      <c r="GV231" s="172"/>
      <c r="GW231" s="172"/>
      <c r="GX231" s="172"/>
      <c r="GY231" s="172"/>
      <c r="GZ231" s="172"/>
      <c r="HA231" s="172"/>
      <c r="HB231" s="172"/>
      <c r="HC231" s="172"/>
      <c r="HD231" s="172"/>
      <c r="HE231" s="172"/>
      <c r="HF231" s="172"/>
      <c r="HG231" s="172"/>
      <c r="HH231" s="172"/>
      <c r="HI231" s="172"/>
      <c r="HJ231" s="172"/>
      <c r="HK231" s="172"/>
      <c r="HL231" s="172"/>
      <c r="HM231" s="172"/>
      <c r="HN231" s="172"/>
      <c r="HO231" s="172"/>
      <c r="HP231" s="172"/>
      <c r="HQ231" s="172"/>
      <c r="HR231" s="172"/>
      <c r="HS231" s="172"/>
      <c r="HT231" s="172"/>
      <c r="HU231" s="172"/>
      <c r="HV231" s="172"/>
      <c r="HW231" s="172"/>
      <c r="HX231" s="172"/>
      <c r="HY231" s="172"/>
      <c r="HZ231" s="172"/>
      <c r="IA231" s="172"/>
      <c r="IB231" s="172"/>
      <c r="IC231" s="172"/>
      <c r="ID231" s="172"/>
      <c r="IE231" s="172"/>
      <c r="IF231" s="172"/>
      <c r="IG231" s="172"/>
      <c r="IH231" s="172"/>
      <c r="II231" s="172"/>
      <c r="IJ231" s="172"/>
      <c r="IK231" s="172"/>
      <c r="IL231" s="172"/>
      <c r="IM231" s="172"/>
      <c r="IN231" s="172"/>
      <c r="IO231" s="172"/>
      <c r="IP231" s="172"/>
      <c r="IQ231" s="172"/>
      <c r="IR231" s="172"/>
      <c r="IS231" s="172"/>
      <c r="IT231" s="172"/>
      <c r="IU231" s="172"/>
      <c r="IV231" s="172"/>
    </row>
    <row r="232" spans="1:256" ht="15">
      <c r="A232" s="837"/>
      <c r="B232" s="840"/>
      <c r="C232" s="161" t="s">
        <v>2</v>
      </c>
      <c r="D232" s="173">
        <f>D231+D230</f>
        <v>105921368</v>
      </c>
      <c r="E232" s="163">
        <f t="shared" ref="E232:P232" si="108">E231+E230</f>
        <v>46639270</v>
      </c>
      <c r="F232" s="163">
        <f t="shared" si="108"/>
        <v>36134000</v>
      </c>
      <c r="G232" s="163">
        <f t="shared" si="108"/>
        <v>18000</v>
      </c>
      <c r="H232" s="163">
        <f t="shared" si="108"/>
        <v>36116000</v>
      </c>
      <c r="I232" s="163">
        <f t="shared" si="108"/>
        <v>3248000</v>
      </c>
      <c r="J232" s="163">
        <f t="shared" si="108"/>
        <v>0</v>
      </c>
      <c r="K232" s="163">
        <f t="shared" si="108"/>
        <v>7257270</v>
      </c>
      <c r="L232" s="163">
        <f t="shared" si="108"/>
        <v>0</v>
      </c>
      <c r="M232" s="163">
        <f t="shared" si="108"/>
        <v>59282098</v>
      </c>
      <c r="N232" s="163">
        <f t="shared" si="108"/>
        <v>20282098</v>
      </c>
      <c r="O232" s="163">
        <f t="shared" si="108"/>
        <v>933797</v>
      </c>
      <c r="P232" s="163">
        <f t="shared" si="108"/>
        <v>39000000</v>
      </c>
      <c r="Q232" s="171"/>
      <c r="R232" s="171"/>
      <c r="S232" s="171"/>
      <c r="T232" s="171"/>
      <c r="U232" s="171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2"/>
      <c r="CP232" s="172"/>
      <c r="CQ232" s="172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72"/>
      <c r="DC232" s="172"/>
      <c r="DD232" s="172"/>
      <c r="DE232" s="172"/>
      <c r="DF232" s="172"/>
      <c r="DG232" s="172"/>
      <c r="DH232" s="172"/>
      <c r="DI232" s="172"/>
      <c r="DJ232" s="172"/>
      <c r="DK232" s="172"/>
      <c r="DL232" s="172"/>
      <c r="DM232" s="172"/>
      <c r="DN232" s="172"/>
      <c r="DO232" s="172"/>
      <c r="DP232" s="172"/>
      <c r="DQ232" s="172"/>
      <c r="DR232" s="172"/>
      <c r="DS232" s="172"/>
      <c r="DT232" s="172"/>
      <c r="DU232" s="172"/>
      <c r="DV232" s="172"/>
      <c r="DW232" s="172"/>
      <c r="DX232" s="172"/>
      <c r="DY232" s="172"/>
      <c r="DZ232" s="172"/>
      <c r="EA232" s="172"/>
      <c r="EB232" s="172"/>
      <c r="EC232" s="172"/>
      <c r="ED232" s="172"/>
      <c r="EE232" s="172"/>
      <c r="EF232" s="172"/>
      <c r="EG232" s="172"/>
      <c r="EH232" s="172"/>
      <c r="EI232" s="172"/>
      <c r="EJ232" s="172"/>
      <c r="EK232" s="172"/>
      <c r="EL232" s="172"/>
      <c r="EM232" s="172"/>
      <c r="EN232" s="172"/>
      <c r="EO232" s="172"/>
      <c r="EP232" s="172"/>
      <c r="EQ232" s="172"/>
      <c r="ER232" s="172"/>
      <c r="ES232" s="172"/>
      <c r="ET232" s="172"/>
      <c r="EU232" s="172"/>
      <c r="EV232" s="172"/>
      <c r="EW232" s="172"/>
      <c r="EX232" s="172"/>
      <c r="EY232" s="172"/>
      <c r="EZ232" s="172"/>
      <c r="FA232" s="172"/>
      <c r="FB232" s="172"/>
      <c r="FC232" s="172"/>
      <c r="FD232" s="172"/>
      <c r="FE232" s="172"/>
      <c r="FF232" s="172"/>
      <c r="FG232" s="172"/>
      <c r="FH232" s="172"/>
      <c r="FI232" s="172"/>
      <c r="FJ232" s="172"/>
      <c r="FK232" s="172"/>
      <c r="FL232" s="172"/>
      <c r="FM232" s="172"/>
      <c r="FN232" s="172"/>
      <c r="FO232" s="172"/>
      <c r="FP232" s="172"/>
      <c r="FQ232" s="172"/>
      <c r="FR232" s="172"/>
      <c r="FS232" s="172"/>
      <c r="FT232" s="172"/>
      <c r="FU232" s="172"/>
      <c r="FV232" s="172"/>
      <c r="FW232" s="172"/>
      <c r="FX232" s="172"/>
      <c r="FY232" s="172"/>
      <c r="FZ232" s="172"/>
      <c r="GA232" s="172"/>
      <c r="GB232" s="172"/>
      <c r="GC232" s="172"/>
      <c r="GD232" s="172"/>
      <c r="GE232" s="172"/>
      <c r="GF232" s="172"/>
      <c r="GG232" s="172"/>
      <c r="GH232" s="172"/>
      <c r="GI232" s="172"/>
      <c r="GJ232" s="172"/>
      <c r="GK232" s="172"/>
      <c r="GL232" s="172"/>
      <c r="GM232" s="172"/>
      <c r="GN232" s="172"/>
      <c r="GO232" s="172"/>
      <c r="GP232" s="172"/>
      <c r="GQ232" s="172"/>
      <c r="GR232" s="172"/>
      <c r="GS232" s="172"/>
      <c r="GT232" s="172"/>
      <c r="GU232" s="172"/>
      <c r="GV232" s="172"/>
      <c r="GW232" s="172"/>
      <c r="GX232" s="172"/>
      <c r="GY232" s="172"/>
      <c r="GZ232" s="172"/>
      <c r="HA232" s="172"/>
      <c r="HB232" s="172"/>
      <c r="HC232" s="172"/>
      <c r="HD232" s="172"/>
      <c r="HE232" s="172"/>
      <c r="HF232" s="172"/>
      <c r="HG232" s="172"/>
      <c r="HH232" s="172"/>
      <c r="HI232" s="172"/>
      <c r="HJ232" s="172"/>
      <c r="HK232" s="172"/>
      <c r="HL232" s="172"/>
      <c r="HM232" s="172"/>
      <c r="HN232" s="172"/>
      <c r="HO232" s="172"/>
      <c r="HP232" s="172"/>
      <c r="HQ232" s="172"/>
      <c r="HR232" s="172"/>
      <c r="HS232" s="172"/>
      <c r="HT232" s="172"/>
      <c r="HU232" s="172"/>
      <c r="HV232" s="172"/>
      <c r="HW232" s="172"/>
      <c r="HX232" s="172"/>
      <c r="HY232" s="172"/>
      <c r="HZ232" s="172"/>
      <c r="IA232" s="172"/>
      <c r="IB232" s="172"/>
      <c r="IC232" s="172"/>
      <c r="ID232" s="172"/>
      <c r="IE232" s="172"/>
      <c r="IF232" s="172"/>
      <c r="IG232" s="172"/>
      <c r="IH232" s="172"/>
      <c r="II232" s="172"/>
      <c r="IJ232" s="172"/>
      <c r="IK232" s="172"/>
      <c r="IL232" s="172"/>
      <c r="IM232" s="172"/>
      <c r="IN232" s="172"/>
      <c r="IO232" s="172"/>
      <c r="IP232" s="172"/>
      <c r="IQ232" s="172"/>
      <c r="IR232" s="172"/>
      <c r="IS232" s="172"/>
      <c r="IT232" s="172"/>
      <c r="IU232" s="172"/>
      <c r="IV232" s="172"/>
    </row>
    <row r="233" spans="1:256">
      <c r="A233" s="823">
        <v>85111</v>
      </c>
      <c r="B233" s="826" t="s">
        <v>117</v>
      </c>
      <c r="C233" s="157" t="s">
        <v>0</v>
      </c>
      <c r="D233" s="158">
        <f t="shared" ref="D233:D255" si="109">E233+M233</f>
        <v>12494245</v>
      </c>
      <c r="E233" s="159">
        <f t="shared" ref="E233:E255" si="110">F233+I233+J233+K233+L233</f>
        <v>364</v>
      </c>
      <c r="F233" s="159">
        <f t="shared" ref="F233:F255" si="111">G233+H233</f>
        <v>0</v>
      </c>
      <c r="G233" s="159">
        <v>0</v>
      </c>
      <c r="H233" s="159">
        <v>0</v>
      </c>
      <c r="I233" s="159">
        <v>0</v>
      </c>
      <c r="J233" s="159">
        <v>0</v>
      </c>
      <c r="K233" s="159">
        <v>364</v>
      </c>
      <c r="L233" s="159">
        <v>0</v>
      </c>
      <c r="M233" s="159">
        <f t="shared" ref="M233:M255" si="112">N233+P233</f>
        <v>12493881</v>
      </c>
      <c r="N233" s="159">
        <v>12493881</v>
      </c>
      <c r="O233" s="159">
        <v>476244</v>
      </c>
      <c r="P233" s="159">
        <v>0</v>
      </c>
      <c r="Q233" s="166"/>
      <c r="R233" s="166"/>
      <c r="S233" s="166"/>
      <c r="T233" s="166"/>
      <c r="U233" s="166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</row>
    <row r="234" spans="1:256">
      <c r="A234" s="824"/>
      <c r="B234" s="827"/>
      <c r="C234" s="157" t="s">
        <v>1</v>
      </c>
      <c r="D234" s="158">
        <f t="shared" si="109"/>
        <v>2391893</v>
      </c>
      <c r="E234" s="159">
        <f t="shared" si="110"/>
        <v>0</v>
      </c>
      <c r="F234" s="159">
        <f t="shared" si="111"/>
        <v>0</v>
      </c>
      <c r="G234" s="159"/>
      <c r="H234" s="159"/>
      <c r="I234" s="159"/>
      <c r="J234" s="159"/>
      <c r="K234" s="159"/>
      <c r="L234" s="159"/>
      <c r="M234" s="159">
        <f t="shared" si="112"/>
        <v>2391893</v>
      </c>
      <c r="N234" s="159">
        <v>2391893</v>
      </c>
      <c r="O234" s="159"/>
      <c r="P234" s="159"/>
      <c r="Q234" s="166"/>
      <c r="R234" s="166"/>
      <c r="S234" s="166"/>
      <c r="T234" s="166"/>
      <c r="U234" s="166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</row>
    <row r="235" spans="1:256">
      <c r="A235" s="825"/>
      <c r="B235" s="828"/>
      <c r="C235" s="157" t="s">
        <v>2</v>
      </c>
      <c r="D235" s="158">
        <f>D234+D233</f>
        <v>14886138</v>
      </c>
      <c r="E235" s="159">
        <f t="shared" ref="E235:P235" si="113">E234+E233</f>
        <v>364</v>
      </c>
      <c r="F235" s="159">
        <f t="shared" si="113"/>
        <v>0</v>
      </c>
      <c r="G235" s="159">
        <f t="shared" si="113"/>
        <v>0</v>
      </c>
      <c r="H235" s="159">
        <f t="shared" si="113"/>
        <v>0</v>
      </c>
      <c r="I235" s="159">
        <f t="shared" si="113"/>
        <v>0</v>
      </c>
      <c r="J235" s="159">
        <f t="shared" si="113"/>
        <v>0</v>
      </c>
      <c r="K235" s="159">
        <f t="shared" si="113"/>
        <v>364</v>
      </c>
      <c r="L235" s="159">
        <f t="shared" si="113"/>
        <v>0</v>
      </c>
      <c r="M235" s="159">
        <f t="shared" si="113"/>
        <v>14885774</v>
      </c>
      <c r="N235" s="159">
        <f t="shared" si="113"/>
        <v>14885774</v>
      </c>
      <c r="O235" s="159">
        <f t="shared" si="113"/>
        <v>476244</v>
      </c>
      <c r="P235" s="159">
        <f t="shared" si="113"/>
        <v>0</v>
      </c>
      <c r="Q235" s="166"/>
      <c r="R235" s="166"/>
      <c r="S235" s="166"/>
      <c r="T235" s="166"/>
      <c r="U235" s="166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</row>
    <row r="236" spans="1:256">
      <c r="A236" s="823" t="s">
        <v>248</v>
      </c>
      <c r="B236" s="826" t="s">
        <v>249</v>
      </c>
      <c r="C236" s="157" t="s">
        <v>0</v>
      </c>
      <c r="D236" s="158">
        <f>E236+M236</f>
        <v>0</v>
      </c>
      <c r="E236" s="159">
        <f>F236+I236+J236+K236+L236</f>
        <v>0</v>
      </c>
      <c r="F236" s="159">
        <f>G236+H236</f>
        <v>0</v>
      </c>
      <c r="G236" s="159">
        <v>0</v>
      </c>
      <c r="H236" s="159">
        <v>0</v>
      </c>
      <c r="I236" s="159">
        <v>0</v>
      </c>
      <c r="J236" s="159">
        <v>0</v>
      </c>
      <c r="K236" s="159">
        <v>0</v>
      </c>
      <c r="L236" s="159">
        <v>0</v>
      </c>
      <c r="M236" s="159">
        <f>N236+P236</f>
        <v>0</v>
      </c>
      <c r="N236" s="159">
        <v>0</v>
      </c>
      <c r="O236" s="159">
        <v>0</v>
      </c>
      <c r="P236" s="159">
        <v>0</v>
      </c>
      <c r="Q236" s="166"/>
      <c r="R236" s="166"/>
      <c r="S236" s="166"/>
      <c r="T236" s="166"/>
      <c r="U236" s="166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</row>
    <row r="237" spans="1:256">
      <c r="A237" s="824"/>
      <c r="B237" s="827"/>
      <c r="C237" s="157" t="s">
        <v>1</v>
      </c>
      <c r="D237" s="158">
        <f>E237+M237</f>
        <v>2328771</v>
      </c>
      <c r="E237" s="159">
        <f>F237+I237+J237+K237+L237</f>
        <v>0</v>
      </c>
      <c r="F237" s="159">
        <f>G237+H237</f>
        <v>0</v>
      </c>
      <c r="G237" s="159"/>
      <c r="H237" s="159"/>
      <c r="I237" s="159"/>
      <c r="J237" s="159"/>
      <c r="K237" s="159"/>
      <c r="L237" s="159"/>
      <c r="M237" s="159">
        <f>N237+P237</f>
        <v>2328771</v>
      </c>
      <c r="N237" s="159">
        <v>2328771</v>
      </c>
      <c r="O237" s="159"/>
      <c r="P237" s="159"/>
      <c r="Q237" s="166"/>
      <c r="R237" s="166"/>
      <c r="S237" s="166"/>
      <c r="T237" s="166"/>
      <c r="U237" s="166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</row>
    <row r="238" spans="1:256">
      <c r="A238" s="825"/>
      <c r="B238" s="828"/>
      <c r="C238" s="157" t="s">
        <v>2</v>
      </c>
      <c r="D238" s="158">
        <f>D237+D236</f>
        <v>2328771</v>
      </c>
      <c r="E238" s="159">
        <f t="shared" ref="E238:P238" si="114">E237+E236</f>
        <v>0</v>
      </c>
      <c r="F238" s="159">
        <f t="shared" si="114"/>
        <v>0</v>
      </c>
      <c r="G238" s="159">
        <f t="shared" si="114"/>
        <v>0</v>
      </c>
      <c r="H238" s="159">
        <f t="shared" si="114"/>
        <v>0</v>
      </c>
      <c r="I238" s="159">
        <f t="shared" si="114"/>
        <v>0</v>
      </c>
      <c r="J238" s="159">
        <f t="shared" si="114"/>
        <v>0</v>
      </c>
      <c r="K238" s="159">
        <f t="shared" si="114"/>
        <v>0</v>
      </c>
      <c r="L238" s="159">
        <f t="shared" si="114"/>
        <v>0</v>
      </c>
      <c r="M238" s="159">
        <f t="shared" si="114"/>
        <v>2328771</v>
      </c>
      <c r="N238" s="159">
        <f t="shared" si="114"/>
        <v>2328771</v>
      </c>
      <c r="O238" s="159">
        <f t="shared" si="114"/>
        <v>0</v>
      </c>
      <c r="P238" s="159">
        <f t="shared" si="114"/>
        <v>0</v>
      </c>
      <c r="Q238" s="166"/>
      <c r="R238" s="166"/>
      <c r="S238" s="166"/>
      <c r="T238" s="166"/>
      <c r="U238" s="166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</row>
    <row r="239" spans="1:256" hidden="1">
      <c r="A239" s="823">
        <v>85148</v>
      </c>
      <c r="B239" s="826" t="s">
        <v>250</v>
      </c>
      <c r="C239" s="157" t="s">
        <v>0</v>
      </c>
      <c r="D239" s="158">
        <f t="shared" si="109"/>
        <v>6400000</v>
      </c>
      <c r="E239" s="159">
        <f t="shared" si="110"/>
        <v>6400000</v>
      </c>
      <c r="F239" s="159">
        <f t="shared" si="111"/>
        <v>6400000</v>
      </c>
      <c r="G239" s="159">
        <v>0</v>
      </c>
      <c r="H239" s="159">
        <v>6400000</v>
      </c>
      <c r="I239" s="159">
        <v>0</v>
      </c>
      <c r="J239" s="159">
        <v>0</v>
      </c>
      <c r="K239" s="159">
        <v>0</v>
      </c>
      <c r="L239" s="159">
        <v>0</v>
      </c>
      <c r="M239" s="159">
        <f t="shared" si="112"/>
        <v>0</v>
      </c>
      <c r="N239" s="159">
        <v>0</v>
      </c>
      <c r="O239" s="159">
        <v>0</v>
      </c>
      <c r="P239" s="159">
        <v>0</v>
      </c>
      <c r="Q239" s="166"/>
      <c r="R239" s="166"/>
      <c r="S239" s="166"/>
      <c r="T239" s="166"/>
      <c r="U239" s="166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</row>
    <row r="240" spans="1:256" hidden="1">
      <c r="A240" s="824"/>
      <c r="B240" s="827"/>
      <c r="C240" s="157" t="s">
        <v>1</v>
      </c>
      <c r="D240" s="158">
        <f t="shared" si="109"/>
        <v>0</v>
      </c>
      <c r="E240" s="159">
        <f t="shared" si="110"/>
        <v>0</v>
      </c>
      <c r="F240" s="159">
        <f t="shared" si="111"/>
        <v>0</v>
      </c>
      <c r="G240" s="159"/>
      <c r="H240" s="159"/>
      <c r="I240" s="159"/>
      <c r="J240" s="159"/>
      <c r="K240" s="159"/>
      <c r="L240" s="159"/>
      <c r="M240" s="159">
        <f t="shared" si="112"/>
        <v>0</v>
      </c>
      <c r="N240" s="159"/>
      <c r="O240" s="159"/>
      <c r="P240" s="159"/>
      <c r="Q240" s="166"/>
      <c r="R240" s="166"/>
      <c r="S240" s="166"/>
      <c r="T240" s="166"/>
      <c r="U240" s="166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</row>
    <row r="241" spans="1:256" hidden="1">
      <c r="A241" s="825"/>
      <c r="B241" s="828"/>
      <c r="C241" s="157" t="s">
        <v>2</v>
      </c>
      <c r="D241" s="158">
        <f>D240+D239</f>
        <v>6400000</v>
      </c>
      <c r="E241" s="159">
        <f t="shared" ref="E241:P241" si="115">E240+E239</f>
        <v>6400000</v>
      </c>
      <c r="F241" s="159">
        <f t="shared" si="115"/>
        <v>6400000</v>
      </c>
      <c r="G241" s="159">
        <f t="shared" si="115"/>
        <v>0</v>
      </c>
      <c r="H241" s="159">
        <f t="shared" si="115"/>
        <v>6400000</v>
      </c>
      <c r="I241" s="159">
        <f t="shared" si="115"/>
        <v>0</v>
      </c>
      <c r="J241" s="159">
        <f t="shared" si="115"/>
        <v>0</v>
      </c>
      <c r="K241" s="159">
        <f t="shared" si="115"/>
        <v>0</v>
      </c>
      <c r="L241" s="159">
        <f t="shared" si="115"/>
        <v>0</v>
      </c>
      <c r="M241" s="159">
        <f t="shared" si="115"/>
        <v>0</v>
      </c>
      <c r="N241" s="159">
        <f t="shared" si="115"/>
        <v>0</v>
      </c>
      <c r="O241" s="159">
        <f t="shared" si="115"/>
        <v>0</v>
      </c>
      <c r="P241" s="159">
        <f t="shared" si="115"/>
        <v>0</v>
      </c>
      <c r="Q241" s="166"/>
      <c r="R241" s="166"/>
      <c r="S241" s="166"/>
      <c r="T241" s="166"/>
      <c r="U241" s="166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</row>
    <row r="242" spans="1:256" hidden="1">
      <c r="A242" s="823">
        <v>85149</v>
      </c>
      <c r="B242" s="826" t="s">
        <v>251</v>
      </c>
      <c r="C242" s="157" t="s">
        <v>0</v>
      </c>
      <c r="D242" s="158">
        <f t="shared" si="109"/>
        <v>2609460</v>
      </c>
      <c r="E242" s="159">
        <f t="shared" si="110"/>
        <v>2609460</v>
      </c>
      <c r="F242" s="159">
        <f t="shared" si="111"/>
        <v>0</v>
      </c>
      <c r="G242" s="159">
        <v>0</v>
      </c>
      <c r="H242" s="159">
        <v>0</v>
      </c>
      <c r="I242" s="159">
        <v>1860000</v>
      </c>
      <c r="J242" s="159">
        <v>0</v>
      </c>
      <c r="K242" s="159">
        <v>749460</v>
      </c>
      <c r="L242" s="159">
        <v>0</v>
      </c>
      <c r="M242" s="159">
        <f t="shared" si="112"/>
        <v>0</v>
      </c>
      <c r="N242" s="159">
        <v>0</v>
      </c>
      <c r="O242" s="159">
        <v>0</v>
      </c>
      <c r="P242" s="159">
        <v>0</v>
      </c>
      <c r="Q242" s="166"/>
      <c r="R242" s="166"/>
      <c r="S242" s="166"/>
      <c r="T242" s="166"/>
      <c r="U242" s="166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</row>
    <row r="243" spans="1:256" hidden="1">
      <c r="A243" s="824"/>
      <c r="B243" s="827"/>
      <c r="C243" s="157" t="s">
        <v>1</v>
      </c>
      <c r="D243" s="158">
        <f t="shared" si="109"/>
        <v>0</v>
      </c>
      <c r="E243" s="159">
        <f t="shared" si="110"/>
        <v>0</v>
      </c>
      <c r="F243" s="159">
        <f t="shared" si="111"/>
        <v>0</v>
      </c>
      <c r="G243" s="159"/>
      <c r="H243" s="159"/>
      <c r="I243" s="159"/>
      <c r="J243" s="159"/>
      <c r="K243" s="159"/>
      <c r="L243" s="159"/>
      <c r="M243" s="159">
        <f t="shared" si="112"/>
        <v>0</v>
      </c>
      <c r="N243" s="159"/>
      <c r="O243" s="159"/>
      <c r="P243" s="159"/>
      <c r="Q243" s="166"/>
      <c r="R243" s="166"/>
      <c r="S243" s="166"/>
      <c r="T243" s="166"/>
      <c r="U243" s="166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</row>
    <row r="244" spans="1:256" hidden="1">
      <c r="A244" s="825"/>
      <c r="B244" s="828"/>
      <c r="C244" s="157" t="s">
        <v>2</v>
      </c>
      <c r="D244" s="158">
        <f>D243+D242</f>
        <v>2609460</v>
      </c>
      <c r="E244" s="159">
        <f t="shared" ref="E244:P244" si="116">E243+E242</f>
        <v>2609460</v>
      </c>
      <c r="F244" s="159">
        <f t="shared" si="116"/>
        <v>0</v>
      </c>
      <c r="G244" s="159">
        <f t="shared" si="116"/>
        <v>0</v>
      </c>
      <c r="H244" s="159">
        <f t="shared" si="116"/>
        <v>0</v>
      </c>
      <c r="I244" s="159">
        <f t="shared" si="116"/>
        <v>1860000</v>
      </c>
      <c r="J244" s="159">
        <f t="shared" si="116"/>
        <v>0</v>
      </c>
      <c r="K244" s="159">
        <f t="shared" si="116"/>
        <v>749460</v>
      </c>
      <c r="L244" s="159">
        <f t="shared" si="116"/>
        <v>0</v>
      </c>
      <c r="M244" s="159">
        <f t="shared" si="116"/>
        <v>0</v>
      </c>
      <c r="N244" s="159">
        <f t="shared" si="116"/>
        <v>0</v>
      </c>
      <c r="O244" s="159">
        <f t="shared" si="116"/>
        <v>0</v>
      </c>
      <c r="P244" s="159">
        <f t="shared" si="116"/>
        <v>0</v>
      </c>
      <c r="Q244" s="166"/>
      <c r="R244" s="166"/>
      <c r="S244" s="166"/>
      <c r="T244" s="166"/>
      <c r="U244" s="166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</row>
    <row r="245" spans="1:256" hidden="1">
      <c r="A245" s="823">
        <v>85153</v>
      </c>
      <c r="B245" s="826" t="s">
        <v>252</v>
      </c>
      <c r="C245" s="157" t="s">
        <v>0</v>
      </c>
      <c r="D245" s="158">
        <f t="shared" si="109"/>
        <v>480000</v>
      </c>
      <c r="E245" s="159">
        <f t="shared" si="110"/>
        <v>480000</v>
      </c>
      <c r="F245" s="159">
        <f t="shared" si="111"/>
        <v>130000</v>
      </c>
      <c r="G245" s="159">
        <v>14000</v>
      </c>
      <c r="H245" s="159">
        <f>480000-350000-14000</f>
        <v>116000</v>
      </c>
      <c r="I245" s="159">
        <v>350000</v>
      </c>
      <c r="J245" s="159">
        <v>0</v>
      </c>
      <c r="K245" s="159">
        <v>0</v>
      </c>
      <c r="L245" s="159">
        <v>0</v>
      </c>
      <c r="M245" s="159">
        <f t="shared" si="112"/>
        <v>0</v>
      </c>
      <c r="N245" s="159">
        <v>0</v>
      </c>
      <c r="O245" s="159">
        <v>0</v>
      </c>
      <c r="P245" s="159">
        <v>0</v>
      </c>
      <c r="Q245" s="166"/>
      <c r="R245" s="166"/>
      <c r="S245" s="166"/>
      <c r="T245" s="166"/>
      <c r="U245" s="166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</row>
    <row r="246" spans="1:256" hidden="1">
      <c r="A246" s="824"/>
      <c r="B246" s="827"/>
      <c r="C246" s="157" t="s">
        <v>1</v>
      </c>
      <c r="D246" s="158">
        <f t="shared" si="109"/>
        <v>0</v>
      </c>
      <c r="E246" s="159">
        <f t="shared" si="110"/>
        <v>0</v>
      </c>
      <c r="F246" s="159">
        <f t="shared" si="111"/>
        <v>0</v>
      </c>
      <c r="G246" s="159"/>
      <c r="H246" s="159"/>
      <c r="I246" s="159"/>
      <c r="J246" s="159"/>
      <c r="K246" s="159"/>
      <c r="L246" s="159"/>
      <c r="M246" s="159">
        <f t="shared" si="112"/>
        <v>0</v>
      </c>
      <c r="N246" s="159"/>
      <c r="O246" s="159"/>
      <c r="P246" s="159"/>
      <c r="Q246" s="166"/>
      <c r="R246" s="166"/>
      <c r="S246" s="166"/>
      <c r="T246" s="166"/>
      <c r="U246" s="166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</row>
    <row r="247" spans="1:256" hidden="1">
      <c r="A247" s="825"/>
      <c r="B247" s="828"/>
      <c r="C247" s="157" t="s">
        <v>2</v>
      </c>
      <c r="D247" s="158">
        <f>D246+D245</f>
        <v>480000</v>
      </c>
      <c r="E247" s="159">
        <f t="shared" ref="E247:P247" si="117">E246+E245</f>
        <v>480000</v>
      </c>
      <c r="F247" s="159">
        <f t="shared" si="117"/>
        <v>130000</v>
      </c>
      <c r="G247" s="159">
        <f t="shared" si="117"/>
        <v>14000</v>
      </c>
      <c r="H247" s="159">
        <f t="shared" si="117"/>
        <v>116000</v>
      </c>
      <c r="I247" s="159">
        <f t="shared" si="117"/>
        <v>350000</v>
      </c>
      <c r="J247" s="159">
        <f t="shared" si="117"/>
        <v>0</v>
      </c>
      <c r="K247" s="159">
        <f t="shared" si="117"/>
        <v>0</v>
      </c>
      <c r="L247" s="159">
        <f t="shared" si="117"/>
        <v>0</v>
      </c>
      <c r="M247" s="159">
        <f t="shared" si="117"/>
        <v>0</v>
      </c>
      <c r="N247" s="159">
        <f t="shared" si="117"/>
        <v>0</v>
      </c>
      <c r="O247" s="159">
        <f t="shared" si="117"/>
        <v>0</v>
      </c>
      <c r="P247" s="159">
        <f t="shared" si="117"/>
        <v>0</v>
      </c>
      <c r="Q247" s="166"/>
      <c r="R247" s="166"/>
      <c r="S247" s="166"/>
      <c r="T247" s="166"/>
      <c r="U247" s="166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</row>
    <row r="248" spans="1:256" hidden="1">
      <c r="A248" s="823">
        <v>85154</v>
      </c>
      <c r="B248" s="826" t="s">
        <v>253</v>
      </c>
      <c r="C248" s="157" t="s">
        <v>0</v>
      </c>
      <c r="D248" s="158">
        <f t="shared" si="109"/>
        <v>3523000</v>
      </c>
      <c r="E248" s="159">
        <f t="shared" si="110"/>
        <v>913000</v>
      </c>
      <c r="F248" s="159">
        <f t="shared" si="111"/>
        <v>125000</v>
      </c>
      <c r="G248" s="159">
        <v>3000</v>
      </c>
      <c r="H248" s="159">
        <f>4000+118000</f>
        <v>122000</v>
      </c>
      <c r="I248" s="159">
        <v>788000</v>
      </c>
      <c r="J248" s="159">
        <v>0</v>
      </c>
      <c r="K248" s="159">
        <v>0</v>
      </c>
      <c r="L248" s="159">
        <v>0</v>
      </c>
      <c r="M248" s="159">
        <f t="shared" si="112"/>
        <v>2610000</v>
      </c>
      <c r="N248" s="159">
        <v>2610000</v>
      </c>
      <c r="O248" s="159">
        <v>0</v>
      </c>
      <c r="P248" s="159">
        <v>0</v>
      </c>
      <c r="Q248" s="166"/>
      <c r="R248" s="166"/>
      <c r="S248" s="166"/>
      <c r="T248" s="166"/>
      <c r="U248" s="166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</row>
    <row r="249" spans="1:256" hidden="1">
      <c r="A249" s="824"/>
      <c r="B249" s="827"/>
      <c r="C249" s="157" t="s">
        <v>1</v>
      </c>
      <c r="D249" s="158">
        <f t="shared" si="109"/>
        <v>0</v>
      </c>
      <c r="E249" s="159">
        <f t="shared" si="110"/>
        <v>0</v>
      </c>
      <c r="F249" s="159">
        <f t="shared" si="111"/>
        <v>0</v>
      </c>
      <c r="G249" s="159"/>
      <c r="H249" s="159"/>
      <c r="I249" s="159"/>
      <c r="J249" s="159"/>
      <c r="K249" s="159"/>
      <c r="L249" s="159"/>
      <c r="M249" s="159">
        <f t="shared" si="112"/>
        <v>0</v>
      </c>
      <c r="N249" s="159"/>
      <c r="O249" s="159"/>
      <c r="P249" s="159"/>
      <c r="Q249" s="166"/>
      <c r="R249" s="166"/>
      <c r="S249" s="166"/>
      <c r="T249" s="166"/>
      <c r="U249" s="166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</row>
    <row r="250" spans="1:256" hidden="1">
      <c r="A250" s="825"/>
      <c r="B250" s="828"/>
      <c r="C250" s="157" t="s">
        <v>2</v>
      </c>
      <c r="D250" s="158">
        <f>D249+D248</f>
        <v>3523000</v>
      </c>
      <c r="E250" s="159">
        <f t="shared" ref="E250:P250" si="118">E249+E248</f>
        <v>913000</v>
      </c>
      <c r="F250" s="159">
        <f t="shared" si="118"/>
        <v>125000</v>
      </c>
      <c r="G250" s="159">
        <f t="shared" si="118"/>
        <v>3000</v>
      </c>
      <c r="H250" s="159">
        <f t="shared" si="118"/>
        <v>122000</v>
      </c>
      <c r="I250" s="159">
        <f t="shared" si="118"/>
        <v>788000</v>
      </c>
      <c r="J250" s="159">
        <f t="shared" si="118"/>
        <v>0</v>
      </c>
      <c r="K250" s="159">
        <f t="shared" si="118"/>
        <v>0</v>
      </c>
      <c r="L250" s="159">
        <f t="shared" si="118"/>
        <v>0</v>
      </c>
      <c r="M250" s="159">
        <f t="shared" si="118"/>
        <v>2610000</v>
      </c>
      <c r="N250" s="159">
        <f t="shared" si="118"/>
        <v>2610000</v>
      </c>
      <c r="O250" s="159">
        <f t="shared" si="118"/>
        <v>0</v>
      </c>
      <c r="P250" s="159">
        <f t="shared" si="118"/>
        <v>0</v>
      </c>
      <c r="Q250" s="166"/>
      <c r="R250" s="166"/>
      <c r="S250" s="166"/>
      <c r="T250" s="166"/>
      <c r="U250" s="166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</row>
    <row r="251" spans="1:256" hidden="1">
      <c r="A251" s="823">
        <v>85157</v>
      </c>
      <c r="B251" s="826" t="s">
        <v>254</v>
      </c>
      <c r="C251" s="157" t="s">
        <v>0</v>
      </c>
      <c r="D251" s="158">
        <f t="shared" si="109"/>
        <v>29157000</v>
      </c>
      <c r="E251" s="159">
        <f t="shared" si="110"/>
        <v>29157000</v>
      </c>
      <c r="F251" s="159">
        <f t="shared" si="111"/>
        <v>29157000</v>
      </c>
      <c r="G251" s="159">
        <v>0</v>
      </c>
      <c r="H251" s="159">
        <v>29157000</v>
      </c>
      <c r="I251" s="159">
        <v>0</v>
      </c>
      <c r="J251" s="159">
        <v>0</v>
      </c>
      <c r="K251" s="159">
        <v>0</v>
      </c>
      <c r="L251" s="159">
        <v>0</v>
      </c>
      <c r="M251" s="159">
        <f t="shared" si="112"/>
        <v>0</v>
      </c>
      <c r="N251" s="159">
        <v>0</v>
      </c>
      <c r="O251" s="159">
        <v>0</v>
      </c>
      <c r="P251" s="159">
        <v>0</v>
      </c>
      <c r="Q251" s="166"/>
      <c r="R251" s="166"/>
      <c r="S251" s="166"/>
      <c r="T251" s="166"/>
      <c r="U251" s="166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</row>
    <row r="252" spans="1:256" hidden="1">
      <c r="A252" s="824"/>
      <c r="B252" s="827"/>
      <c r="C252" s="157" t="s">
        <v>1</v>
      </c>
      <c r="D252" s="158">
        <f t="shared" si="109"/>
        <v>0</v>
      </c>
      <c r="E252" s="159">
        <f t="shared" si="110"/>
        <v>0</v>
      </c>
      <c r="F252" s="159">
        <f t="shared" si="111"/>
        <v>0</v>
      </c>
      <c r="G252" s="159"/>
      <c r="H252" s="159"/>
      <c r="I252" s="159"/>
      <c r="J252" s="159"/>
      <c r="K252" s="159"/>
      <c r="L252" s="159"/>
      <c r="M252" s="159">
        <f t="shared" si="112"/>
        <v>0</v>
      </c>
      <c r="N252" s="159"/>
      <c r="O252" s="159"/>
      <c r="P252" s="159"/>
      <c r="Q252" s="166"/>
      <c r="R252" s="166"/>
      <c r="S252" s="166"/>
      <c r="T252" s="166"/>
      <c r="U252" s="166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</row>
    <row r="253" spans="1:256" hidden="1">
      <c r="A253" s="825"/>
      <c r="B253" s="828"/>
      <c r="C253" s="157" t="s">
        <v>2</v>
      </c>
      <c r="D253" s="158">
        <f>D252+D251</f>
        <v>29157000</v>
      </c>
      <c r="E253" s="159">
        <f t="shared" ref="E253:P253" si="119">E252+E251</f>
        <v>29157000</v>
      </c>
      <c r="F253" s="159">
        <f t="shared" si="119"/>
        <v>29157000</v>
      </c>
      <c r="G253" s="159">
        <f t="shared" si="119"/>
        <v>0</v>
      </c>
      <c r="H253" s="159">
        <f t="shared" si="119"/>
        <v>29157000</v>
      </c>
      <c r="I253" s="159">
        <f t="shared" si="119"/>
        <v>0</v>
      </c>
      <c r="J253" s="159">
        <f t="shared" si="119"/>
        <v>0</v>
      </c>
      <c r="K253" s="159">
        <f t="shared" si="119"/>
        <v>0</v>
      </c>
      <c r="L253" s="159">
        <f t="shared" si="119"/>
        <v>0</v>
      </c>
      <c r="M253" s="159">
        <f t="shared" si="119"/>
        <v>0</v>
      </c>
      <c r="N253" s="159">
        <f t="shared" si="119"/>
        <v>0</v>
      </c>
      <c r="O253" s="159">
        <f t="shared" si="119"/>
        <v>0</v>
      </c>
      <c r="P253" s="159">
        <f t="shared" si="119"/>
        <v>0</v>
      </c>
      <c r="Q253" s="166"/>
      <c r="R253" s="166"/>
      <c r="S253" s="166"/>
      <c r="T253" s="166"/>
      <c r="U253" s="166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</row>
    <row r="254" spans="1:256">
      <c r="A254" s="823">
        <v>85195</v>
      </c>
      <c r="B254" s="826" t="s">
        <v>103</v>
      </c>
      <c r="C254" s="157" t="s">
        <v>0</v>
      </c>
      <c r="D254" s="158">
        <f t="shared" si="109"/>
        <v>39456372</v>
      </c>
      <c r="E254" s="159">
        <f t="shared" si="110"/>
        <v>5998819</v>
      </c>
      <c r="F254" s="159">
        <f t="shared" si="111"/>
        <v>322000</v>
      </c>
      <c r="G254" s="159">
        <v>1000</v>
      </c>
      <c r="H254" s="159">
        <f>3000+6000+312000</f>
        <v>321000</v>
      </c>
      <c r="I254" s="159">
        <v>250000</v>
      </c>
      <c r="J254" s="159">
        <v>0</v>
      </c>
      <c r="K254" s="159">
        <v>5426819</v>
      </c>
      <c r="L254" s="159">
        <v>0</v>
      </c>
      <c r="M254" s="159">
        <f t="shared" si="112"/>
        <v>33457553</v>
      </c>
      <c r="N254" s="159">
        <v>457553</v>
      </c>
      <c r="O254" s="159">
        <v>457553</v>
      </c>
      <c r="P254" s="159">
        <v>33000000</v>
      </c>
      <c r="Q254" s="166"/>
      <c r="R254" s="166"/>
      <c r="S254" s="166"/>
      <c r="T254" s="166"/>
      <c r="U254" s="166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</row>
    <row r="255" spans="1:256">
      <c r="A255" s="824"/>
      <c r="B255" s="827"/>
      <c r="C255" s="157" t="s">
        <v>1</v>
      </c>
      <c r="D255" s="158">
        <f t="shared" si="109"/>
        <v>7080627</v>
      </c>
      <c r="E255" s="159">
        <f t="shared" si="110"/>
        <v>1080627</v>
      </c>
      <c r="F255" s="159">
        <f t="shared" si="111"/>
        <v>0</v>
      </c>
      <c r="G255" s="159"/>
      <c r="H255" s="159"/>
      <c r="I255" s="159"/>
      <c r="J255" s="159"/>
      <c r="K255" s="159">
        <v>1080627</v>
      </c>
      <c r="L255" s="159"/>
      <c r="M255" s="159">
        <f t="shared" si="112"/>
        <v>6000000</v>
      </c>
      <c r="N255" s="159"/>
      <c r="O255" s="159"/>
      <c r="P255" s="159">
        <v>6000000</v>
      </c>
      <c r="Q255" s="166"/>
      <c r="R255" s="166"/>
      <c r="S255" s="166"/>
      <c r="T255" s="166"/>
      <c r="U255" s="166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</row>
    <row r="256" spans="1:256">
      <c r="A256" s="825"/>
      <c r="B256" s="828"/>
      <c r="C256" s="157" t="s">
        <v>2</v>
      </c>
      <c r="D256" s="158">
        <f>D255+D254</f>
        <v>46536999</v>
      </c>
      <c r="E256" s="159">
        <f t="shared" ref="E256:P256" si="120">E255+E254</f>
        <v>7079446</v>
      </c>
      <c r="F256" s="159">
        <f t="shared" si="120"/>
        <v>322000</v>
      </c>
      <c r="G256" s="159">
        <f t="shared" si="120"/>
        <v>1000</v>
      </c>
      <c r="H256" s="159">
        <f t="shared" si="120"/>
        <v>321000</v>
      </c>
      <c r="I256" s="159">
        <f t="shared" si="120"/>
        <v>250000</v>
      </c>
      <c r="J256" s="159">
        <f t="shared" si="120"/>
        <v>0</v>
      </c>
      <c r="K256" s="159">
        <f t="shared" si="120"/>
        <v>6507446</v>
      </c>
      <c r="L256" s="159">
        <f t="shared" si="120"/>
        <v>0</v>
      </c>
      <c r="M256" s="159">
        <f t="shared" si="120"/>
        <v>39457553</v>
      </c>
      <c r="N256" s="159">
        <f t="shared" si="120"/>
        <v>457553</v>
      </c>
      <c r="O256" s="159">
        <f t="shared" si="120"/>
        <v>457553</v>
      </c>
      <c r="P256" s="159">
        <f t="shared" si="120"/>
        <v>39000000</v>
      </c>
      <c r="Q256" s="166"/>
      <c r="R256" s="166"/>
      <c r="S256" s="166"/>
      <c r="T256" s="166"/>
      <c r="U256" s="166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</row>
    <row r="257" spans="1:256" ht="15">
      <c r="A257" s="835">
        <v>852</v>
      </c>
      <c r="B257" s="838" t="s">
        <v>63</v>
      </c>
      <c r="C257" s="161" t="s">
        <v>0</v>
      </c>
      <c r="D257" s="173">
        <f>D263+D266+D272+D269+D260</f>
        <v>56503940</v>
      </c>
      <c r="E257" s="163">
        <f t="shared" ref="E257:P258" si="121">E263+E266+E272+E269+E260</f>
        <v>40477460</v>
      </c>
      <c r="F257" s="163">
        <f t="shared" si="121"/>
        <v>7783819</v>
      </c>
      <c r="G257" s="163">
        <f t="shared" si="121"/>
        <v>4711178</v>
      </c>
      <c r="H257" s="163">
        <f t="shared" si="121"/>
        <v>3072641</v>
      </c>
      <c r="I257" s="163">
        <f t="shared" si="121"/>
        <v>75000</v>
      </c>
      <c r="J257" s="163">
        <f t="shared" si="121"/>
        <v>49120</v>
      </c>
      <c r="K257" s="163">
        <f t="shared" si="121"/>
        <v>32569521</v>
      </c>
      <c r="L257" s="163">
        <f t="shared" si="121"/>
        <v>0</v>
      </c>
      <c r="M257" s="163">
        <f t="shared" si="121"/>
        <v>16026480</v>
      </c>
      <c r="N257" s="163">
        <f t="shared" si="121"/>
        <v>16026480</v>
      </c>
      <c r="O257" s="163">
        <f t="shared" si="121"/>
        <v>15317650</v>
      </c>
      <c r="P257" s="163">
        <f t="shared" si="121"/>
        <v>0</v>
      </c>
      <c r="Q257" s="171"/>
      <c r="R257" s="171"/>
      <c r="S257" s="171"/>
      <c r="T257" s="171"/>
      <c r="U257" s="171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  <c r="CL257" s="172"/>
      <c r="CM257" s="172"/>
      <c r="CN257" s="172"/>
      <c r="CO257" s="172"/>
      <c r="CP257" s="172"/>
      <c r="CQ257" s="172"/>
      <c r="CR257" s="172"/>
      <c r="CS257" s="172"/>
      <c r="CT257" s="172"/>
      <c r="CU257" s="172"/>
      <c r="CV257" s="172"/>
      <c r="CW257" s="172"/>
      <c r="CX257" s="172"/>
      <c r="CY257" s="172"/>
      <c r="CZ257" s="172"/>
      <c r="DA257" s="172"/>
      <c r="DB257" s="172"/>
      <c r="DC257" s="172"/>
      <c r="DD257" s="172"/>
      <c r="DE257" s="172"/>
      <c r="DF257" s="172"/>
      <c r="DG257" s="172"/>
      <c r="DH257" s="172"/>
      <c r="DI257" s="172"/>
      <c r="DJ257" s="172"/>
      <c r="DK257" s="172"/>
      <c r="DL257" s="172"/>
      <c r="DM257" s="172"/>
      <c r="DN257" s="172"/>
      <c r="DO257" s="172"/>
      <c r="DP257" s="172"/>
      <c r="DQ257" s="172"/>
      <c r="DR257" s="172"/>
      <c r="DS257" s="172"/>
      <c r="DT257" s="172"/>
      <c r="DU257" s="172"/>
      <c r="DV257" s="172"/>
      <c r="DW257" s="172"/>
      <c r="DX257" s="172"/>
      <c r="DY257" s="172"/>
      <c r="DZ257" s="172"/>
      <c r="EA257" s="172"/>
      <c r="EB257" s="172"/>
      <c r="EC257" s="172"/>
      <c r="ED257" s="172"/>
      <c r="EE257" s="172"/>
      <c r="EF257" s="172"/>
      <c r="EG257" s="172"/>
      <c r="EH257" s="172"/>
      <c r="EI257" s="172"/>
      <c r="EJ257" s="172"/>
      <c r="EK257" s="172"/>
      <c r="EL257" s="172"/>
      <c r="EM257" s="172"/>
      <c r="EN257" s="172"/>
      <c r="EO257" s="172"/>
      <c r="EP257" s="172"/>
      <c r="EQ257" s="172"/>
      <c r="ER257" s="172"/>
      <c r="ES257" s="172"/>
      <c r="ET257" s="172"/>
      <c r="EU257" s="172"/>
      <c r="EV257" s="172"/>
      <c r="EW257" s="172"/>
      <c r="EX257" s="172"/>
      <c r="EY257" s="172"/>
      <c r="EZ257" s="172"/>
      <c r="FA257" s="172"/>
      <c r="FB257" s="172"/>
      <c r="FC257" s="172"/>
      <c r="FD257" s="172"/>
      <c r="FE257" s="172"/>
      <c r="FF257" s="172"/>
      <c r="FG257" s="172"/>
      <c r="FH257" s="172"/>
      <c r="FI257" s="172"/>
      <c r="FJ257" s="172"/>
      <c r="FK257" s="172"/>
      <c r="FL257" s="172"/>
      <c r="FM257" s="172"/>
      <c r="FN257" s="172"/>
      <c r="FO257" s="172"/>
      <c r="FP257" s="172"/>
      <c r="FQ257" s="172"/>
      <c r="FR257" s="172"/>
      <c r="FS257" s="172"/>
      <c r="FT257" s="172"/>
      <c r="FU257" s="172"/>
      <c r="FV257" s="172"/>
      <c r="FW257" s="172"/>
      <c r="FX257" s="172"/>
      <c r="FY257" s="172"/>
      <c r="FZ257" s="172"/>
      <c r="GA257" s="172"/>
      <c r="GB257" s="172"/>
      <c r="GC257" s="172"/>
      <c r="GD257" s="172"/>
      <c r="GE257" s="172"/>
      <c r="GF257" s="172"/>
      <c r="GG257" s="172"/>
      <c r="GH257" s="172"/>
      <c r="GI257" s="172"/>
      <c r="GJ257" s="172"/>
      <c r="GK257" s="172"/>
      <c r="GL257" s="172"/>
      <c r="GM257" s="172"/>
      <c r="GN257" s="172"/>
      <c r="GO257" s="172"/>
      <c r="GP257" s="172"/>
      <c r="GQ257" s="172"/>
      <c r="GR257" s="172"/>
      <c r="GS257" s="172"/>
      <c r="GT257" s="172"/>
      <c r="GU257" s="172"/>
      <c r="GV257" s="172"/>
      <c r="GW257" s="172"/>
      <c r="GX257" s="172"/>
      <c r="GY257" s="172"/>
      <c r="GZ257" s="172"/>
      <c r="HA257" s="172"/>
      <c r="HB257" s="172"/>
      <c r="HC257" s="172"/>
      <c r="HD257" s="172"/>
      <c r="HE257" s="172"/>
      <c r="HF257" s="172"/>
      <c r="HG257" s="172"/>
      <c r="HH257" s="172"/>
      <c r="HI257" s="172"/>
      <c r="HJ257" s="172"/>
      <c r="HK257" s="172"/>
      <c r="HL257" s="172"/>
      <c r="HM257" s="172"/>
      <c r="HN257" s="172"/>
      <c r="HO257" s="172"/>
      <c r="HP257" s="172"/>
      <c r="HQ257" s="172"/>
      <c r="HR257" s="172"/>
      <c r="HS257" s="172"/>
      <c r="HT257" s="172"/>
      <c r="HU257" s="172"/>
      <c r="HV257" s="172"/>
      <c r="HW257" s="172"/>
      <c r="HX257" s="172"/>
      <c r="HY257" s="172"/>
      <c r="HZ257" s="172"/>
      <c r="IA257" s="172"/>
      <c r="IB257" s="172"/>
      <c r="IC257" s="172"/>
      <c r="ID257" s="172"/>
      <c r="IE257" s="172"/>
      <c r="IF257" s="172"/>
      <c r="IG257" s="172"/>
      <c r="IH257" s="172"/>
      <c r="II257" s="172"/>
      <c r="IJ257" s="172"/>
      <c r="IK257" s="172"/>
      <c r="IL257" s="172"/>
      <c r="IM257" s="172"/>
      <c r="IN257" s="172"/>
      <c r="IO257" s="172"/>
      <c r="IP257" s="172"/>
      <c r="IQ257" s="172"/>
      <c r="IR257" s="172"/>
      <c r="IS257" s="172"/>
      <c r="IT257" s="172"/>
      <c r="IU257" s="172"/>
      <c r="IV257" s="172"/>
    </row>
    <row r="258" spans="1:256" ht="15">
      <c r="A258" s="836"/>
      <c r="B258" s="839"/>
      <c r="C258" s="161" t="s">
        <v>1</v>
      </c>
      <c r="D258" s="173">
        <f>D264+D267+D273+D270+D261</f>
        <v>-534916</v>
      </c>
      <c r="E258" s="163">
        <f t="shared" si="121"/>
        <v>1252733</v>
      </c>
      <c r="F258" s="163">
        <f t="shared" si="121"/>
        <v>0</v>
      </c>
      <c r="G258" s="163">
        <f t="shared" si="121"/>
        <v>0</v>
      </c>
      <c r="H258" s="163">
        <f t="shared" si="121"/>
        <v>0</v>
      </c>
      <c r="I258" s="163">
        <f t="shared" si="121"/>
        <v>0</v>
      </c>
      <c r="J258" s="163">
        <f t="shared" si="121"/>
        <v>0</v>
      </c>
      <c r="K258" s="163">
        <f t="shared" si="121"/>
        <v>1252733</v>
      </c>
      <c r="L258" s="163">
        <f t="shared" si="121"/>
        <v>0</v>
      </c>
      <c r="M258" s="163">
        <f t="shared" si="121"/>
        <v>-1787649</v>
      </c>
      <c r="N258" s="163">
        <f t="shared" si="121"/>
        <v>-1787649</v>
      </c>
      <c r="O258" s="163">
        <f t="shared" si="121"/>
        <v>-1912849</v>
      </c>
      <c r="P258" s="163">
        <f t="shared" si="121"/>
        <v>0</v>
      </c>
      <c r="Q258" s="171"/>
      <c r="R258" s="171"/>
      <c r="S258" s="171"/>
      <c r="T258" s="171"/>
      <c r="U258" s="171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2"/>
      <c r="CP258" s="172"/>
      <c r="CQ258" s="172"/>
      <c r="CR258" s="172"/>
      <c r="CS258" s="172"/>
      <c r="CT258" s="172"/>
      <c r="CU258" s="172"/>
      <c r="CV258" s="172"/>
      <c r="CW258" s="172"/>
      <c r="CX258" s="172"/>
      <c r="CY258" s="172"/>
      <c r="CZ258" s="172"/>
      <c r="DA258" s="172"/>
      <c r="DB258" s="172"/>
      <c r="DC258" s="172"/>
      <c r="DD258" s="172"/>
      <c r="DE258" s="172"/>
      <c r="DF258" s="172"/>
      <c r="DG258" s="172"/>
      <c r="DH258" s="172"/>
      <c r="DI258" s="172"/>
      <c r="DJ258" s="172"/>
      <c r="DK258" s="172"/>
      <c r="DL258" s="172"/>
      <c r="DM258" s="172"/>
      <c r="DN258" s="172"/>
      <c r="DO258" s="172"/>
      <c r="DP258" s="172"/>
      <c r="DQ258" s="172"/>
      <c r="DR258" s="172"/>
      <c r="DS258" s="172"/>
      <c r="DT258" s="172"/>
      <c r="DU258" s="172"/>
      <c r="DV258" s="172"/>
      <c r="DW258" s="172"/>
      <c r="DX258" s="172"/>
      <c r="DY258" s="172"/>
      <c r="DZ258" s="172"/>
      <c r="EA258" s="172"/>
      <c r="EB258" s="172"/>
      <c r="EC258" s="172"/>
      <c r="ED258" s="172"/>
      <c r="EE258" s="172"/>
      <c r="EF258" s="172"/>
      <c r="EG258" s="172"/>
      <c r="EH258" s="172"/>
      <c r="EI258" s="172"/>
      <c r="EJ258" s="172"/>
      <c r="EK258" s="172"/>
      <c r="EL258" s="172"/>
      <c r="EM258" s="172"/>
      <c r="EN258" s="172"/>
      <c r="EO258" s="172"/>
      <c r="EP258" s="172"/>
      <c r="EQ258" s="172"/>
      <c r="ER258" s="172"/>
      <c r="ES258" s="172"/>
      <c r="ET258" s="172"/>
      <c r="EU258" s="172"/>
      <c r="EV258" s="172"/>
      <c r="EW258" s="172"/>
      <c r="EX258" s="172"/>
      <c r="EY258" s="172"/>
      <c r="EZ258" s="172"/>
      <c r="FA258" s="172"/>
      <c r="FB258" s="172"/>
      <c r="FC258" s="172"/>
      <c r="FD258" s="172"/>
      <c r="FE258" s="172"/>
      <c r="FF258" s="172"/>
      <c r="FG258" s="172"/>
      <c r="FH258" s="172"/>
      <c r="FI258" s="172"/>
      <c r="FJ258" s="172"/>
      <c r="FK258" s="172"/>
      <c r="FL258" s="172"/>
      <c r="FM258" s="172"/>
      <c r="FN258" s="172"/>
      <c r="FO258" s="172"/>
      <c r="FP258" s="172"/>
      <c r="FQ258" s="172"/>
      <c r="FR258" s="172"/>
      <c r="FS258" s="172"/>
      <c r="FT258" s="172"/>
      <c r="FU258" s="172"/>
      <c r="FV258" s="172"/>
      <c r="FW258" s="172"/>
      <c r="FX258" s="172"/>
      <c r="FY258" s="172"/>
      <c r="FZ258" s="172"/>
      <c r="GA258" s="172"/>
      <c r="GB258" s="172"/>
      <c r="GC258" s="172"/>
      <c r="GD258" s="172"/>
      <c r="GE258" s="172"/>
      <c r="GF258" s="172"/>
      <c r="GG258" s="172"/>
      <c r="GH258" s="172"/>
      <c r="GI258" s="172"/>
      <c r="GJ258" s="172"/>
      <c r="GK258" s="172"/>
      <c r="GL258" s="172"/>
      <c r="GM258" s="172"/>
      <c r="GN258" s="172"/>
      <c r="GO258" s="172"/>
      <c r="GP258" s="172"/>
      <c r="GQ258" s="172"/>
      <c r="GR258" s="172"/>
      <c r="GS258" s="172"/>
      <c r="GT258" s="172"/>
      <c r="GU258" s="172"/>
      <c r="GV258" s="172"/>
      <c r="GW258" s="172"/>
      <c r="GX258" s="172"/>
      <c r="GY258" s="172"/>
      <c r="GZ258" s="172"/>
      <c r="HA258" s="172"/>
      <c r="HB258" s="172"/>
      <c r="HC258" s="172"/>
      <c r="HD258" s="172"/>
      <c r="HE258" s="172"/>
      <c r="HF258" s="172"/>
      <c r="HG258" s="172"/>
      <c r="HH258" s="172"/>
      <c r="HI258" s="172"/>
      <c r="HJ258" s="172"/>
      <c r="HK258" s="172"/>
      <c r="HL258" s="172"/>
      <c r="HM258" s="172"/>
      <c r="HN258" s="172"/>
      <c r="HO258" s="172"/>
      <c r="HP258" s="172"/>
      <c r="HQ258" s="172"/>
      <c r="HR258" s="172"/>
      <c r="HS258" s="172"/>
      <c r="HT258" s="172"/>
      <c r="HU258" s="172"/>
      <c r="HV258" s="172"/>
      <c r="HW258" s="172"/>
      <c r="HX258" s="172"/>
      <c r="HY258" s="172"/>
      <c r="HZ258" s="172"/>
      <c r="IA258" s="172"/>
      <c r="IB258" s="172"/>
      <c r="IC258" s="172"/>
      <c r="ID258" s="172"/>
      <c r="IE258" s="172"/>
      <c r="IF258" s="172"/>
      <c r="IG258" s="172"/>
      <c r="IH258" s="172"/>
      <c r="II258" s="172"/>
      <c r="IJ258" s="172"/>
      <c r="IK258" s="172"/>
      <c r="IL258" s="172"/>
      <c r="IM258" s="172"/>
      <c r="IN258" s="172"/>
      <c r="IO258" s="172"/>
      <c r="IP258" s="172"/>
      <c r="IQ258" s="172"/>
      <c r="IR258" s="172"/>
      <c r="IS258" s="172"/>
      <c r="IT258" s="172"/>
      <c r="IU258" s="172"/>
      <c r="IV258" s="172"/>
    </row>
    <row r="259" spans="1:256" ht="15">
      <c r="A259" s="837"/>
      <c r="B259" s="840"/>
      <c r="C259" s="161" t="s">
        <v>2</v>
      </c>
      <c r="D259" s="173">
        <f>D258+D257</f>
        <v>55969024</v>
      </c>
      <c r="E259" s="163">
        <f t="shared" ref="E259:P259" si="122">E258+E257</f>
        <v>41730193</v>
      </c>
      <c r="F259" s="163">
        <f t="shared" si="122"/>
        <v>7783819</v>
      </c>
      <c r="G259" s="163">
        <f t="shared" si="122"/>
        <v>4711178</v>
      </c>
      <c r="H259" s="163">
        <f t="shared" si="122"/>
        <v>3072641</v>
      </c>
      <c r="I259" s="163">
        <f t="shared" si="122"/>
        <v>75000</v>
      </c>
      <c r="J259" s="163">
        <f t="shared" si="122"/>
        <v>49120</v>
      </c>
      <c r="K259" s="163">
        <f t="shared" si="122"/>
        <v>33822254</v>
      </c>
      <c r="L259" s="163">
        <f t="shared" si="122"/>
        <v>0</v>
      </c>
      <c r="M259" s="163">
        <f t="shared" si="122"/>
        <v>14238831</v>
      </c>
      <c r="N259" s="163">
        <f t="shared" si="122"/>
        <v>14238831</v>
      </c>
      <c r="O259" s="163">
        <f t="shared" si="122"/>
        <v>13404801</v>
      </c>
      <c r="P259" s="163">
        <f t="shared" si="122"/>
        <v>0</v>
      </c>
      <c r="Q259" s="171"/>
      <c r="R259" s="171"/>
      <c r="S259" s="171"/>
      <c r="T259" s="171"/>
      <c r="U259" s="171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  <c r="CL259" s="172"/>
      <c r="CM259" s="172"/>
      <c r="CN259" s="172"/>
      <c r="CO259" s="172"/>
      <c r="CP259" s="172"/>
      <c r="CQ259" s="172"/>
      <c r="CR259" s="172"/>
      <c r="CS259" s="172"/>
      <c r="CT259" s="172"/>
      <c r="CU259" s="172"/>
      <c r="CV259" s="172"/>
      <c r="CW259" s="172"/>
      <c r="CX259" s="172"/>
      <c r="CY259" s="172"/>
      <c r="CZ259" s="172"/>
      <c r="DA259" s="172"/>
      <c r="DB259" s="172"/>
      <c r="DC259" s="172"/>
      <c r="DD259" s="172"/>
      <c r="DE259" s="172"/>
      <c r="DF259" s="172"/>
      <c r="DG259" s="172"/>
      <c r="DH259" s="172"/>
      <c r="DI259" s="172"/>
      <c r="DJ259" s="172"/>
      <c r="DK259" s="172"/>
      <c r="DL259" s="172"/>
      <c r="DM259" s="172"/>
      <c r="DN259" s="172"/>
      <c r="DO259" s="172"/>
      <c r="DP259" s="172"/>
      <c r="DQ259" s="172"/>
      <c r="DR259" s="172"/>
      <c r="DS259" s="172"/>
      <c r="DT259" s="172"/>
      <c r="DU259" s="172"/>
      <c r="DV259" s="172"/>
      <c r="DW259" s="172"/>
      <c r="DX259" s="172"/>
      <c r="DY259" s="172"/>
      <c r="DZ259" s="172"/>
      <c r="EA259" s="172"/>
      <c r="EB259" s="172"/>
      <c r="EC259" s="172"/>
      <c r="ED259" s="172"/>
      <c r="EE259" s="172"/>
      <c r="EF259" s="172"/>
      <c r="EG259" s="172"/>
      <c r="EH259" s="172"/>
      <c r="EI259" s="172"/>
      <c r="EJ259" s="172"/>
      <c r="EK259" s="172"/>
      <c r="EL259" s="172"/>
      <c r="EM259" s="172"/>
      <c r="EN259" s="172"/>
      <c r="EO259" s="172"/>
      <c r="EP259" s="172"/>
      <c r="EQ259" s="172"/>
      <c r="ER259" s="172"/>
      <c r="ES259" s="172"/>
      <c r="ET259" s="172"/>
      <c r="EU259" s="172"/>
      <c r="EV259" s="172"/>
      <c r="EW259" s="172"/>
      <c r="EX259" s="172"/>
      <c r="EY259" s="172"/>
      <c r="EZ259" s="172"/>
      <c r="FA259" s="172"/>
      <c r="FB259" s="172"/>
      <c r="FC259" s="172"/>
      <c r="FD259" s="172"/>
      <c r="FE259" s="172"/>
      <c r="FF259" s="172"/>
      <c r="FG259" s="172"/>
      <c r="FH259" s="172"/>
      <c r="FI259" s="172"/>
      <c r="FJ259" s="172"/>
      <c r="FK259" s="172"/>
      <c r="FL259" s="172"/>
      <c r="FM259" s="172"/>
      <c r="FN259" s="172"/>
      <c r="FO259" s="172"/>
      <c r="FP259" s="172"/>
      <c r="FQ259" s="172"/>
      <c r="FR259" s="172"/>
      <c r="FS259" s="172"/>
      <c r="FT259" s="172"/>
      <c r="FU259" s="172"/>
      <c r="FV259" s="172"/>
      <c r="FW259" s="172"/>
      <c r="FX259" s="172"/>
      <c r="FY259" s="172"/>
      <c r="FZ259" s="172"/>
      <c r="GA259" s="172"/>
      <c r="GB259" s="172"/>
      <c r="GC259" s="172"/>
      <c r="GD259" s="172"/>
      <c r="GE259" s="172"/>
      <c r="GF259" s="172"/>
      <c r="GG259" s="172"/>
      <c r="GH259" s="172"/>
      <c r="GI259" s="172"/>
      <c r="GJ259" s="172"/>
      <c r="GK259" s="172"/>
      <c r="GL259" s="172"/>
      <c r="GM259" s="172"/>
      <c r="GN259" s="172"/>
      <c r="GO259" s="172"/>
      <c r="GP259" s="172"/>
      <c r="GQ259" s="172"/>
      <c r="GR259" s="172"/>
      <c r="GS259" s="172"/>
      <c r="GT259" s="172"/>
      <c r="GU259" s="172"/>
      <c r="GV259" s="172"/>
      <c r="GW259" s="172"/>
      <c r="GX259" s="172"/>
      <c r="GY259" s="172"/>
      <c r="GZ259" s="172"/>
      <c r="HA259" s="172"/>
      <c r="HB259" s="172"/>
      <c r="HC259" s="172"/>
      <c r="HD259" s="172"/>
      <c r="HE259" s="172"/>
      <c r="HF259" s="172"/>
      <c r="HG259" s="172"/>
      <c r="HH259" s="172"/>
      <c r="HI259" s="172"/>
      <c r="HJ259" s="172"/>
      <c r="HK259" s="172"/>
      <c r="HL259" s="172"/>
      <c r="HM259" s="172"/>
      <c r="HN259" s="172"/>
      <c r="HO259" s="172"/>
      <c r="HP259" s="172"/>
      <c r="HQ259" s="172"/>
      <c r="HR259" s="172"/>
      <c r="HS259" s="172"/>
      <c r="HT259" s="172"/>
      <c r="HU259" s="172"/>
      <c r="HV259" s="172"/>
      <c r="HW259" s="172"/>
      <c r="HX259" s="172"/>
      <c r="HY259" s="172"/>
      <c r="HZ259" s="172"/>
      <c r="IA259" s="172"/>
      <c r="IB259" s="172"/>
      <c r="IC259" s="172"/>
      <c r="ID259" s="172"/>
      <c r="IE259" s="172"/>
      <c r="IF259" s="172"/>
      <c r="IG259" s="172"/>
      <c r="IH259" s="172"/>
      <c r="II259" s="172"/>
      <c r="IJ259" s="172"/>
      <c r="IK259" s="172"/>
      <c r="IL259" s="172"/>
      <c r="IM259" s="172"/>
      <c r="IN259" s="172"/>
      <c r="IO259" s="172"/>
      <c r="IP259" s="172"/>
      <c r="IQ259" s="172"/>
      <c r="IR259" s="172"/>
      <c r="IS259" s="172"/>
      <c r="IT259" s="172"/>
      <c r="IU259" s="172"/>
      <c r="IV259" s="172"/>
    </row>
    <row r="260" spans="1:256" hidden="1">
      <c r="A260" s="823" t="s">
        <v>255</v>
      </c>
      <c r="B260" s="826" t="s">
        <v>256</v>
      </c>
      <c r="C260" s="157" t="s">
        <v>0</v>
      </c>
      <c r="D260" s="158">
        <f>E260+M260</f>
        <v>34617</v>
      </c>
      <c r="E260" s="159">
        <f>F260+I260+J260+K260+L260</f>
        <v>34617</v>
      </c>
      <c r="F260" s="159">
        <f>G260+H260</f>
        <v>0</v>
      </c>
      <c r="G260" s="159">
        <v>0</v>
      </c>
      <c r="H260" s="159">
        <v>0</v>
      </c>
      <c r="I260" s="159">
        <v>0</v>
      </c>
      <c r="J260" s="159">
        <v>0</v>
      </c>
      <c r="K260" s="159">
        <v>34617</v>
      </c>
      <c r="L260" s="159">
        <v>0</v>
      </c>
      <c r="M260" s="159">
        <f>N260+P260</f>
        <v>0</v>
      </c>
      <c r="N260" s="159">
        <v>0</v>
      </c>
      <c r="O260" s="159">
        <v>0</v>
      </c>
      <c r="P260" s="159">
        <v>0</v>
      </c>
      <c r="Q260" s="160"/>
      <c r="R260" s="160"/>
      <c r="S260" s="160"/>
      <c r="T260" s="160"/>
      <c r="U260" s="160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51"/>
      <c r="BQ260" s="151"/>
      <c r="BR260" s="151"/>
      <c r="BS260" s="151"/>
      <c r="BT260" s="151"/>
      <c r="BU260" s="151"/>
      <c r="BV260" s="151"/>
      <c r="BW260" s="151"/>
      <c r="BX260" s="151"/>
      <c r="BY260" s="151"/>
      <c r="BZ260" s="151"/>
      <c r="CA260" s="151"/>
      <c r="CB260" s="151"/>
      <c r="CC260" s="151"/>
      <c r="CD260" s="151"/>
      <c r="CE260" s="151"/>
      <c r="CF260" s="151"/>
      <c r="CG260" s="151"/>
      <c r="CH260" s="151"/>
      <c r="CI260" s="151"/>
      <c r="CJ260" s="151"/>
      <c r="CK260" s="151"/>
      <c r="CL260" s="151"/>
      <c r="CM260" s="151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  <c r="EB260" s="151"/>
      <c r="EC260" s="151"/>
      <c r="ED260" s="151"/>
      <c r="EE260" s="151"/>
      <c r="EF260" s="151"/>
      <c r="EG260" s="151"/>
      <c r="EH260" s="151"/>
      <c r="EI260" s="151"/>
      <c r="EJ260" s="151"/>
      <c r="EK260" s="151"/>
      <c r="EL260" s="151"/>
      <c r="EM260" s="151"/>
      <c r="EN260" s="151"/>
      <c r="EO260" s="151"/>
      <c r="EP260" s="151"/>
      <c r="EQ260" s="151"/>
      <c r="ER260" s="151"/>
      <c r="ES260" s="151"/>
      <c r="ET260" s="151"/>
      <c r="EU260" s="151"/>
      <c r="EV260" s="151"/>
      <c r="EW260" s="151"/>
      <c r="EX260" s="151"/>
      <c r="EY260" s="151"/>
      <c r="EZ260" s="151"/>
      <c r="FA260" s="151"/>
      <c r="FB260" s="151"/>
      <c r="FC260" s="151"/>
      <c r="FD260" s="151"/>
      <c r="FE260" s="151"/>
      <c r="FF260" s="151"/>
      <c r="FG260" s="151"/>
      <c r="FH260" s="151"/>
      <c r="FI260" s="151"/>
      <c r="FJ260" s="151"/>
      <c r="FK260" s="151"/>
      <c r="FL260" s="151"/>
      <c r="FM260" s="151"/>
      <c r="FN260" s="151"/>
      <c r="FO260" s="151"/>
      <c r="FP260" s="151"/>
      <c r="FQ260" s="151"/>
      <c r="FR260" s="151"/>
      <c r="FS260" s="151"/>
      <c r="FT260" s="151"/>
      <c r="FU260" s="151"/>
      <c r="FV260" s="151"/>
      <c r="FW260" s="151"/>
      <c r="FX260" s="151"/>
      <c r="FY260" s="151"/>
      <c r="FZ260" s="151"/>
      <c r="GA260" s="151"/>
      <c r="GB260" s="151"/>
      <c r="GC260" s="151"/>
      <c r="GD260" s="151"/>
      <c r="GE260" s="151"/>
      <c r="GF260" s="151"/>
      <c r="GG260" s="151"/>
      <c r="GH260" s="151"/>
      <c r="GI260" s="151"/>
      <c r="GJ260" s="151"/>
      <c r="GK260" s="151"/>
      <c r="GL260" s="151"/>
      <c r="GM260" s="151"/>
      <c r="GN260" s="151"/>
      <c r="GO260" s="151"/>
      <c r="GP260" s="151"/>
      <c r="GQ260" s="151"/>
      <c r="GR260" s="151"/>
      <c r="GS260" s="151"/>
      <c r="GT260" s="151"/>
      <c r="GU260" s="151"/>
      <c r="GV260" s="151"/>
      <c r="GW260" s="151"/>
      <c r="GX260" s="151"/>
      <c r="GY260" s="151"/>
      <c r="GZ260" s="151"/>
      <c r="HA260" s="151"/>
      <c r="HB260" s="151"/>
      <c r="HC260" s="151"/>
      <c r="HD260" s="151"/>
      <c r="HE260" s="151"/>
      <c r="HF260" s="151"/>
      <c r="HG260" s="151"/>
      <c r="HH260" s="151"/>
      <c r="HI260" s="151"/>
      <c r="HJ260" s="151"/>
      <c r="HK260" s="151"/>
      <c r="HL260" s="151"/>
      <c r="HM260" s="151"/>
      <c r="HN260" s="151"/>
      <c r="HO260" s="151"/>
      <c r="HP260" s="151"/>
      <c r="HQ260" s="151"/>
      <c r="HR260" s="151"/>
      <c r="HS260" s="151"/>
      <c r="HT260" s="151"/>
      <c r="HU260" s="151"/>
      <c r="HV260" s="151"/>
      <c r="HW260" s="151"/>
      <c r="HX260" s="151"/>
      <c r="HY260" s="151"/>
      <c r="HZ260" s="151"/>
      <c r="IA260" s="151"/>
      <c r="IB260" s="151"/>
      <c r="IC260" s="151"/>
      <c r="ID260" s="151"/>
      <c r="IE260" s="151"/>
      <c r="IF260" s="151"/>
      <c r="IG260" s="151"/>
      <c r="IH260" s="151"/>
      <c r="II260" s="151"/>
      <c r="IJ260" s="151"/>
      <c r="IK260" s="151"/>
      <c r="IL260" s="151"/>
      <c r="IM260" s="151"/>
      <c r="IN260" s="151"/>
      <c r="IO260" s="151"/>
      <c r="IP260" s="151"/>
      <c r="IQ260" s="151"/>
      <c r="IR260" s="151"/>
      <c r="IS260" s="151"/>
      <c r="IT260" s="151"/>
      <c r="IU260" s="151"/>
      <c r="IV260" s="151"/>
    </row>
    <row r="261" spans="1:256" hidden="1">
      <c r="A261" s="824"/>
      <c r="B261" s="827"/>
      <c r="C261" s="157" t="s">
        <v>1</v>
      </c>
      <c r="D261" s="158">
        <f>E261+M261</f>
        <v>0</v>
      </c>
      <c r="E261" s="159">
        <f>F261+I261+J261+K261+L261</f>
        <v>0</v>
      </c>
      <c r="F261" s="159">
        <f>G261+H261</f>
        <v>0</v>
      </c>
      <c r="G261" s="159"/>
      <c r="H261" s="159"/>
      <c r="I261" s="159"/>
      <c r="J261" s="159"/>
      <c r="K261" s="159"/>
      <c r="L261" s="159"/>
      <c r="M261" s="159">
        <f>N261+P261</f>
        <v>0</v>
      </c>
      <c r="N261" s="159"/>
      <c r="O261" s="159"/>
      <c r="P261" s="159"/>
      <c r="Q261" s="160"/>
      <c r="R261" s="160"/>
      <c r="S261" s="160"/>
      <c r="T261" s="160"/>
      <c r="U261" s="160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1"/>
      <c r="BN261" s="151"/>
      <c r="BO261" s="151"/>
      <c r="BP261" s="151"/>
      <c r="BQ261" s="151"/>
      <c r="BR261" s="151"/>
      <c r="BS261" s="151"/>
      <c r="BT261" s="151"/>
      <c r="BU261" s="151"/>
      <c r="BV261" s="151"/>
      <c r="BW261" s="151"/>
      <c r="BX261" s="151"/>
      <c r="BY261" s="151"/>
      <c r="BZ261" s="151"/>
      <c r="CA261" s="151"/>
      <c r="CB261" s="151"/>
      <c r="CC261" s="151"/>
      <c r="CD261" s="151"/>
      <c r="CE261" s="151"/>
      <c r="CF261" s="151"/>
      <c r="CG261" s="151"/>
      <c r="CH261" s="151"/>
      <c r="CI261" s="151"/>
      <c r="CJ261" s="151"/>
      <c r="CK261" s="151"/>
      <c r="CL261" s="151"/>
      <c r="CM261" s="151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  <c r="GD261" s="151"/>
      <c r="GE261" s="151"/>
      <c r="GF261" s="151"/>
      <c r="GG261" s="151"/>
      <c r="GH261" s="151"/>
      <c r="GI261" s="151"/>
      <c r="GJ261" s="151"/>
      <c r="GK261" s="151"/>
      <c r="GL261" s="151"/>
      <c r="GM261" s="151"/>
      <c r="GN261" s="151"/>
      <c r="GO261" s="151"/>
      <c r="GP261" s="151"/>
      <c r="GQ261" s="151"/>
      <c r="GR261" s="151"/>
      <c r="GS261" s="151"/>
      <c r="GT261" s="151"/>
      <c r="GU261" s="151"/>
      <c r="GV261" s="151"/>
      <c r="GW261" s="151"/>
      <c r="GX261" s="151"/>
      <c r="GY261" s="151"/>
      <c r="GZ261" s="151"/>
      <c r="HA261" s="151"/>
      <c r="HB261" s="151"/>
      <c r="HC261" s="151"/>
      <c r="HD261" s="151"/>
      <c r="HE261" s="151"/>
      <c r="HF261" s="151"/>
      <c r="HG261" s="151"/>
      <c r="HH261" s="151"/>
      <c r="HI261" s="151"/>
      <c r="HJ261" s="151"/>
      <c r="HK261" s="151"/>
      <c r="HL261" s="151"/>
      <c r="HM261" s="151"/>
      <c r="HN261" s="151"/>
      <c r="HO261" s="151"/>
      <c r="HP261" s="151"/>
      <c r="HQ261" s="151"/>
      <c r="HR261" s="151"/>
      <c r="HS261" s="151"/>
      <c r="HT261" s="151"/>
      <c r="HU261" s="151"/>
      <c r="HV261" s="151"/>
      <c r="HW261" s="151"/>
      <c r="HX261" s="151"/>
      <c r="HY261" s="151"/>
      <c r="HZ261" s="151"/>
      <c r="IA261" s="151"/>
      <c r="IB261" s="151"/>
      <c r="IC261" s="151"/>
      <c r="ID261" s="151"/>
      <c r="IE261" s="151"/>
      <c r="IF261" s="151"/>
      <c r="IG261" s="151"/>
      <c r="IH261" s="151"/>
      <c r="II261" s="151"/>
      <c r="IJ261" s="151"/>
      <c r="IK261" s="151"/>
      <c r="IL261" s="151"/>
      <c r="IM261" s="151"/>
      <c r="IN261" s="151"/>
      <c r="IO261" s="151"/>
      <c r="IP261" s="151"/>
      <c r="IQ261" s="151"/>
      <c r="IR261" s="151"/>
      <c r="IS261" s="151"/>
      <c r="IT261" s="151"/>
      <c r="IU261" s="151"/>
      <c r="IV261" s="151"/>
    </row>
    <row r="262" spans="1:256" hidden="1">
      <c r="A262" s="825"/>
      <c r="B262" s="828"/>
      <c r="C262" s="157" t="s">
        <v>2</v>
      </c>
      <c r="D262" s="158">
        <f>D261+D260</f>
        <v>34617</v>
      </c>
      <c r="E262" s="159">
        <f t="shared" ref="E262:P262" si="123">E261+E260</f>
        <v>34617</v>
      </c>
      <c r="F262" s="159">
        <f t="shared" si="123"/>
        <v>0</v>
      </c>
      <c r="G262" s="159">
        <f t="shared" si="123"/>
        <v>0</v>
      </c>
      <c r="H262" s="159">
        <f t="shared" si="123"/>
        <v>0</v>
      </c>
      <c r="I262" s="159">
        <f t="shared" si="123"/>
        <v>0</v>
      </c>
      <c r="J262" s="159">
        <f t="shared" si="123"/>
        <v>0</v>
      </c>
      <c r="K262" s="159">
        <f t="shared" si="123"/>
        <v>34617</v>
      </c>
      <c r="L262" s="159">
        <f t="shared" si="123"/>
        <v>0</v>
      </c>
      <c r="M262" s="159">
        <f t="shared" si="123"/>
        <v>0</v>
      </c>
      <c r="N262" s="159">
        <f t="shared" si="123"/>
        <v>0</v>
      </c>
      <c r="O262" s="159">
        <f t="shared" si="123"/>
        <v>0</v>
      </c>
      <c r="P262" s="159">
        <f t="shared" si="123"/>
        <v>0</v>
      </c>
      <c r="Q262" s="160"/>
      <c r="R262" s="160"/>
      <c r="S262" s="160"/>
      <c r="T262" s="160"/>
      <c r="U262" s="160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1"/>
      <c r="CB262" s="151"/>
      <c r="CC262" s="151"/>
      <c r="CD262" s="151"/>
      <c r="CE262" s="151"/>
      <c r="CF262" s="151"/>
      <c r="CG262" s="151"/>
      <c r="CH262" s="151"/>
      <c r="CI262" s="151"/>
      <c r="CJ262" s="151"/>
      <c r="CK262" s="151"/>
      <c r="CL262" s="151"/>
      <c r="CM262" s="151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1"/>
      <c r="FD262" s="151"/>
      <c r="FE262" s="151"/>
      <c r="FF262" s="151"/>
      <c r="FG262" s="151"/>
      <c r="FH262" s="151"/>
      <c r="FI262" s="151"/>
      <c r="FJ262" s="151"/>
      <c r="FK262" s="151"/>
      <c r="FL262" s="151"/>
      <c r="FM262" s="151"/>
      <c r="FN262" s="151"/>
      <c r="FO262" s="151"/>
      <c r="FP262" s="151"/>
      <c r="FQ262" s="151"/>
      <c r="FR262" s="151"/>
      <c r="FS262" s="151"/>
      <c r="FT262" s="151"/>
      <c r="FU262" s="151"/>
      <c r="FV262" s="151"/>
      <c r="FW262" s="151"/>
      <c r="FX262" s="151"/>
      <c r="FY262" s="151"/>
      <c r="FZ262" s="151"/>
      <c r="GA262" s="151"/>
      <c r="GB262" s="151"/>
      <c r="GC262" s="151"/>
      <c r="GD262" s="151"/>
      <c r="GE262" s="151"/>
      <c r="GF262" s="151"/>
      <c r="GG262" s="151"/>
      <c r="GH262" s="151"/>
      <c r="GI262" s="151"/>
      <c r="GJ262" s="151"/>
      <c r="GK262" s="151"/>
      <c r="GL262" s="151"/>
      <c r="GM262" s="151"/>
      <c r="GN262" s="151"/>
      <c r="GO262" s="151"/>
      <c r="GP262" s="151"/>
      <c r="GQ262" s="151"/>
      <c r="GR262" s="151"/>
      <c r="GS262" s="151"/>
      <c r="GT262" s="151"/>
      <c r="GU262" s="151"/>
      <c r="GV262" s="151"/>
      <c r="GW262" s="151"/>
      <c r="GX262" s="151"/>
      <c r="GY262" s="151"/>
      <c r="GZ262" s="151"/>
      <c r="HA262" s="151"/>
      <c r="HB262" s="151"/>
      <c r="HC262" s="151"/>
      <c r="HD262" s="151"/>
      <c r="HE262" s="151"/>
      <c r="HF262" s="151"/>
      <c r="HG262" s="151"/>
      <c r="HH262" s="151"/>
      <c r="HI262" s="151"/>
      <c r="HJ262" s="151"/>
      <c r="HK262" s="151"/>
      <c r="HL262" s="151"/>
      <c r="HM262" s="151"/>
      <c r="HN262" s="151"/>
      <c r="HO262" s="151"/>
      <c r="HP262" s="151"/>
      <c r="HQ262" s="151"/>
      <c r="HR262" s="151"/>
      <c r="HS262" s="151"/>
      <c r="HT262" s="151"/>
      <c r="HU262" s="151"/>
      <c r="HV262" s="151"/>
      <c r="HW262" s="151"/>
      <c r="HX262" s="151"/>
      <c r="HY262" s="151"/>
      <c r="HZ262" s="151"/>
      <c r="IA262" s="151"/>
      <c r="IB262" s="151"/>
      <c r="IC262" s="151"/>
      <c r="ID262" s="151"/>
      <c r="IE262" s="151"/>
      <c r="IF262" s="151"/>
      <c r="IG262" s="151"/>
      <c r="IH262" s="151"/>
      <c r="II262" s="151"/>
      <c r="IJ262" s="151"/>
      <c r="IK262" s="151"/>
      <c r="IL262" s="151"/>
      <c r="IM262" s="151"/>
      <c r="IN262" s="151"/>
      <c r="IO262" s="151"/>
      <c r="IP262" s="151"/>
      <c r="IQ262" s="151"/>
      <c r="IR262" s="151"/>
      <c r="IS262" s="151"/>
      <c r="IT262" s="151"/>
      <c r="IU262" s="151"/>
      <c r="IV262" s="151"/>
    </row>
    <row r="263" spans="1:256" hidden="1">
      <c r="A263" s="823">
        <v>85205</v>
      </c>
      <c r="B263" s="826" t="s">
        <v>257</v>
      </c>
      <c r="C263" s="157" t="s">
        <v>0</v>
      </c>
      <c r="D263" s="158">
        <f t="shared" ref="D263:D273" si="124">E263+M263</f>
        <v>790000</v>
      </c>
      <c r="E263" s="159">
        <f t="shared" ref="E263:E273" si="125">F263+I263+J263+K263+L263</f>
        <v>790000</v>
      </c>
      <c r="F263" s="159">
        <f t="shared" ref="F263:F273" si="126">G263+H263</f>
        <v>715000</v>
      </c>
      <c r="G263" s="159">
        <v>195911</v>
      </c>
      <c r="H263" s="159">
        <v>519089</v>
      </c>
      <c r="I263" s="159">
        <v>75000</v>
      </c>
      <c r="J263" s="159">
        <v>0</v>
      </c>
      <c r="K263" s="159">
        <v>0</v>
      </c>
      <c r="L263" s="159">
        <v>0</v>
      </c>
      <c r="M263" s="159">
        <f t="shared" ref="M263:M273" si="127">N263+P263</f>
        <v>0</v>
      </c>
      <c r="N263" s="159">
        <v>0</v>
      </c>
      <c r="O263" s="159">
        <v>0</v>
      </c>
      <c r="P263" s="159">
        <v>0</v>
      </c>
      <c r="Q263" s="160"/>
      <c r="R263" s="160"/>
      <c r="S263" s="160"/>
      <c r="T263" s="160"/>
      <c r="U263" s="160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1"/>
      <c r="BN263" s="151"/>
      <c r="BO263" s="151"/>
      <c r="BP263" s="151"/>
      <c r="BQ263" s="151"/>
      <c r="BR263" s="151"/>
      <c r="BS263" s="151"/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51"/>
      <c r="CF263" s="151"/>
      <c r="CG263" s="151"/>
      <c r="CH263" s="151"/>
      <c r="CI263" s="151"/>
      <c r="CJ263" s="151"/>
      <c r="CK263" s="151"/>
      <c r="CL263" s="151"/>
      <c r="CM263" s="151"/>
      <c r="CN263" s="151"/>
      <c r="CO263" s="151"/>
      <c r="CP263" s="151"/>
      <c r="CQ263" s="151"/>
      <c r="CR263" s="151"/>
      <c r="CS263" s="151"/>
      <c r="CT263" s="151"/>
      <c r="CU263" s="151"/>
      <c r="CV263" s="151"/>
      <c r="CW263" s="151"/>
      <c r="CX263" s="151"/>
      <c r="CY263" s="151"/>
      <c r="CZ263" s="151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51"/>
      <c r="DM263" s="151"/>
      <c r="DN263" s="151"/>
      <c r="DO263" s="151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  <c r="EB263" s="151"/>
      <c r="EC263" s="151"/>
      <c r="ED263" s="151"/>
      <c r="EE263" s="151"/>
      <c r="EF263" s="151"/>
      <c r="EG263" s="151"/>
      <c r="EH263" s="151"/>
      <c r="EI263" s="151"/>
      <c r="EJ263" s="151"/>
      <c r="EK263" s="151"/>
      <c r="EL263" s="151"/>
      <c r="EM263" s="151"/>
      <c r="EN263" s="151"/>
      <c r="EO263" s="151"/>
      <c r="EP263" s="151"/>
      <c r="EQ263" s="151"/>
      <c r="ER263" s="151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1"/>
      <c r="FQ263" s="151"/>
      <c r="FR263" s="151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  <c r="GD263" s="151"/>
      <c r="GE263" s="151"/>
      <c r="GF263" s="151"/>
      <c r="GG263" s="151"/>
      <c r="GH263" s="151"/>
      <c r="GI263" s="151"/>
      <c r="GJ263" s="151"/>
      <c r="GK263" s="151"/>
      <c r="GL263" s="151"/>
      <c r="GM263" s="151"/>
      <c r="GN263" s="151"/>
      <c r="GO263" s="151"/>
      <c r="GP263" s="151"/>
      <c r="GQ263" s="151"/>
      <c r="GR263" s="151"/>
      <c r="GS263" s="151"/>
      <c r="GT263" s="151"/>
      <c r="GU263" s="151"/>
      <c r="GV263" s="151"/>
      <c r="GW263" s="151"/>
      <c r="GX263" s="151"/>
      <c r="GY263" s="151"/>
      <c r="GZ263" s="151"/>
      <c r="HA263" s="151"/>
      <c r="HB263" s="151"/>
      <c r="HC263" s="151"/>
      <c r="HD263" s="151"/>
      <c r="HE263" s="151"/>
      <c r="HF263" s="151"/>
      <c r="HG263" s="151"/>
      <c r="HH263" s="151"/>
      <c r="HI263" s="151"/>
      <c r="HJ263" s="151"/>
      <c r="HK263" s="151"/>
      <c r="HL263" s="151"/>
      <c r="HM263" s="151"/>
      <c r="HN263" s="151"/>
      <c r="HO263" s="151"/>
      <c r="HP263" s="151"/>
      <c r="HQ263" s="151"/>
      <c r="HR263" s="151"/>
      <c r="HS263" s="151"/>
      <c r="HT263" s="151"/>
      <c r="HU263" s="151"/>
      <c r="HV263" s="151"/>
      <c r="HW263" s="151"/>
      <c r="HX263" s="151"/>
      <c r="HY263" s="151"/>
      <c r="HZ263" s="151"/>
      <c r="IA263" s="151"/>
      <c r="IB263" s="151"/>
      <c r="IC263" s="151"/>
      <c r="ID263" s="151"/>
      <c r="IE263" s="151"/>
      <c r="IF263" s="151"/>
      <c r="IG263" s="151"/>
      <c r="IH263" s="151"/>
      <c r="II263" s="151"/>
      <c r="IJ263" s="151"/>
      <c r="IK263" s="151"/>
      <c r="IL263" s="151"/>
      <c r="IM263" s="151"/>
      <c r="IN263" s="151"/>
      <c r="IO263" s="151"/>
      <c r="IP263" s="151"/>
      <c r="IQ263" s="151"/>
      <c r="IR263" s="151"/>
      <c r="IS263" s="151"/>
      <c r="IT263" s="151"/>
      <c r="IU263" s="151"/>
      <c r="IV263" s="151"/>
    </row>
    <row r="264" spans="1:256" hidden="1">
      <c r="A264" s="824"/>
      <c r="B264" s="827"/>
      <c r="C264" s="157" t="s">
        <v>1</v>
      </c>
      <c r="D264" s="158">
        <f t="shared" si="124"/>
        <v>0</v>
      </c>
      <c r="E264" s="159">
        <f t="shared" si="125"/>
        <v>0</v>
      </c>
      <c r="F264" s="159">
        <f t="shared" si="126"/>
        <v>0</v>
      </c>
      <c r="G264" s="159"/>
      <c r="H264" s="159"/>
      <c r="I264" s="159"/>
      <c r="J264" s="159"/>
      <c r="K264" s="159"/>
      <c r="L264" s="159"/>
      <c r="M264" s="159">
        <f t="shared" si="127"/>
        <v>0</v>
      </c>
      <c r="N264" s="159"/>
      <c r="O264" s="159"/>
      <c r="P264" s="159"/>
      <c r="Q264" s="160"/>
      <c r="R264" s="160"/>
      <c r="S264" s="160"/>
      <c r="T264" s="160"/>
      <c r="U264" s="160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1"/>
      <c r="CM264" s="151"/>
      <c r="CN264" s="151"/>
      <c r="CO264" s="151"/>
      <c r="CP264" s="151"/>
      <c r="CQ264" s="151"/>
      <c r="CR264" s="151"/>
      <c r="CS264" s="151"/>
      <c r="CT264" s="151"/>
      <c r="CU264" s="151"/>
      <c r="CV264" s="151"/>
      <c r="CW264" s="151"/>
      <c r="CX264" s="151"/>
      <c r="CY264" s="151"/>
      <c r="CZ264" s="151"/>
      <c r="DA264" s="151"/>
      <c r="DB264" s="151"/>
      <c r="DC264" s="151"/>
      <c r="DD264" s="151"/>
      <c r="DE264" s="151"/>
      <c r="DF264" s="151"/>
      <c r="DG264" s="151"/>
      <c r="DH264" s="151"/>
      <c r="DI264" s="151"/>
      <c r="DJ264" s="151"/>
      <c r="DK264" s="151"/>
      <c r="DL264" s="151"/>
      <c r="DM264" s="151"/>
      <c r="DN264" s="151"/>
      <c r="DO264" s="151"/>
      <c r="DP264" s="151"/>
      <c r="DQ264" s="151"/>
      <c r="DR264" s="151"/>
      <c r="DS264" s="151"/>
      <c r="DT264" s="151"/>
      <c r="DU264" s="151"/>
      <c r="DV264" s="151"/>
      <c r="DW264" s="151"/>
      <c r="DX264" s="151"/>
      <c r="DY264" s="151"/>
      <c r="DZ264" s="151"/>
      <c r="EA264" s="151"/>
      <c r="EB264" s="151"/>
      <c r="EC264" s="151"/>
      <c r="ED264" s="151"/>
      <c r="EE264" s="151"/>
      <c r="EF264" s="151"/>
      <c r="EG264" s="151"/>
      <c r="EH264" s="151"/>
      <c r="EI264" s="151"/>
      <c r="EJ264" s="151"/>
      <c r="EK264" s="151"/>
      <c r="EL264" s="151"/>
      <c r="EM264" s="151"/>
      <c r="EN264" s="151"/>
      <c r="EO264" s="151"/>
      <c r="EP264" s="151"/>
      <c r="EQ264" s="151"/>
      <c r="ER264" s="151"/>
      <c r="ES264" s="151"/>
      <c r="ET264" s="151"/>
      <c r="EU264" s="151"/>
      <c r="EV264" s="151"/>
      <c r="EW264" s="151"/>
      <c r="EX264" s="151"/>
      <c r="EY264" s="151"/>
      <c r="EZ264" s="151"/>
      <c r="FA264" s="151"/>
      <c r="FB264" s="151"/>
      <c r="FC264" s="151"/>
      <c r="FD264" s="151"/>
      <c r="FE264" s="151"/>
      <c r="FF264" s="151"/>
      <c r="FG264" s="151"/>
      <c r="FH264" s="151"/>
      <c r="FI264" s="151"/>
      <c r="FJ264" s="151"/>
      <c r="FK264" s="151"/>
      <c r="FL264" s="151"/>
      <c r="FM264" s="151"/>
      <c r="FN264" s="151"/>
      <c r="FO264" s="151"/>
      <c r="FP264" s="151"/>
      <c r="FQ264" s="151"/>
      <c r="FR264" s="151"/>
      <c r="FS264" s="151"/>
      <c r="FT264" s="151"/>
      <c r="FU264" s="151"/>
      <c r="FV264" s="151"/>
      <c r="FW264" s="151"/>
      <c r="FX264" s="151"/>
      <c r="FY264" s="151"/>
      <c r="FZ264" s="151"/>
      <c r="GA264" s="151"/>
      <c r="GB264" s="151"/>
      <c r="GC264" s="151"/>
      <c r="GD264" s="151"/>
      <c r="GE264" s="151"/>
      <c r="GF264" s="151"/>
      <c r="GG264" s="151"/>
      <c r="GH264" s="151"/>
      <c r="GI264" s="151"/>
      <c r="GJ264" s="151"/>
      <c r="GK264" s="151"/>
      <c r="GL264" s="151"/>
      <c r="GM264" s="151"/>
      <c r="GN264" s="151"/>
      <c r="GO264" s="151"/>
      <c r="GP264" s="151"/>
      <c r="GQ264" s="151"/>
      <c r="GR264" s="151"/>
      <c r="GS264" s="151"/>
      <c r="GT264" s="151"/>
      <c r="GU264" s="151"/>
      <c r="GV264" s="151"/>
      <c r="GW264" s="151"/>
      <c r="GX264" s="151"/>
      <c r="GY264" s="151"/>
      <c r="GZ264" s="151"/>
      <c r="HA264" s="151"/>
      <c r="HB264" s="151"/>
      <c r="HC264" s="151"/>
      <c r="HD264" s="151"/>
      <c r="HE264" s="151"/>
      <c r="HF264" s="151"/>
      <c r="HG264" s="151"/>
      <c r="HH264" s="151"/>
      <c r="HI264" s="151"/>
      <c r="HJ264" s="151"/>
      <c r="HK264" s="151"/>
      <c r="HL264" s="151"/>
      <c r="HM264" s="151"/>
      <c r="HN264" s="151"/>
      <c r="HO264" s="151"/>
      <c r="HP264" s="151"/>
      <c r="HQ264" s="151"/>
      <c r="HR264" s="151"/>
      <c r="HS264" s="151"/>
      <c r="HT264" s="151"/>
      <c r="HU264" s="151"/>
      <c r="HV264" s="151"/>
      <c r="HW264" s="151"/>
      <c r="HX264" s="151"/>
      <c r="HY264" s="151"/>
      <c r="HZ264" s="151"/>
      <c r="IA264" s="151"/>
      <c r="IB264" s="151"/>
      <c r="IC264" s="151"/>
      <c r="ID264" s="151"/>
      <c r="IE264" s="151"/>
      <c r="IF264" s="151"/>
      <c r="IG264" s="151"/>
      <c r="IH264" s="151"/>
      <c r="II264" s="151"/>
      <c r="IJ264" s="151"/>
      <c r="IK264" s="151"/>
      <c r="IL264" s="151"/>
      <c r="IM264" s="151"/>
      <c r="IN264" s="151"/>
      <c r="IO264" s="151"/>
      <c r="IP264" s="151"/>
      <c r="IQ264" s="151"/>
      <c r="IR264" s="151"/>
      <c r="IS264" s="151"/>
      <c r="IT264" s="151"/>
      <c r="IU264" s="151"/>
      <c r="IV264" s="151"/>
    </row>
    <row r="265" spans="1:256" hidden="1">
      <c r="A265" s="825"/>
      <c r="B265" s="828"/>
      <c r="C265" s="157" t="s">
        <v>2</v>
      </c>
      <c r="D265" s="158">
        <f>D264+D263</f>
        <v>790000</v>
      </c>
      <c r="E265" s="159">
        <f t="shared" ref="E265:P265" si="128">E264+E263</f>
        <v>790000</v>
      </c>
      <c r="F265" s="159">
        <f t="shared" si="128"/>
        <v>715000</v>
      </c>
      <c r="G265" s="159">
        <f t="shared" si="128"/>
        <v>195911</v>
      </c>
      <c r="H265" s="159">
        <f t="shared" si="128"/>
        <v>519089</v>
      </c>
      <c r="I265" s="159">
        <f t="shared" si="128"/>
        <v>75000</v>
      </c>
      <c r="J265" s="159">
        <f t="shared" si="128"/>
        <v>0</v>
      </c>
      <c r="K265" s="159">
        <f t="shared" si="128"/>
        <v>0</v>
      </c>
      <c r="L265" s="159">
        <f t="shared" si="128"/>
        <v>0</v>
      </c>
      <c r="M265" s="159">
        <f t="shared" si="128"/>
        <v>0</v>
      </c>
      <c r="N265" s="159">
        <f t="shared" si="128"/>
        <v>0</v>
      </c>
      <c r="O265" s="159">
        <f t="shared" si="128"/>
        <v>0</v>
      </c>
      <c r="P265" s="159">
        <f t="shared" si="128"/>
        <v>0</v>
      </c>
      <c r="Q265" s="160"/>
      <c r="R265" s="160"/>
      <c r="S265" s="160"/>
      <c r="T265" s="160"/>
      <c r="U265" s="160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1"/>
      <c r="BN265" s="151"/>
      <c r="BO265" s="151"/>
      <c r="BP265" s="151"/>
      <c r="BQ265" s="151"/>
      <c r="BR265" s="151"/>
      <c r="BS265" s="151"/>
      <c r="BT265" s="151"/>
      <c r="BU265" s="151"/>
      <c r="BV265" s="151"/>
      <c r="BW265" s="151"/>
      <c r="BX265" s="151"/>
      <c r="BY265" s="151"/>
      <c r="BZ265" s="151"/>
      <c r="CA265" s="151"/>
      <c r="CB265" s="151"/>
      <c r="CC265" s="151"/>
      <c r="CD265" s="151"/>
      <c r="CE265" s="151"/>
      <c r="CF265" s="151"/>
      <c r="CG265" s="151"/>
      <c r="CH265" s="151"/>
      <c r="CI265" s="151"/>
      <c r="CJ265" s="151"/>
      <c r="CK265" s="151"/>
      <c r="CL265" s="151"/>
      <c r="CM265" s="151"/>
      <c r="CN265" s="151"/>
      <c r="CO265" s="151"/>
      <c r="CP265" s="151"/>
      <c r="CQ265" s="151"/>
      <c r="CR265" s="151"/>
      <c r="CS265" s="151"/>
      <c r="CT265" s="151"/>
      <c r="CU265" s="151"/>
      <c r="CV265" s="151"/>
      <c r="CW265" s="151"/>
      <c r="CX265" s="151"/>
      <c r="CY265" s="151"/>
      <c r="CZ265" s="151"/>
      <c r="DA265" s="151"/>
      <c r="DB265" s="151"/>
      <c r="DC265" s="151"/>
      <c r="DD265" s="151"/>
      <c r="DE265" s="151"/>
      <c r="DF265" s="151"/>
      <c r="DG265" s="151"/>
      <c r="DH265" s="151"/>
      <c r="DI265" s="151"/>
      <c r="DJ265" s="151"/>
      <c r="DK265" s="151"/>
      <c r="DL265" s="151"/>
      <c r="DM265" s="151"/>
      <c r="DN265" s="151"/>
      <c r="DO265" s="151"/>
      <c r="DP265" s="151"/>
      <c r="DQ265" s="151"/>
      <c r="DR265" s="151"/>
      <c r="DS265" s="151"/>
      <c r="DT265" s="151"/>
      <c r="DU265" s="151"/>
      <c r="DV265" s="151"/>
      <c r="DW265" s="151"/>
      <c r="DX265" s="151"/>
      <c r="DY265" s="151"/>
      <c r="DZ265" s="151"/>
      <c r="EA265" s="151"/>
      <c r="EB265" s="151"/>
      <c r="EC265" s="151"/>
      <c r="ED265" s="151"/>
      <c r="EE265" s="151"/>
      <c r="EF265" s="151"/>
      <c r="EG265" s="151"/>
      <c r="EH265" s="151"/>
      <c r="EI265" s="151"/>
      <c r="EJ265" s="151"/>
      <c r="EK265" s="151"/>
      <c r="EL265" s="151"/>
      <c r="EM265" s="151"/>
      <c r="EN265" s="151"/>
      <c r="EO265" s="151"/>
      <c r="EP265" s="151"/>
      <c r="EQ265" s="151"/>
      <c r="ER265" s="151"/>
      <c r="ES265" s="151"/>
      <c r="ET265" s="151"/>
      <c r="EU265" s="151"/>
      <c r="EV265" s="151"/>
      <c r="EW265" s="151"/>
      <c r="EX265" s="151"/>
      <c r="EY265" s="151"/>
      <c r="EZ265" s="151"/>
      <c r="FA265" s="151"/>
      <c r="FB265" s="151"/>
      <c r="FC265" s="151"/>
      <c r="FD265" s="151"/>
      <c r="FE265" s="151"/>
      <c r="FF265" s="151"/>
      <c r="FG265" s="151"/>
      <c r="FH265" s="151"/>
      <c r="FI265" s="151"/>
      <c r="FJ265" s="151"/>
      <c r="FK265" s="151"/>
      <c r="FL265" s="151"/>
      <c r="FM265" s="151"/>
      <c r="FN265" s="151"/>
      <c r="FO265" s="151"/>
      <c r="FP265" s="151"/>
      <c r="FQ265" s="151"/>
      <c r="FR265" s="151"/>
      <c r="FS265" s="151"/>
      <c r="FT265" s="151"/>
      <c r="FU265" s="151"/>
      <c r="FV265" s="151"/>
      <c r="FW265" s="151"/>
      <c r="FX265" s="151"/>
      <c r="FY265" s="151"/>
      <c r="FZ265" s="151"/>
      <c r="GA265" s="151"/>
      <c r="GB265" s="151"/>
      <c r="GC265" s="151"/>
      <c r="GD265" s="151"/>
      <c r="GE265" s="151"/>
      <c r="GF265" s="151"/>
      <c r="GG265" s="151"/>
      <c r="GH265" s="151"/>
      <c r="GI265" s="151"/>
      <c r="GJ265" s="151"/>
      <c r="GK265" s="151"/>
      <c r="GL265" s="151"/>
      <c r="GM265" s="151"/>
      <c r="GN265" s="151"/>
      <c r="GO265" s="151"/>
      <c r="GP265" s="151"/>
      <c r="GQ265" s="151"/>
      <c r="GR265" s="151"/>
      <c r="GS265" s="151"/>
      <c r="GT265" s="151"/>
      <c r="GU265" s="151"/>
      <c r="GV265" s="151"/>
      <c r="GW265" s="151"/>
      <c r="GX265" s="151"/>
      <c r="GY265" s="151"/>
      <c r="GZ265" s="151"/>
      <c r="HA265" s="151"/>
      <c r="HB265" s="151"/>
      <c r="HC265" s="151"/>
      <c r="HD265" s="151"/>
      <c r="HE265" s="151"/>
      <c r="HF265" s="151"/>
      <c r="HG265" s="151"/>
      <c r="HH265" s="151"/>
      <c r="HI265" s="151"/>
      <c r="HJ265" s="151"/>
      <c r="HK265" s="151"/>
      <c r="HL265" s="151"/>
      <c r="HM265" s="151"/>
      <c r="HN265" s="151"/>
      <c r="HO265" s="151"/>
      <c r="HP265" s="151"/>
      <c r="HQ265" s="151"/>
      <c r="HR265" s="151"/>
      <c r="HS265" s="151"/>
      <c r="HT265" s="151"/>
      <c r="HU265" s="151"/>
      <c r="HV265" s="151"/>
      <c r="HW265" s="151"/>
      <c r="HX265" s="151"/>
      <c r="HY265" s="151"/>
      <c r="HZ265" s="151"/>
      <c r="IA265" s="151"/>
      <c r="IB265" s="151"/>
      <c r="IC265" s="151"/>
      <c r="ID265" s="151"/>
      <c r="IE265" s="151"/>
      <c r="IF265" s="151"/>
      <c r="IG265" s="151"/>
      <c r="IH265" s="151"/>
      <c r="II265" s="151"/>
      <c r="IJ265" s="151"/>
      <c r="IK265" s="151"/>
      <c r="IL265" s="151"/>
      <c r="IM265" s="151"/>
      <c r="IN265" s="151"/>
      <c r="IO265" s="151"/>
      <c r="IP265" s="151"/>
      <c r="IQ265" s="151"/>
      <c r="IR265" s="151"/>
      <c r="IS265" s="151"/>
      <c r="IT265" s="151"/>
      <c r="IU265" s="151"/>
      <c r="IV265" s="151"/>
    </row>
    <row r="266" spans="1:256" hidden="1">
      <c r="A266" s="823">
        <v>85217</v>
      </c>
      <c r="B266" s="826" t="s">
        <v>258</v>
      </c>
      <c r="C266" s="157" t="s">
        <v>0</v>
      </c>
      <c r="D266" s="158">
        <f t="shared" si="124"/>
        <v>6941381</v>
      </c>
      <c r="E266" s="159">
        <f t="shared" si="125"/>
        <v>6353551</v>
      </c>
      <c r="F266" s="159">
        <f t="shared" si="126"/>
        <v>6243819</v>
      </c>
      <c r="G266" s="159">
        <v>4515267</v>
      </c>
      <c r="H266" s="159">
        <f>6687369-4120-3504870-266102-600303-86210-5000-52782-266830-172600</f>
        <v>1728552</v>
      </c>
      <c r="I266" s="159">
        <v>0</v>
      </c>
      <c r="J266" s="159">
        <v>4120</v>
      </c>
      <c r="K266" s="159">
        <v>105612</v>
      </c>
      <c r="L266" s="159">
        <v>0</v>
      </c>
      <c r="M266" s="159">
        <f t="shared" si="127"/>
        <v>587830</v>
      </c>
      <c r="N266" s="159">
        <v>587830</v>
      </c>
      <c r="O266" s="159">
        <v>0</v>
      </c>
      <c r="P266" s="159">
        <v>0</v>
      </c>
      <c r="Q266" s="166"/>
      <c r="R266" s="166"/>
      <c r="S266" s="166"/>
      <c r="T266" s="166"/>
      <c r="U266" s="166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</row>
    <row r="267" spans="1:256" hidden="1">
      <c r="A267" s="824"/>
      <c r="B267" s="827"/>
      <c r="C267" s="157" t="s">
        <v>1</v>
      </c>
      <c r="D267" s="158">
        <f t="shared" si="124"/>
        <v>0</v>
      </c>
      <c r="E267" s="159">
        <f t="shared" si="125"/>
        <v>0</v>
      </c>
      <c r="F267" s="159">
        <f t="shared" si="126"/>
        <v>0</v>
      </c>
      <c r="G267" s="159"/>
      <c r="H267" s="159"/>
      <c r="I267" s="159"/>
      <c r="J267" s="159"/>
      <c r="K267" s="159"/>
      <c r="L267" s="159"/>
      <c r="M267" s="159">
        <f t="shared" si="127"/>
        <v>0</v>
      </c>
      <c r="N267" s="159"/>
      <c r="O267" s="159"/>
      <c r="P267" s="159"/>
      <c r="Q267" s="166"/>
      <c r="R267" s="166"/>
      <c r="S267" s="166"/>
      <c r="T267" s="166"/>
      <c r="U267" s="166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</row>
    <row r="268" spans="1:256" hidden="1">
      <c r="A268" s="825"/>
      <c r="B268" s="828"/>
      <c r="C268" s="157" t="s">
        <v>2</v>
      </c>
      <c r="D268" s="158">
        <f>D267+D266</f>
        <v>6941381</v>
      </c>
      <c r="E268" s="159">
        <f t="shared" ref="E268:P268" si="129">E267+E266</f>
        <v>6353551</v>
      </c>
      <c r="F268" s="159">
        <f t="shared" si="129"/>
        <v>6243819</v>
      </c>
      <c r="G268" s="159">
        <f t="shared" si="129"/>
        <v>4515267</v>
      </c>
      <c r="H268" s="159">
        <f t="shared" si="129"/>
        <v>1728552</v>
      </c>
      <c r="I268" s="159">
        <f t="shared" si="129"/>
        <v>0</v>
      </c>
      <c r="J268" s="159">
        <f t="shared" si="129"/>
        <v>4120</v>
      </c>
      <c r="K268" s="159">
        <f t="shared" si="129"/>
        <v>105612</v>
      </c>
      <c r="L268" s="159">
        <f t="shared" si="129"/>
        <v>0</v>
      </c>
      <c r="M268" s="159">
        <f t="shared" si="129"/>
        <v>587830</v>
      </c>
      <c r="N268" s="159">
        <f t="shared" si="129"/>
        <v>587830</v>
      </c>
      <c r="O268" s="159">
        <f t="shared" si="129"/>
        <v>0</v>
      </c>
      <c r="P268" s="159">
        <f t="shared" si="129"/>
        <v>0</v>
      </c>
      <c r="Q268" s="166"/>
      <c r="R268" s="166"/>
      <c r="S268" s="166"/>
      <c r="T268" s="166"/>
      <c r="U268" s="166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</row>
    <row r="269" spans="1:256" hidden="1">
      <c r="A269" s="823">
        <v>85231</v>
      </c>
      <c r="B269" s="826" t="s">
        <v>259</v>
      </c>
      <c r="C269" s="157" t="s">
        <v>0</v>
      </c>
      <c r="D269" s="158">
        <f t="shared" si="124"/>
        <v>800000</v>
      </c>
      <c r="E269" s="159">
        <f t="shared" si="125"/>
        <v>800000</v>
      </c>
      <c r="F269" s="159">
        <f t="shared" si="126"/>
        <v>800000</v>
      </c>
      <c r="G269" s="159">
        <v>0</v>
      </c>
      <c r="H269" s="159">
        <v>800000</v>
      </c>
      <c r="I269" s="159">
        <v>0</v>
      </c>
      <c r="J269" s="159">
        <v>0</v>
      </c>
      <c r="K269" s="159">
        <v>0</v>
      </c>
      <c r="L269" s="159">
        <v>0</v>
      </c>
      <c r="M269" s="159">
        <f t="shared" si="127"/>
        <v>0</v>
      </c>
      <c r="N269" s="159">
        <v>0</v>
      </c>
      <c r="O269" s="159">
        <v>0</v>
      </c>
      <c r="P269" s="159">
        <v>0</v>
      </c>
      <c r="Q269" s="166"/>
      <c r="R269" s="166"/>
      <c r="S269" s="166"/>
      <c r="T269" s="166"/>
      <c r="U269" s="166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  <c r="DS269" s="130"/>
      <c r="DT269" s="130"/>
      <c r="DU269" s="130"/>
      <c r="DV269" s="130"/>
      <c r="DW269" s="130"/>
      <c r="DX269" s="130"/>
      <c r="DY269" s="130"/>
      <c r="DZ269" s="130"/>
      <c r="EA269" s="130"/>
      <c r="EB269" s="130"/>
      <c r="EC269" s="130"/>
      <c r="ED269" s="130"/>
      <c r="EE269" s="130"/>
      <c r="EF269" s="130"/>
      <c r="EG269" s="130"/>
      <c r="EH269" s="130"/>
      <c r="EI269" s="130"/>
      <c r="EJ269" s="130"/>
      <c r="EK269" s="130"/>
      <c r="EL269" s="130"/>
      <c r="EM269" s="130"/>
      <c r="EN269" s="130"/>
      <c r="EO269" s="130"/>
      <c r="EP269" s="130"/>
      <c r="EQ269" s="130"/>
      <c r="ER269" s="130"/>
      <c r="ES269" s="130"/>
      <c r="ET269" s="130"/>
      <c r="EU269" s="130"/>
      <c r="EV269" s="130"/>
      <c r="EW269" s="130"/>
      <c r="EX269" s="130"/>
      <c r="EY269" s="130"/>
      <c r="EZ269" s="130"/>
      <c r="FA269" s="130"/>
      <c r="FB269" s="130"/>
      <c r="FC269" s="130"/>
      <c r="FD269" s="130"/>
      <c r="FE269" s="130"/>
      <c r="FF269" s="130"/>
      <c r="FG269" s="130"/>
      <c r="FH269" s="130"/>
      <c r="FI269" s="130"/>
      <c r="FJ269" s="130"/>
      <c r="FK269" s="130"/>
      <c r="FL269" s="130"/>
      <c r="FM269" s="130"/>
      <c r="FN269" s="130"/>
      <c r="FO269" s="130"/>
      <c r="FP269" s="130"/>
      <c r="FQ269" s="130"/>
      <c r="FR269" s="130"/>
      <c r="FS269" s="130"/>
      <c r="FT269" s="130"/>
      <c r="FU269" s="130"/>
      <c r="FV269" s="130"/>
      <c r="FW269" s="130"/>
      <c r="FX269" s="130"/>
      <c r="FY269" s="130"/>
      <c r="FZ269" s="130"/>
      <c r="GA269" s="130"/>
      <c r="GB269" s="130"/>
      <c r="GC269" s="130"/>
      <c r="GD269" s="130"/>
      <c r="GE269" s="130"/>
      <c r="GF269" s="130"/>
      <c r="GG269" s="130"/>
      <c r="GH269" s="130"/>
      <c r="GI269" s="130"/>
      <c r="GJ269" s="130"/>
      <c r="GK269" s="130"/>
      <c r="GL269" s="130"/>
      <c r="GM269" s="130"/>
      <c r="GN269" s="130"/>
      <c r="GO269" s="130"/>
      <c r="GP269" s="130"/>
      <c r="GQ269" s="130"/>
      <c r="GR269" s="130"/>
      <c r="GS269" s="130"/>
      <c r="GT269" s="130"/>
      <c r="GU269" s="130"/>
      <c r="GV269" s="130"/>
      <c r="GW269" s="130"/>
      <c r="GX269" s="130"/>
      <c r="GY269" s="130"/>
      <c r="GZ269" s="130"/>
      <c r="HA269" s="130"/>
      <c r="HB269" s="130"/>
      <c r="HC269" s="130"/>
      <c r="HD269" s="130"/>
      <c r="HE269" s="130"/>
      <c r="HF269" s="130"/>
      <c r="HG269" s="130"/>
      <c r="HH269" s="130"/>
      <c r="HI269" s="130"/>
      <c r="HJ269" s="130"/>
      <c r="HK269" s="130"/>
      <c r="HL269" s="130"/>
      <c r="HM269" s="130"/>
      <c r="HN269" s="130"/>
      <c r="HO269" s="130"/>
      <c r="HP269" s="130"/>
      <c r="HQ269" s="130"/>
      <c r="HR269" s="130"/>
      <c r="HS269" s="130"/>
      <c r="HT269" s="130"/>
      <c r="HU269" s="130"/>
      <c r="HV269" s="130"/>
      <c r="HW269" s="130"/>
      <c r="HX269" s="130"/>
      <c r="HY269" s="130"/>
      <c r="HZ269" s="130"/>
      <c r="IA269" s="130"/>
      <c r="IB269" s="130"/>
      <c r="IC269" s="130"/>
      <c r="ID269" s="130"/>
      <c r="IE269" s="130"/>
      <c r="IF269" s="130"/>
      <c r="IG269" s="130"/>
      <c r="IH269" s="130"/>
      <c r="II269" s="130"/>
      <c r="IJ269" s="130"/>
      <c r="IK269" s="130"/>
      <c r="IL269" s="130"/>
      <c r="IM269" s="130"/>
      <c r="IN269" s="130"/>
      <c r="IO269" s="130"/>
      <c r="IP269" s="130"/>
      <c r="IQ269" s="130"/>
      <c r="IR269" s="130"/>
      <c r="IS269" s="130"/>
      <c r="IT269" s="130"/>
      <c r="IU269" s="130"/>
      <c r="IV269" s="130"/>
    </row>
    <row r="270" spans="1:256" hidden="1">
      <c r="A270" s="824"/>
      <c r="B270" s="827"/>
      <c r="C270" s="157" t="s">
        <v>1</v>
      </c>
      <c r="D270" s="158">
        <f t="shared" si="124"/>
        <v>0</v>
      </c>
      <c r="E270" s="159">
        <f t="shared" si="125"/>
        <v>0</v>
      </c>
      <c r="F270" s="159">
        <f t="shared" si="126"/>
        <v>0</v>
      </c>
      <c r="G270" s="159"/>
      <c r="H270" s="159"/>
      <c r="I270" s="159"/>
      <c r="J270" s="159"/>
      <c r="K270" s="159"/>
      <c r="L270" s="159"/>
      <c r="M270" s="159">
        <f t="shared" si="127"/>
        <v>0</v>
      </c>
      <c r="N270" s="159"/>
      <c r="O270" s="159"/>
      <c r="P270" s="159"/>
      <c r="Q270" s="166"/>
      <c r="R270" s="166"/>
      <c r="S270" s="166"/>
      <c r="T270" s="166"/>
      <c r="U270" s="166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  <c r="DS270" s="130"/>
      <c r="DT270" s="130"/>
      <c r="DU270" s="130"/>
      <c r="DV270" s="130"/>
      <c r="DW270" s="130"/>
      <c r="DX270" s="130"/>
      <c r="DY270" s="130"/>
      <c r="DZ270" s="130"/>
      <c r="EA270" s="130"/>
      <c r="EB270" s="130"/>
      <c r="EC270" s="130"/>
      <c r="ED270" s="130"/>
      <c r="EE270" s="130"/>
      <c r="EF270" s="130"/>
      <c r="EG270" s="130"/>
      <c r="EH270" s="130"/>
      <c r="EI270" s="130"/>
      <c r="EJ270" s="130"/>
      <c r="EK270" s="130"/>
      <c r="EL270" s="130"/>
      <c r="EM270" s="130"/>
      <c r="EN270" s="130"/>
      <c r="EO270" s="130"/>
      <c r="EP270" s="130"/>
      <c r="EQ270" s="130"/>
      <c r="ER270" s="130"/>
      <c r="ES270" s="130"/>
      <c r="ET270" s="130"/>
      <c r="EU270" s="130"/>
      <c r="EV270" s="130"/>
      <c r="EW270" s="130"/>
      <c r="EX270" s="130"/>
      <c r="EY270" s="130"/>
      <c r="EZ270" s="130"/>
      <c r="FA270" s="130"/>
      <c r="FB270" s="130"/>
      <c r="FC270" s="130"/>
      <c r="FD270" s="130"/>
      <c r="FE270" s="130"/>
      <c r="FF270" s="130"/>
      <c r="FG270" s="130"/>
      <c r="FH270" s="130"/>
      <c r="FI270" s="130"/>
      <c r="FJ270" s="130"/>
      <c r="FK270" s="130"/>
      <c r="FL270" s="130"/>
      <c r="FM270" s="130"/>
      <c r="FN270" s="130"/>
      <c r="FO270" s="130"/>
      <c r="FP270" s="130"/>
      <c r="FQ270" s="130"/>
      <c r="FR270" s="130"/>
      <c r="FS270" s="130"/>
      <c r="FT270" s="130"/>
      <c r="FU270" s="130"/>
      <c r="FV270" s="130"/>
      <c r="FW270" s="130"/>
      <c r="FX270" s="130"/>
      <c r="FY270" s="130"/>
      <c r="FZ270" s="130"/>
      <c r="GA270" s="130"/>
      <c r="GB270" s="130"/>
      <c r="GC270" s="130"/>
      <c r="GD270" s="130"/>
      <c r="GE270" s="130"/>
      <c r="GF270" s="130"/>
      <c r="GG270" s="130"/>
      <c r="GH270" s="130"/>
      <c r="GI270" s="130"/>
      <c r="GJ270" s="130"/>
      <c r="GK270" s="130"/>
      <c r="GL270" s="130"/>
      <c r="GM270" s="130"/>
      <c r="GN270" s="130"/>
      <c r="GO270" s="130"/>
      <c r="GP270" s="130"/>
      <c r="GQ270" s="130"/>
      <c r="GR270" s="130"/>
      <c r="GS270" s="130"/>
      <c r="GT270" s="130"/>
      <c r="GU270" s="130"/>
      <c r="GV270" s="130"/>
      <c r="GW270" s="130"/>
      <c r="GX270" s="130"/>
      <c r="GY270" s="130"/>
      <c r="GZ270" s="130"/>
      <c r="HA270" s="130"/>
      <c r="HB270" s="130"/>
      <c r="HC270" s="130"/>
      <c r="HD270" s="130"/>
      <c r="HE270" s="130"/>
      <c r="HF270" s="130"/>
      <c r="HG270" s="130"/>
      <c r="HH270" s="130"/>
      <c r="HI270" s="130"/>
      <c r="HJ270" s="130"/>
      <c r="HK270" s="130"/>
      <c r="HL270" s="130"/>
      <c r="HM270" s="130"/>
      <c r="HN270" s="130"/>
      <c r="HO270" s="130"/>
      <c r="HP270" s="130"/>
      <c r="HQ270" s="130"/>
      <c r="HR270" s="130"/>
      <c r="HS270" s="130"/>
      <c r="HT270" s="130"/>
      <c r="HU270" s="130"/>
      <c r="HV270" s="130"/>
      <c r="HW270" s="130"/>
      <c r="HX270" s="130"/>
      <c r="HY270" s="130"/>
      <c r="HZ270" s="130"/>
      <c r="IA270" s="130"/>
      <c r="IB270" s="130"/>
      <c r="IC270" s="130"/>
      <c r="ID270" s="130"/>
      <c r="IE270" s="130"/>
      <c r="IF270" s="130"/>
      <c r="IG270" s="130"/>
      <c r="IH270" s="130"/>
      <c r="II270" s="130"/>
      <c r="IJ270" s="130"/>
      <c r="IK270" s="130"/>
      <c r="IL270" s="130"/>
      <c r="IM270" s="130"/>
      <c r="IN270" s="130"/>
      <c r="IO270" s="130"/>
      <c r="IP270" s="130"/>
      <c r="IQ270" s="130"/>
      <c r="IR270" s="130"/>
      <c r="IS270" s="130"/>
      <c r="IT270" s="130"/>
      <c r="IU270" s="130"/>
      <c r="IV270" s="130"/>
    </row>
    <row r="271" spans="1:256" hidden="1">
      <c r="A271" s="825"/>
      <c r="B271" s="828"/>
      <c r="C271" s="157" t="s">
        <v>2</v>
      </c>
      <c r="D271" s="158">
        <f>D270+D269</f>
        <v>800000</v>
      </c>
      <c r="E271" s="159">
        <f t="shared" ref="E271:P271" si="130">E270+E269</f>
        <v>800000</v>
      </c>
      <c r="F271" s="159">
        <f t="shared" si="130"/>
        <v>800000</v>
      </c>
      <c r="G271" s="159">
        <f t="shared" si="130"/>
        <v>0</v>
      </c>
      <c r="H271" s="159">
        <f t="shared" si="130"/>
        <v>800000</v>
      </c>
      <c r="I271" s="159">
        <f t="shared" si="130"/>
        <v>0</v>
      </c>
      <c r="J271" s="159">
        <f t="shared" si="130"/>
        <v>0</v>
      </c>
      <c r="K271" s="159">
        <f t="shared" si="130"/>
        <v>0</v>
      </c>
      <c r="L271" s="159">
        <f t="shared" si="130"/>
        <v>0</v>
      </c>
      <c r="M271" s="159">
        <f t="shared" si="130"/>
        <v>0</v>
      </c>
      <c r="N271" s="159">
        <f t="shared" si="130"/>
        <v>0</v>
      </c>
      <c r="O271" s="159">
        <f t="shared" si="130"/>
        <v>0</v>
      </c>
      <c r="P271" s="159">
        <f t="shared" si="130"/>
        <v>0</v>
      </c>
      <c r="Q271" s="166"/>
      <c r="R271" s="166"/>
      <c r="S271" s="166"/>
      <c r="T271" s="166"/>
      <c r="U271" s="166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  <c r="DS271" s="130"/>
      <c r="DT271" s="130"/>
      <c r="DU271" s="130"/>
      <c r="DV271" s="130"/>
      <c r="DW271" s="130"/>
      <c r="DX271" s="130"/>
      <c r="DY271" s="130"/>
      <c r="DZ271" s="130"/>
      <c r="EA271" s="130"/>
      <c r="EB271" s="130"/>
      <c r="EC271" s="130"/>
      <c r="ED271" s="130"/>
      <c r="EE271" s="130"/>
      <c r="EF271" s="130"/>
      <c r="EG271" s="130"/>
      <c r="EH271" s="130"/>
      <c r="EI271" s="130"/>
      <c r="EJ271" s="130"/>
      <c r="EK271" s="130"/>
      <c r="EL271" s="130"/>
      <c r="EM271" s="130"/>
      <c r="EN271" s="130"/>
      <c r="EO271" s="130"/>
      <c r="EP271" s="130"/>
      <c r="EQ271" s="130"/>
      <c r="ER271" s="130"/>
      <c r="ES271" s="130"/>
      <c r="ET271" s="130"/>
      <c r="EU271" s="130"/>
      <c r="EV271" s="130"/>
      <c r="EW271" s="130"/>
      <c r="EX271" s="130"/>
      <c r="EY271" s="130"/>
      <c r="EZ271" s="130"/>
      <c r="FA271" s="130"/>
      <c r="FB271" s="130"/>
      <c r="FC271" s="130"/>
      <c r="FD271" s="130"/>
      <c r="FE271" s="130"/>
      <c r="FF271" s="130"/>
      <c r="FG271" s="130"/>
      <c r="FH271" s="130"/>
      <c r="FI271" s="130"/>
      <c r="FJ271" s="130"/>
      <c r="FK271" s="130"/>
      <c r="FL271" s="130"/>
      <c r="FM271" s="130"/>
      <c r="FN271" s="130"/>
      <c r="FO271" s="130"/>
      <c r="FP271" s="130"/>
      <c r="FQ271" s="130"/>
      <c r="FR271" s="130"/>
      <c r="FS271" s="130"/>
      <c r="FT271" s="130"/>
      <c r="FU271" s="130"/>
      <c r="FV271" s="130"/>
      <c r="FW271" s="130"/>
      <c r="FX271" s="130"/>
      <c r="FY271" s="130"/>
      <c r="FZ271" s="130"/>
      <c r="GA271" s="130"/>
      <c r="GB271" s="130"/>
      <c r="GC271" s="130"/>
      <c r="GD271" s="130"/>
      <c r="GE271" s="130"/>
      <c r="GF271" s="130"/>
      <c r="GG271" s="130"/>
      <c r="GH271" s="130"/>
      <c r="GI271" s="130"/>
      <c r="GJ271" s="130"/>
      <c r="GK271" s="130"/>
      <c r="GL271" s="130"/>
      <c r="GM271" s="130"/>
      <c r="GN271" s="130"/>
      <c r="GO271" s="130"/>
      <c r="GP271" s="130"/>
      <c r="GQ271" s="130"/>
      <c r="GR271" s="130"/>
      <c r="GS271" s="130"/>
      <c r="GT271" s="130"/>
      <c r="GU271" s="130"/>
      <c r="GV271" s="130"/>
      <c r="GW271" s="130"/>
      <c r="GX271" s="130"/>
      <c r="GY271" s="130"/>
      <c r="GZ271" s="130"/>
      <c r="HA271" s="130"/>
      <c r="HB271" s="130"/>
      <c r="HC271" s="130"/>
      <c r="HD271" s="130"/>
      <c r="HE271" s="130"/>
      <c r="HF271" s="130"/>
      <c r="HG271" s="130"/>
      <c r="HH271" s="130"/>
      <c r="HI271" s="130"/>
      <c r="HJ271" s="130"/>
      <c r="HK271" s="130"/>
      <c r="HL271" s="130"/>
      <c r="HM271" s="130"/>
      <c r="HN271" s="130"/>
      <c r="HO271" s="130"/>
      <c r="HP271" s="130"/>
      <c r="HQ271" s="130"/>
      <c r="HR271" s="130"/>
      <c r="HS271" s="130"/>
      <c r="HT271" s="130"/>
      <c r="HU271" s="130"/>
      <c r="HV271" s="130"/>
      <c r="HW271" s="130"/>
      <c r="HX271" s="130"/>
      <c r="HY271" s="130"/>
      <c r="HZ271" s="130"/>
      <c r="IA271" s="130"/>
      <c r="IB271" s="130"/>
      <c r="IC271" s="130"/>
      <c r="ID271" s="130"/>
      <c r="IE271" s="130"/>
      <c r="IF271" s="130"/>
      <c r="IG271" s="130"/>
      <c r="IH271" s="130"/>
      <c r="II271" s="130"/>
      <c r="IJ271" s="130"/>
      <c r="IK271" s="130"/>
      <c r="IL271" s="130"/>
      <c r="IM271" s="130"/>
      <c r="IN271" s="130"/>
      <c r="IO271" s="130"/>
      <c r="IP271" s="130"/>
      <c r="IQ271" s="130"/>
      <c r="IR271" s="130"/>
      <c r="IS271" s="130"/>
      <c r="IT271" s="130"/>
      <c r="IU271" s="130"/>
      <c r="IV271" s="130"/>
    </row>
    <row r="272" spans="1:256">
      <c r="A272" s="823">
        <v>85295</v>
      </c>
      <c r="B272" s="826" t="s">
        <v>103</v>
      </c>
      <c r="C272" s="157" t="s">
        <v>0</v>
      </c>
      <c r="D272" s="158">
        <f t="shared" si="124"/>
        <v>47937942</v>
      </c>
      <c r="E272" s="159">
        <f t="shared" si="125"/>
        <v>32499292</v>
      </c>
      <c r="F272" s="159">
        <f t="shared" si="126"/>
        <v>25000</v>
      </c>
      <c r="G272" s="159">
        <v>0</v>
      </c>
      <c r="H272" s="159">
        <v>25000</v>
      </c>
      <c r="I272" s="159">
        <v>0</v>
      </c>
      <c r="J272" s="159">
        <v>45000</v>
      </c>
      <c r="K272" s="159">
        <v>32429292</v>
      </c>
      <c r="L272" s="159">
        <v>0</v>
      </c>
      <c r="M272" s="159">
        <f t="shared" si="127"/>
        <v>15438650</v>
      </c>
      <c r="N272" s="159">
        <v>15438650</v>
      </c>
      <c r="O272" s="159">
        <v>15317650</v>
      </c>
      <c r="P272" s="159">
        <v>0</v>
      </c>
      <c r="Q272" s="166"/>
      <c r="R272" s="166"/>
      <c r="S272" s="166"/>
      <c r="T272" s="166"/>
      <c r="U272" s="166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  <c r="DS272" s="130"/>
      <c r="DT272" s="130"/>
      <c r="DU272" s="130"/>
      <c r="DV272" s="130"/>
      <c r="DW272" s="130"/>
      <c r="DX272" s="130"/>
      <c r="DY272" s="130"/>
      <c r="DZ272" s="130"/>
      <c r="EA272" s="130"/>
      <c r="EB272" s="130"/>
      <c r="EC272" s="130"/>
      <c r="ED272" s="130"/>
      <c r="EE272" s="130"/>
      <c r="EF272" s="130"/>
      <c r="EG272" s="130"/>
      <c r="EH272" s="130"/>
      <c r="EI272" s="130"/>
      <c r="EJ272" s="130"/>
      <c r="EK272" s="130"/>
      <c r="EL272" s="130"/>
      <c r="EM272" s="130"/>
      <c r="EN272" s="130"/>
      <c r="EO272" s="130"/>
      <c r="EP272" s="130"/>
      <c r="EQ272" s="130"/>
      <c r="ER272" s="130"/>
      <c r="ES272" s="130"/>
      <c r="ET272" s="130"/>
      <c r="EU272" s="130"/>
      <c r="EV272" s="130"/>
      <c r="EW272" s="130"/>
      <c r="EX272" s="130"/>
      <c r="EY272" s="130"/>
      <c r="EZ272" s="130"/>
      <c r="FA272" s="130"/>
      <c r="FB272" s="130"/>
      <c r="FC272" s="130"/>
      <c r="FD272" s="130"/>
      <c r="FE272" s="130"/>
      <c r="FF272" s="130"/>
      <c r="FG272" s="130"/>
      <c r="FH272" s="130"/>
      <c r="FI272" s="130"/>
      <c r="FJ272" s="130"/>
      <c r="FK272" s="130"/>
      <c r="FL272" s="130"/>
      <c r="FM272" s="130"/>
      <c r="FN272" s="130"/>
      <c r="FO272" s="130"/>
      <c r="FP272" s="130"/>
      <c r="FQ272" s="130"/>
      <c r="FR272" s="130"/>
      <c r="FS272" s="130"/>
      <c r="FT272" s="130"/>
      <c r="FU272" s="130"/>
      <c r="FV272" s="130"/>
      <c r="FW272" s="130"/>
      <c r="FX272" s="130"/>
      <c r="FY272" s="130"/>
      <c r="FZ272" s="130"/>
      <c r="GA272" s="130"/>
      <c r="GB272" s="130"/>
      <c r="GC272" s="130"/>
      <c r="GD272" s="130"/>
      <c r="GE272" s="130"/>
      <c r="GF272" s="130"/>
      <c r="GG272" s="130"/>
      <c r="GH272" s="130"/>
      <c r="GI272" s="130"/>
      <c r="GJ272" s="130"/>
      <c r="GK272" s="130"/>
      <c r="GL272" s="130"/>
      <c r="GM272" s="130"/>
      <c r="GN272" s="130"/>
      <c r="GO272" s="130"/>
      <c r="GP272" s="130"/>
      <c r="GQ272" s="130"/>
      <c r="GR272" s="130"/>
      <c r="GS272" s="130"/>
      <c r="GT272" s="130"/>
      <c r="GU272" s="130"/>
      <c r="GV272" s="130"/>
      <c r="GW272" s="130"/>
      <c r="GX272" s="130"/>
      <c r="GY272" s="130"/>
      <c r="GZ272" s="130"/>
      <c r="HA272" s="130"/>
      <c r="HB272" s="130"/>
      <c r="HC272" s="130"/>
      <c r="HD272" s="130"/>
      <c r="HE272" s="130"/>
      <c r="HF272" s="130"/>
      <c r="HG272" s="130"/>
      <c r="HH272" s="130"/>
      <c r="HI272" s="130"/>
      <c r="HJ272" s="130"/>
      <c r="HK272" s="130"/>
      <c r="HL272" s="130"/>
      <c r="HM272" s="130"/>
      <c r="HN272" s="130"/>
      <c r="HO272" s="130"/>
      <c r="HP272" s="130"/>
      <c r="HQ272" s="130"/>
      <c r="HR272" s="130"/>
      <c r="HS272" s="130"/>
      <c r="HT272" s="130"/>
      <c r="HU272" s="130"/>
      <c r="HV272" s="130"/>
      <c r="HW272" s="130"/>
      <c r="HX272" s="130"/>
      <c r="HY272" s="130"/>
      <c r="HZ272" s="130"/>
      <c r="IA272" s="130"/>
      <c r="IB272" s="130"/>
      <c r="IC272" s="130"/>
      <c r="ID272" s="130"/>
      <c r="IE272" s="130"/>
      <c r="IF272" s="130"/>
      <c r="IG272" s="130"/>
      <c r="IH272" s="130"/>
      <c r="II272" s="130"/>
      <c r="IJ272" s="130"/>
      <c r="IK272" s="130"/>
      <c r="IL272" s="130"/>
      <c r="IM272" s="130"/>
      <c r="IN272" s="130"/>
      <c r="IO272" s="130"/>
      <c r="IP272" s="130"/>
      <c r="IQ272" s="130"/>
      <c r="IR272" s="130"/>
      <c r="IS272" s="130"/>
      <c r="IT272" s="130"/>
      <c r="IU272" s="130"/>
      <c r="IV272" s="130"/>
    </row>
    <row r="273" spans="1:256">
      <c r="A273" s="824"/>
      <c r="B273" s="827"/>
      <c r="C273" s="157" t="s">
        <v>1</v>
      </c>
      <c r="D273" s="158">
        <f t="shared" si="124"/>
        <v>-534916</v>
      </c>
      <c r="E273" s="159">
        <f t="shared" si="125"/>
        <v>1252733</v>
      </c>
      <c r="F273" s="159">
        <f t="shared" si="126"/>
        <v>0</v>
      </c>
      <c r="G273" s="159"/>
      <c r="H273" s="159"/>
      <c r="I273" s="159"/>
      <c r="J273" s="159"/>
      <c r="K273" s="159">
        <f>-549709+435328+112420+173226+626316+73684+341313+40155</f>
        <v>1252733</v>
      </c>
      <c r="L273" s="159"/>
      <c r="M273" s="159">
        <f t="shared" si="127"/>
        <v>-1787649</v>
      </c>
      <c r="N273" s="159">
        <f>125200-805263-94737-52849-960000</f>
        <v>-1787649</v>
      </c>
      <c r="O273" s="159">
        <f>-805263-94737-52849-960000</f>
        <v>-1912849</v>
      </c>
      <c r="P273" s="159"/>
      <c r="Q273" s="166"/>
      <c r="R273" s="166"/>
      <c r="S273" s="166"/>
      <c r="T273" s="166"/>
      <c r="U273" s="166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  <c r="DS273" s="130"/>
      <c r="DT273" s="130"/>
      <c r="DU273" s="130"/>
      <c r="DV273" s="130"/>
      <c r="DW273" s="130"/>
      <c r="DX273" s="130"/>
      <c r="DY273" s="130"/>
      <c r="DZ273" s="130"/>
      <c r="EA273" s="130"/>
      <c r="EB273" s="130"/>
      <c r="EC273" s="130"/>
      <c r="ED273" s="130"/>
      <c r="EE273" s="130"/>
      <c r="EF273" s="130"/>
      <c r="EG273" s="130"/>
      <c r="EH273" s="130"/>
      <c r="EI273" s="130"/>
      <c r="EJ273" s="130"/>
      <c r="EK273" s="130"/>
      <c r="EL273" s="130"/>
      <c r="EM273" s="130"/>
      <c r="EN273" s="130"/>
      <c r="EO273" s="130"/>
      <c r="EP273" s="130"/>
      <c r="EQ273" s="130"/>
      <c r="ER273" s="130"/>
      <c r="ES273" s="130"/>
      <c r="ET273" s="130"/>
      <c r="EU273" s="130"/>
      <c r="EV273" s="130"/>
      <c r="EW273" s="130"/>
      <c r="EX273" s="130"/>
      <c r="EY273" s="130"/>
      <c r="EZ273" s="130"/>
      <c r="FA273" s="130"/>
      <c r="FB273" s="130"/>
      <c r="FC273" s="130"/>
      <c r="FD273" s="130"/>
      <c r="FE273" s="130"/>
      <c r="FF273" s="130"/>
      <c r="FG273" s="130"/>
      <c r="FH273" s="130"/>
      <c r="FI273" s="130"/>
      <c r="FJ273" s="130"/>
      <c r="FK273" s="130"/>
      <c r="FL273" s="130"/>
      <c r="FM273" s="130"/>
      <c r="FN273" s="130"/>
      <c r="FO273" s="130"/>
      <c r="FP273" s="130"/>
      <c r="FQ273" s="130"/>
      <c r="FR273" s="130"/>
      <c r="FS273" s="130"/>
      <c r="FT273" s="130"/>
      <c r="FU273" s="130"/>
      <c r="FV273" s="130"/>
      <c r="FW273" s="130"/>
      <c r="FX273" s="130"/>
      <c r="FY273" s="130"/>
      <c r="FZ273" s="130"/>
      <c r="GA273" s="130"/>
      <c r="GB273" s="130"/>
      <c r="GC273" s="130"/>
      <c r="GD273" s="130"/>
      <c r="GE273" s="130"/>
      <c r="GF273" s="130"/>
      <c r="GG273" s="130"/>
      <c r="GH273" s="130"/>
      <c r="GI273" s="130"/>
      <c r="GJ273" s="130"/>
      <c r="GK273" s="130"/>
      <c r="GL273" s="130"/>
      <c r="GM273" s="130"/>
      <c r="GN273" s="130"/>
      <c r="GO273" s="130"/>
      <c r="GP273" s="130"/>
      <c r="GQ273" s="130"/>
      <c r="GR273" s="130"/>
      <c r="GS273" s="130"/>
      <c r="GT273" s="130"/>
      <c r="GU273" s="130"/>
      <c r="GV273" s="130"/>
      <c r="GW273" s="130"/>
      <c r="GX273" s="130"/>
      <c r="GY273" s="130"/>
      <c r="GZ273" s="130"/>
      <c r="HA273" s="130"/>
      <c r="HB273" s="130"/>
      <c r="HC273" s="130"/>
      <c r="HD273" s="130"/>
      <c r="HE273" s="130"/>
      <c r="HF273" s="130"/>
      <c r="HG273" s="130"/>
      <c r="HH273" s="130"/>
      <c r="HI273" s="130"/>
      <c r="HJ273" s="130"/>
      <c r="HK273" s="130"/>
      <c r="HL273" s="130"/>
      <c r="HM273" s="130"/>
      <c r="HN273" s="130"/>
      <c r="HO273" s="130"/>
      <c r="HP273" s="130"/>
      <c r="HQ273" s="130"/>
      <c r="HR273" s="130"/>
      <c r="HS273" s="130"/>
      <c r="HT273" s="130"/>
      <c r="HU273" s="130"/>
      <c r="HV273" s="130"/>
      <c r="HW273" s="130"/>
      <c r="HX273" s="130"/>
      <c r="HY273" s="130"/>
      <c r="HZ273" s="130"/>
      <c r="IA273" s="130"/>
      <c r="IB273" s="130"/>
      <c r="IC273" s="130"/>
      <c r="ID273" s="130"/>
      <c r="IE273" s="130"/>
      <c r="IF273" s="130"/>
      <c r="IG273" s="130"/>
      <c r="IH273" s="130"/>
      <c r="II273" s="130"/>
      <c r="IJ273" s="130"/>
      <c r="IK273" s="130"/>
      <c r="IL273" s="130"/>
      <c r="IM273" s="130"/>
      <c r="IN273" s="130"/>
      <c r="IO273" s="130"/>
      <c r="IP273" s="130"/>
      <c r="IQ273" s="130"/>
      <c r="IR273" s="130"/>
      <c r="IS273" s="130"/>
      <c r="IT273" s="130"/>
      <c r="IU273" s="130"/>
      <c r="IV273" s="130"/>
    </row>
    <row r="274" spans="1:256">
      <c r="A274" s="825"/>
      <c r="B274" s="828"/>
      <c r="C274" s="157" t="s">
        <v>2</v>
      </c>
      <c r="D274" s="158">
        <f>D273+D272</f>
        <v>47403026</v>
      </c>
      <c r="E274" s="159">
        <f t="shared" ref="E274:P274" si="131">E273+E272</f>
        <v>33752025</v>
      </c>
      <c r="F274" s="159">
        <f t="shared" si="131"/>
        <v>25000</v>
      </c>
      <c r="G274" s="159">
        <f t="shared" si="131"/>
        <v>0</v>
      </c>
      <c r="H274" s="159">
        <f t="shared" si="131"/>
        <v>25000</v>
      </c>
      <c r="I274" s="159">
        <f t="shared" si="131"/>
        <v>0</v>
      </c>
      <c r="J274" s="159">
        <f t="shared" si="131"/>
        <v>45000</v>
      </c>
      <c r="K274" s="159">
        <f t="shared" si="131"/>
        <v>33682025</v>
      </c>
      <c r="L274" s="159">
        <f t="shared" si="131"/>
        <v>0</v>
      </c>
      <c r="M274" s="159">
        <f t="shared" si="131"/>
        <v>13651001</v>
      </c>
      <c r="N274" s="159">
        <f t="shared" si="131"/>
        <v>13651001</v>
      </c>
      <c r="O274" s="159">
        <f t="shared" si="131"/>
        <v>13404801</v>
      </c>
      <c r="P274" s="159">
        <f t="shared" si="131"/>
        <v>0</v>
      </c>
      <c r="Q274" s="166"/>
      <c r="R274" s="166"/>
      <c r="S274" s="166"/>
      <c r="T274" s="166"/>
      <c r="U274" s="166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  <c r="EC274" s="130"/>
      <c r="ED274" s="130"/>
      <c r="EE274" s="130"/>
      <c r="EF274" s="130"/>
      <c r="EG274" s="130"/>
      <c r="EH274" s="130"/>
      <c r="EI274" s="130"/>
      <c r="EJ274" s="130"/>
      <c r="EK274" s="130"/>
      <c r="EL274" s="130"/>
      <c r="EM274" s="130"/>
      <c r="EN274" s="130"/>
      <c r="EO274" s="130"/>
      <c r="EP274" s="130"/>
      <c r="EQ274" s="130"/>
      <c r="ER274" s="130"/>
      <c r="ES274" s="130"/>
      <c r="ET274" s="130"/>
      <c r="EU274" s="130"/>
      <c r="EV274" s="130"/>
      <c r="EW274" s="130"/>
      <c r="EX274" s="130"/>
      <c r="EY274" s="130"/>
      <c r="EZ274" s="130"/>
      <c r="FA274" s="130"/>
      <c r="FB274" s="130"/>
      <c r="FC274" s="130"/>
      <c r="FD274" s="130"/>
      <c r="FE274" s="130"/>
      <c r="FF274" s="130"/>
      <c r="FG274" s="130"/>
      <c r="FH274" s="130"/>
      <c r="FI274" s="130"/>
      <c r="FJ274" s="130"/>
      <c r="FK274" s="130"/>
      <c r="FL274" s="130"/>
      <c r="FM274" s="130"/>
      <c r="FN274" s="130"/>
      <c r="FO274" s="130"/>
      <c r="FP274" s="130"/>
      <c r="FQ274" s="130"/>
      <c r="FR274" s="130"/>
      <c r="FS274" s="130"/>
      <c r="FT274" s="130"/>
      <c r="FU274" s="130"/>
      <c r="FV274" s="130"/>
      <c r="FW274" s="130"/>
      <c r="FX274" s="130"/>
      <c r="FY274" s="130"/>
      <c r="FZ274" s="130"/>
      <c r="GA274" s="130"/>
      <c r="GB274" s="130"/>
      <c r="GC274" s="130"/>
      <c r="GD274" s="130"/>
      <c r="GE274" s="130"/>
      <c r="GF274" s="130"/>
      <c r="GG274" s="130"/>
      <c r="GH274" s="130"/>
      <c r="GI274" s="130"/>
      <c r="GJ274" s="130"/>
      <c r="GK274" s="130"/>
      <c r="GL274" s="130"/>
      <c r="GM274" s="130"/>
      <c r="GN274" s="130"/>
      <c r="GO274" s="130"/>
      <c r="GP274" s="130"/>
      <c r="GQ274" s="130"/>
      <c r="GR274" s="130"/>
      <c r="GS274" s="130"/>
      <c r="GT274" s="130"/>
      <c r="GU274" s="130"/>
      <c r="GV274" s="130"/>
      <c r="GW274" s="130"/>
      <c r="GX274" s="130"/>
      <c r="GY274" s="130"/>
      <c r="GZ274" s="130"/>
      <c r="HA274" s="130"/>
      <c r="HB274" s="130"/>
      <c r="HC274" s="130"/>
      <c r="HD274" s="130"/>
      <c r="HE274" s="130"/>
      <c r="HF274" s="130"/>
      <c r="HG274" s="130"/>
      <c r="HH274" s="130"/>
      <c r="HI274" s="130"/>
      <c r="HJ274" s="130"/>
      <c r="HK274" s="130"/>
      <c r="HL274" s="130"/>
      <c r="HM274" s="130"/>
      <c r="HN274" s="130"/>
      <c r="HO274" s="130"/>
      <c r="HP274" s="130"/>
      <c r="HQ274" s="130"/>
      <c r="HR274" s="130"/>
      <c r="HS274" s="130"/>
      <c r="HT274" s="130"/>
      <c r="HU274" s="130"/>
      <c r="HV274" s="130"/>
      <c r="HW274" s="130"/>
      <c r="HX274" s="130"/>
      <c r="HY274" s="130"/>
      <c r="HZ274" s="130"/>
      <c r="IA274" s="130"/>
      <c r="IB274" s="130"/>
      <c r="IC274" s="130"/>
      <c r="ID274" s="130"/>
      <c r="IE274" s="130"/>
      <c r="IF274" s="130"/>
      <c r="IG274" s="130"/>
      <c r="IH274" s="130"/>
      <c r="II274" s="130"/>
      <c r="IJ274" s="130"/>
      <c r="IK274" s="130"/>
      <c r="IL274" s="130"/>
      <c r="IM274" s="130"/>
      <c r="IN274" s="130"/>
      <c r="IO274" s="130"/>
      <c r="IP274" s="130"/>
      <c r="IQ274" s="130"/>
      <c r="IR274" s="130"/>
      <c r="IS274" s="130"/>
      <c r="IT274" s="130"/>
      <c r="IU274" s="130"/>
      <c r="IV274" s="130"/>
    </row>
    <row r="275" spans="1:256" ht="15">
      <c r="A275" s="835">
        <v>853</v>
      </c>
      <c r="B275" s="838" t="s">
        <v>260</v>
      </c>
      <c r="C275" s="161" t="s">
        <v>0</v>
      </c>
      <c r="D275" s="162">
        <f t="shared" ref="D275:P276" si="132">D278+D281+D287+D290+D284</f>
        <v>40811025.5</v>
      </c>
      <c r="E275" s="163">
        <f t="shared" si="132"/>
        <v>40181525.5</v>
      </c>
      <c r="F275" s="163">
        <f t="shared" si="132"/>
        <v>25847816.5</v>
      </c>
      <c r="G275" s="163">
        <f t="shared" si="132"/>
        <v>15705910</v>
      </c>
      <c r="H275" s="163">
        <f t="shared" si="132"/>
        <v>10141906.5</v>
      </c>
      <c r="I275" s="163">
        <f t="shared" si="132"/>
        <v>600000</v>
      </c>
      <c r="J275" s="163">
        <f t="shared" si="132"/>
        <v>15300</v>
      </c>
      <c r="K275" s="163">
        <f t="shared" si="132"/>
        <v>13718409</v>
      </c>
      <c r="L275" s="163">
        <f t="shared" si="132"/>
        <v>0</v>
      </c>
      <c r="M275" s="163">
        <f t="shared" si="132"/>
        <v>629500</v>
      </c>
      <c r="N275" s="163">
        <f t="shared" si="132"/>
        <v>629500</v>
      </c>
      <c r="O275" s="163">
        <f t="shared" si="132"/>
        <v>0</v>
      </c>
      <c r="P275" s="163">
        <f t="shared" si="132"/>
        <v>0</v>
      </c>
      <c r="Q275" s="171"/>
      <c r="R275" s="171"/>
      <c r="S275" s="171"/>
      <c r="T275" s="171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72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2"/>
      <c r="BW275" s="172"/>
      <c r="BX275" s="172"/>
      <c r="BY275" s="172"/>
      <c r="BZ275" s="172"/>
      <c r="CA275" s="172"/>
      <c r="CB275" s="172"/>
      <c r="CC275" s="172"/>
      <c r="CD275" s="172"/>
      <c r="CE275" s="172"/>
      <c r="CF275" s="172"/>
      <c r="CG275" s="172"/>
      <c r="CH275" s="172"/>
      <c r="CI275" s="172"/>
      <c r="CJ275" s="172"/>
      <c r="CK275" s="172"/>
      <c r="CL275" s="172"/>
      <c r="CM275" s="172"/>
      <c r="CN275" s="172"/>
      <c r="CO275" s="172"/>
      <c r="CP275" s="172"/>
      <c r="CQ275" s="172"/>
      <c r="CR275" s="172"/>
      <c r="CS275" s="172"/>
      <c r="CT275" s="172"/>
      <c r="CU275" s="172"/>
      <c r="CV275" s="172"/>
      <c r="CW275" s="172"/>
      <c r="CX275" s="172"/>
      <c r="CY275" s="172"/>
      <c r="CZ275" s="172"/>
      <c r="DA275" s="172"/>
      <c r="DB275" s="172"/>
      <c r="DC275" s="172"/>
      <c r="DD275" s="172"/>
      <c r="DE275" s="172"/>
      <c r="DF275" s="172"/>
      <c r="DG275" s="172"/>
      <c r="DH275" s="172"/>
      <c r="DI275" s="172"/>
      <c r="DJ275" s="172"/>
      <c r="DK275" s="172"/>
      <c r="DL275" s="172"/>
      <c r="DM275" s="172"/>
      <c r="DN275" s="172"/>
      <c r="DO275" s="172"/>
      <c r="DP275" s="172"/>
      <c r="DQ275" s="172"/>
      <c r="DR275" s="172"/>
      <c r="DS275" s="172"/>
      <c r="DT275" s="172"/>
      <c r="DU275" s="172"/>
      <c r="DV275" s="172"/>
      <c r="DW275" s="172"/>
      <c r="DX275" s="172"/>
      <c r="DY275" s="172"/>
      <c r="DZ275" s="172"/>
      <c r="EA275" s="172"/>
      <c r="EB275" s="172"/>
      <c r="EC275" s="172"/>
      <c r="ED275" s="172"/>
      <c r="EE275" s="172"/>
      <c r="EF275" s="172"/>
      <c r="EG275" s="172"/>
      <c r="EH275" s="172"/>
      <c r="EI275" s="172"/>
      <c r="EJ275" s="172"/>
      <c r="EK275" s="172"/>
      <c r="EL275" s="172"/>
      <c r="EM275" s="172"/>
      <c r="EN275" s="172"/>
      <c r="EO275" s="172"/>
      <c r="EP275" s="172"/>
      <c r="EQ275" s="172"/>
      <c r="ER275" s="172"/>
      <c r="ES275" s="172"/>
      <c r="ET275" s="172"/>
      <c r="EU275" s="172"/>
      <c r="EV275" s="172"/>
      <c r="EW275" s="172"/>
      <c r="EX275" s="172"/>
      <c r="EY275" s="172"/>
      <c r="EZ275" s="172"/>
      <c r="FA275" s="172"/>
      <c r="FB275" s="172"/>
      <c r="FC275" s="172"/>
      <c r="FD275" s="172"/>
      <c r="FE275" s="172"/>
      <c r="FF275" s="172"/>
      <c r="FG275" s="172"/>
      <c r="FH275" s="172"/>
      <c r="FI275" s="172"/>
      <c r="FJ275" s="172"/>
      <c r="FK275" s="172"/>
      <c r="FL275" s="172"/>
      <c r="FM275" s="172"/>
      <c r="FN275" s="172"/>
      <c r="FO275" s="172"/>
      <c r="FP275" s="172"/>
      <c r="FQ275" s="172"/>
      <c r="FR275" s="172"/>
      <c r="FS275" s="172"/>
      <c r="FT275" s="172"/>
      <c r="FU275" s="172"/>
      <c r="FV275" s="172"/>
      <c r="FW275" s="172"/>
      <c r="FX275" s="172"/>
      <c r="FY275" s="172"/>
      <c r="FZ275" s="172"/>
      <c r="GA275" s="172"/>
      <c r="GB275" s="172"/>
      <c r="GC275" s="172"/>
      <c r="GD275" s="172"/>
      <c r="GE275" s="172"/>
      <c r="GF275" s="172"/>
      <c r="GG275" s="172"/>
      <c r="GH275" s="172"/>
      <c r="GI275" s="172"/>
      <c r="GJ275" s="172"/>
      <c r="GK275" s="172"/>
      <c r="GL275" s="172"/>
      <c r="GM275" s="172"/>
      <c r="GN275" s="172"/>
      <c r="GO275" s="172"/>
      <c r="GP275" s="172"/>
      <c r="GQ275" s="172"/>
      <c r="GR275" s="172"/>
      <c r="GS275" s="172"/>
      <c r="GT275" s="172"/>
      <c r="GU275" s="172"/>
      <c r="GV275" s="172"/>
      <c r="GW275" s="172"/>
      <c r="GX275" s="172"/>
      <c r="GY275" s="172"/>
      <c r="GZ275" s="172"/>
      <c r="HA275" s="172"/>
      <c r="HB275" s="172"/>
      <c r="HC275" s="172"/>
      <c r="HD275" s="172"/>
      <c r="HE275" s="172"/>
      <c r="HF275" s="172"/>
      <c r="HG275" s="172"/>
      <c r="HH275" s="172"/>
      <c r="HI275" s="172"/>
      <c r="HJ275" s="172"/>
      <c r="HK275" s="172"/>
      <c r="HL275" s="172"/>
      <c r="HM275" s="172"/>
      <c r="HN275" s="172"/>
      <c r="HO275" s="172"/>
      <c r="HP275" s="172"/>
      <c r="HQ275" s="172"/>
      <c r="HR275" s="172"/>
      <c r="HS275" s="172"/>
      <c r="HT275" s="172"/>
      <c r="HU275" s="172"/>
      <c r="HV275" s="172"/>
      <c r="HW275" s="172"/>
      <c r="HX275" s="172"/>
      <c r="HY275" s="172"/>
      <c r="HZ275" s="172"/>
      <c r="IA275" s="172"/>
      <c r="IB275" s="172"/>
      <c r="IC275" s="172"/>
      <c r="ID275" s="172"/>
      <c r="IE275" s="172"/>
      <c r="IF275" s="172"/>
      <c r="IG275" s="172"/>
      <c r="IH275" s="172"/>
      <c r="II275" s="172"/>
      <c r="IJ275" s="172"/>
      <c r="IK275" s="172"/>
      <c r="IL275" s="172"/>
      <c r="IM275" s="172"/>
      <c r="IN275" s="172"/>
      <c r="IO275" s="172"/>
      <c r="IP275" s="172"/>
      <c r="IQ275" s="172"/>
      <c r="IR275" s="172"/>
      <c r="IS275" s="172"/>
      <c r="IT275" s="172"/>
      <c r="IU275" s="172"/>
      <c r="IV275" s="172"/>
    </row>
    <row r="276" spans="1:256" ht="15">
      <c r="A276" s="836"/>
      <c r="B276" s="839"/>
      <c r="C276" s="161" t="s">
        <v>1</v>
      </c>
      <c r="D276" s="162">
        <f t="shared" si="132"/>
        <v>351157</v>
      </c>
      <c r="E276" s="163">
        <f t="shared" si="132"/>
        <v>346440</v>
      </c>
      <c r="F276" s="163">
        <f t="shared" si="132"/>
        <v>42000</v>
      </c>
      <c r="G276" s="163">
        <f t="shared" si="132"/>
        <v>0</v>
      </c>
      <c r="H276" s="163">
        <f t="shared" si="132"/>
        <v>42000</v>
      </c>
      <c r="I276" s="163">
        <f t="shared" si="132"/>
        <v>0</v>
      </c>
      <c r="J276" s="163">
        <f t="shared" si="132"/>
        <v>0</v>
      </c>
      <c r="K276" s="163">
        <f t="shared" si="132"/>
        <v>304440</v>
      </c>
      <c r="L276" s="163">
        <f t="shared" si="132"/>
        <v>0</v>
      </c>
      <c r="M276" s="163">
        <f t="shared" si="132"/>
        <v>4717</v>
      </c>
      <c r="N276" s="163">
        <f t="shared" si="132"/>
        <v>4717</v>
      </c>
      <c r="O276" s="163">
        <f t="shared" si="132"/>
        <v>4717</v>
      </c>
      <c r="P276" s="163">
        <f t="shared" si="132"/>
        <v>0</v>
      </c>
      <c r="Q276" s="171"/>
      <c r="R276" s="171"/>
      <c r="S276" s="171"/>
      <c r="T276" s="171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72"/>
      <c r="BM276" s="172"/>
      <c r="BN276" s="172"/>
      <c r="BO276" s="172"/>
      <c r="BP276" s="172"/>
      <c r="BQ276" s="172"/>
      <c r="BR276" s="172"/>
      <c r="BS276" s="172"/>
      <c r="BT276" s="172"/>
      <c r="BU276" s="172"/>
      <c r="BV276" s="172"/>
      <c r="BW276" s="172"/>
      <c r="BX276" s="172"/>
      <c r="BY276" s="172"/>
      <c r="BZ276" s="172"/>
      <c r="CA276" s="172"/>
      <c r="CB276" s="172"/>
      <c r="CC276" s="172"/>
      <c r="CD276" s="172"/>
      <c r="CE276" s="172"/>
      <c r="CF276" s="172"/>
      <c r="CG276" s="172"/>
      <c r="CH276" s="172"/>
      <c r="CI276" s="172"/>
      <c r="CJ276" s="172"/>
      <c r="CK276" s="172"/>
      <c r="CL276" s="172"/>
      <c r="CM276" s="172"/>
      <c r="CN276" s="172"/>
      <c r="CO276" s="172"/>
      <c r="CP276" s="172"/>
      <c r="CQ276" s="172"/>
      <c r="CR276" s="172"/>
      <c r="CS276" s="172"/>
      <c r="CT276" s="172"/>
      <c r="CU276" s="172"/>
      <c r="CV276" s="172"/>
      <c r="CW276" s="172"/>
      <c r="CX276" s="172"/>
      <c r="CY276" s="172"/>
      <c r="CZ276" s="172"/>
      <c r="DA276" s="172"/>
      <c r="DB276" s="172"/>
      <c r="DC276" s="172"/>
      <c r="DD276" s="172"/>
      <c r="DE276" s="172"/>
      <c r="DF276" s="172"/>
      <c r="DG276" s="172"/>
      <c r="DH276" s="172"/>
      <c r="DI276" s="172"/>
      <c r="DJ276" s="172"/>
      <c r="DK276" s="172"/>
      <c r="DL276" s="172"/>
      <c r="DM276" s="172"/>
      <c r="DN276" s="172"/>
      <c r="DO276" s="172"/>
      <c r="DP276" s="172"/>
      <c r="DQ276" s="172"/>
      <c r="DR276" s="172"/>
      <c r="DS276" s="172"/>
      <c r="DT276" s="172"/>
      <c r="DU276" s="172"/>
      <c r="DV276" s="172"/>
      <c r="DW276" s="172"/>
      <c r="DX276" s="172"/>
      <c r="DY276" s="172"/>
      <c r="DZ276" s="172"/>
      <c r="EA276" s="172"/>
      <c r="EB276" s="172"/>
      <c r="EC276" s="172"/>
      <c r="ED276" s="172"/>
      <c r="EE276" s="172"/>
      <c r="EF276" s="172"/>
      <c r="EG276" s="172"/>
      <c r="EH276" s="172"/>
      <c r="EI276" s="172"/>
      <c r="EJ276" s="172"/>
      <c r="EK276" s="172"/>
      <c r="EL276" s="172"/>
      <c r="EM276" s="172"/>
      <c r="EN276" s="172"/>
      <c r="EO276" s="172"/>
      <c r="EP276" s="172"/>
      <c r="EQ276" s="172"/>
      <c r="ER276" s="172"/>
      <c r="ES276" s="172"/>
      <c r="ET276" s="172"/>
      <c r="EU276" s="172"/>
      <c r="EV276" s="172"/>
      <c r="EW276" s="172"/>
      <c r="EX276" s="172"/>
      <c r="EY276" s="172"/>
      <c r="EZ276" s="172"/>
      <c r="FA276" s="172"/>
      <c r="FB276" s="172"/>
      <c r="FC276" s="172"/>
      <c r="FD276" s="172"/>
      <c r="FE276" s="172"/>
      <c r="FF276" s="172"/>
      <c r="FG276" s="172"/>
      <c r="FH276" s="172"/>
      <c r="FI276" s="172"/>
      <c r="FJ276" s="172"/>
      <c r="FK276" s="172"/>
      <c r="FL276" s="172"/>
      <c r="FM276" s="172"/>
      <c r="FN276" s="172"/>
      <c r="FO276" s="172"/>
      <c r="FP276" s="172"/>
      <c r="FQ276" s="172"/>
      <c r="FR276" s="172"/>
      <c r="FS276" s="172"/>
      <c r="FT276" s="172"/>
      <c r="FU276" s="172"/>
      <c r="FV276" s="172"/>
      <c r="FW276" s="172"/>
      <c r="FX276" s="172"/>
      <c r="FY276" s="172"/>
      <c r="FZ276" s="172"/>
      <c r="GA276" s="172"/>
      <c r="GB276" s="172"/>
      <c r="GC276" s="172"/>
      <c r="GD276" s="172"/>
      <c r="GE276" s="172"/>
      <c r="GF276" s="172"/>
      <c r="GG276" s="172"/>
      <c r="GH276" s="172"/>
      <c r="GI276" s="172"/>
      <c r="GJ276" s="172"/>
      <c r="GK276" s="172"/>
      <c r="GL276" s="172"/>
      <c r="GM276" s="172"/>
      <c r="GN276" s="172"/>
      <c r="GO276" s="172"/>
      <c r="GP276" s="172"/>
      <c r="GQ276" s="172"/>
      <c r="GR276" s="172"/>
      <c r="GS276" s="172"/>
      <c r="GT276" s="172"/>
      <c r="GU276" s="172"/>
      <c r="GV276" s="172"/>
      <c r="GW276" s="172"/>
      <c r="GX276" s="172"/>
      <c r="GY276" s="172"/>
      <c r="GZ276" s="172"/>
      <c r="HA276" s="172"/>
      <c r="HB276" s="172"/>
      <c r="HC276" s="172"/>
      <c r="HD276" s="172"/>
      <c r="HE276" s="172"/>
      <c r="HF276" s="172"/>
      <c r="HG276" s="172"/>
      <c r="HH276" s="172"/>
      <c r="HI276" s="172"/>
      <c r="HJ276" s="172"/>
      <c r="HK276" s="172"/>
      <c r="HL276" s="172"/>
      <c r="HM276" s="172"/>
      <c r="HN276" s="172"/>
      <c r="HO276" s="172"/>
      <c r="HP276" s="172"/>
      <c r="HQ276" s="172"/>
      <c r="HR276" s="172"/>
      <c r="HS276" s="172"/>
      <c r="HT276" s="172"/>
      <c r="HU276" s="172"/>
      <c r="HV276" s="172"/>
      <c r="HW276" s="172"/>
      <c r="HX276" s="172"/>
      <c r="HY276" s="172"/>
      <c r="HZ276" s="172"/>
      <c r="IA276" s="172"/>
      <c r="IB276" s="172"/>
      <c r="IC276" s="172"/>
      <c r="ID276" s="172"/>
      <c r="IE276" s="172"/>
      <c r="IF276" s="172"/>
      <c r="IG276" s="172"/>
      <c r="IH276" s="172"/>
      <c r="II276" s="172"/>
      <c r="IJ276" s="172"/>
      <c r="IK276" s="172"/>
      <c r="IL276" s="172"/>
      <c r="IM276" s="172"/>
      <c r="IN276" s="172"/>
      <c r="IO276" s="172"/>
      <c r="IP276" s="172"/>
      <c r="IQ276" s="172"/>
      <c r="IR276" s="172"/>
      <c r="IS276" s="172"/>
      <c r="IT276" s="172"/>
      <c r="IU276" s="172"/>
      <c r="IV276" s="172"/>
    </row>
    <row r="277" spans="1:256" ht="15">
      <c r="A277" s="837"/>
      <c r="B277" s="840"/>
      <c r="C277" s="161" t="s">
        <v>2</v>
      </c>
      <c r="D277" s="162">
        <f>D276+D275</f>
        <v>41162182.5</v>
      </c>
      <c r="E277" s="163">
        <f t="shared" ref="E277:P277" si="133">E276+E275</f>
        <v>40527965.5</v>
      </c>
      <c r="F277" s="163">
        <f t="shared" si="133"/>
        <v>25889816.5</v>
      </c>
      <c r="G277" s="163">
        <f t="shared" si="133"/>
        <v>15705910</v>
      </c>
      <c r="H277" s="163">
        <f t="shared" si="133"/>
        <v>10183906.5</v>
      </c>
      <c r="I277" s="163">
        <f t="shared" si="133"/>
        <v>600000</v>
      </c>
      <c r="J277" s="163">
        <f t="shared" si="133"/>
        <v>15300</v>
      </c>
      <c r="K277" s="163">
        <f t="shared" si="133"/>
        <v>14022849</v>
      </c>
      <c r="L277" s="163">
        <f t="shared" si="133"/>
        <v>0</v>
      </c>
      <c r="M277" s="163">
        <f t="shared" si="133"/>
        <v>634217</v>
      </c>
      <c r="N277" s="163">
        <f t="shared" si="133"/>
        <v>634217</v>
      </c>
      <c r="O277" s="163">
        <f t="shared" si="133"/>
        <v>4717</v>
      </c>
      <c r="P277" s="163">
        <f t="shared" si="133"/>
        <v>0</v>
      </c>
      <c r="Q277" s="171"/>
      <c r="R277" s="171"/>
      <c r="S277" s="171"/>
      <c r="T277" s="171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  <c r="BJ277" s="172"/>
      <c r="BK277" s="172"/>
      <c r="BL277" s="172"/>
      <c r="BM277" s="172"/>
      <c r="BN277" s="172"/>
      <c r="BO277" s="172"/>
      <c r="BP277" s="172"/>
      <c r="BQ277" s="172"/>
      <c r="BR277" s="172"/>
      <c r="BS277" s="172"/>
      <c r="BT277" s="172"/>
      <c r="BU277" s="172"/>
      <c r="BV277" s="172"/>
      <c r="BW277" s="172"/>
      <c r="BX277" s="172"/>
      <c r="BY277" s="172"/>
      <c r="BZ277" s="172"/>
      <c r="CA277" s="172"/>
      <c r="CB277" s="172"/>
      <c r="CC277" s="172"/>
      <c r="CD277" s="172"/>
      <c r="CE277" s="172"/>
      <c r="CF277" s="172"/>
      <c r="CG277" s="172"/>
      <c r="CH277" s="172"/>
      <c r="CI277" s="172"/>
      <c r="CJ277" s="172"/>
      <c r="CK277" s="172"/>
      <c r="CL277" s="172"/>
      <c r="CM277" s="172"/>
      <c r="CN277" s="172"/>
      <c r="CO277" s="172"/>
      <c r="CP277" s="172"/>
      <c r="CQ277" s="172"/>
      <c r="CR277" s="172"/>
      <c r="CS277" s="172"/>
      <c r="CT277" s="172"/>
      <c r="CU277" s="172"/>
      <c r="CV277" s="172"/>
      <c r="CW277" s="172"/>
      <c r="CX277" s="172"/>
      <c r="CY277" s="172"/>
      <c r="CZ277" s="172"/>
      <c r="DA277" s="172"/>
      <c r="DB277" s="172"/>
      <c r="DC277" s="172"/>
      <c r="DD277" s="172"/>
      <c r="DE277" s="172"/>
      <c r="DF277" s="172"/>
      <c r="DG277" s="172"/>
      <c r="DH277" s="172"/>
      <c r="DI277" s="172"/>
      <c r="DJ277" s="172"/>
      <c r="DK277" s="172"/>
      <c r="DL277" s="172"/>
      <c r="DM277" s="172"/>
      <c r="DN277" s="172"/>
      <c r="DO277" s="172"/>
      <c r="DP277" s="172"/>
      <c r="DQ277" s="172"/>
      <c r="DR277" s="172"/>
      <c r="DS277" s="172"/>
      <c r="DT277" s="172"/>
      <c r="DU277" s="172"/>
      <c r="DV277" s="172"/>
      <c r="DW277" s="172"/>
      <c r="DX277" s="172"/>
      <c r="DY277" s="172"/>
      <c r="DZ277" s="172"/>
      <c r="EA277" s="172"/>
      <c r="EB277" s="172"/>
      <c r="EC277" s="172"/>
      <c r="ED277" s="172"/>
      <c r="EE277" s="172"/>
      <c r="EF277" s="172"/>
      <c r="EG277" s="172"/>
      <c r="EH277" s="172"/>
      <c r="EI277" s="172"/>
      <c r="EJ277" s="172"/>
      <c r="EK277" s="172"/>
      <c r="EL277" s="172"/>
      <c r="EM277" s="172"/>
      <c r="EN277" s="172"/>
      <c r="EO277" s="172"/>
      <c r="EP277" s="172"/>
      <c r="EQ277" s="172"/>
      <c r="ER277" s="172"/>
      <c r="ES277" s="172"/>
      <c r="ET277" s="172"/>
      <c r="EU277" s="172"/>
      <c r="EV277" s="172"/>
      <c r="EW277" s="172"/>
      <c r="EX277" s="172"/>
      <c r="EY277" s="172"/>
      <c r="EZ277" s="172"/>
      <c r="FA277" s="172"/>
      <c r="FB277" s="172"/>
      <c r="FC277" s="172"/>
      <c r="FD277" s="172"/>
      <c r="FE277" s="172"/>
      <c r="FF277" s="172"/>
      <c r="FG277" s="172"/>
      <c r="FH277" s="172"/>
      <c r="FI277" s="172"/>
      <c r="FJ277" s="172"/>
      <c r="FK277" s="172"/>
      <c r="FL277" s="172"/>
      <c r="FM277" s="172"/>
      <c r="FN277" s="172"/>
      <c r="FO277" s="172"/>
      <c r="FP277" s="172"/>
      <c r="FQ277" s="172"/>
      <c r="FR277" s="172"/>
      <c r="FS277" s="172"/>
      <c r="FT277" s="172"/>
      <c r="FU277" s="172"/>
      <c r="FV277" s="172"/>
      <c r="FW277" s="172"/>
      <c r="FX277" s="172"/>
      <c r="FY277" s="172"/>
      <c r="FZ277" s="172"/>
      <c r="GA277" s="172"/>
      <c r="GB277" s="172"/>
      <c r="GC277" s="172"/>
      <c r="GD277" s="172"/>
      <c r="GE277" s="172"/>
      <c r="GF277" s="172"/>
      <c r="GG277" s="172"/>
      <c r="GH277" s="172"/>
      <c r="GI277" s="172"/>
      <c r="GJ277" s="172"/>
      <c r="GK277" s="172"/>
      <c r="GL277" s="172"/>
      <c r="GM277" s="172"/>
      <c r="GN277" s="172"/>
      <c r="GO277" s="172"/>
      <c r="GP277" s="172"/>
      <c r="GQ277" s="172"/>
      <c r="GR277" s="172"/>
      <c r="GS277" s="172"/>
      <c r="GT277" s="172"/>
      <c r="GU277" s="172"/>
      <c r="GV277" s="172"/>
      <c r="GW277" s="172"/>
      <c r="GX277" s="172"/>
      <c r="GY277" s="172"/>
      <c r="GZ277" s="172"/>
      <c r="HA277" s="172"/>
      <c r="HB277" s="172"/>
      <c r="HC277" s="172"/>
      <c r="HD277" s="172"/>
      <c r="HE277" s="172"/>
      <c r="HF277" s="172"/>
      <c r="HG277" s="172"/>
      <c r="HH277" s="172"/>
      <c r="HI277" s="172"/>
      <c r="HJ277" s="172"/>
      <c r="HK277" s="172"/>
      <c r="HL277" s="172"/>
      <c r="HM277" s="172"/>
      <c r="HN277" s="172"/>
      <c r="HO277" s="172"/>
      <c r="HP277" s="172"/>
      <c r="HQ277" s="172"/>
      <c r="HR277" s="172"/>
      <c r="HS277" s="172"/>
      <c r="HT277" s="172"/>
      <c r="HU277" s="172"/>
      <c r="HV277" s="172"/>
      <c r="HW277" s="172"/>
      <c r="HX277" s="172"/>
      <c r="HY277" s="172"/>
      <c r="HZ277" s="172"/>
      <c r="IA277" s="172"/>
      <c r="IB277" s="172"/>
      <c r="IC277" s="172"/>
      <c r="ID277" s="172"/>
      <c r="IE277" s="172"/>
      <c r="IF277" s="172"/>
      <c r="IG277" s="172"/>
      <c r="IH277" s="172"/>
      <c r="II277" s="172"/>
      <c r="IJ277" s="172"/>
      <c r="IK277" s="172"/>
      <c r="IL277" s="172"/>
      <c r="IM277" s="172"/>
      <c r="IN277" s="172"/>
      <c r="IO277" s="172"/>
      <c r="IP277" s="172"/>
      <c r="IQ277" s="172"/>
      <c r="IR277" s="172"/>
      <c r="IS277" s="172"/>
      <c r="IT277" s="172"/>
      <c r="IU277" s="172"/>
      <c r="IV277" s="172"/>
    </row>
    <row r="278" spans="1:256" hidden="1">
      <c r="A278" s="823">
        <v>85311</v>
      </c>
      <c r="B278" s="826" t="s">
        <v>261</v>
      </c>
      <c r="C278" s="157" t="s">
        <v>0</v>
      </c>
      <c r="D278" s="158">
        <f>E278+M278</f>
        <v>450000</v>
      </c>
      <c r="E278" s="159">
        <f>F278+I278+J278+K278+L278</f>
        <v>450000</v>
      </c>
      <c r="F278" s="159">
        <f>G278+H278</f>
        <v>0</v>
      </c>
      <c r="G278" s="159">
        <v>0</v>
      </c>
      <c r="H278" s="159">
        <v>0</v>
      </c>
      <c r="I278" s="159">
        <v>450000</v>
      </c>
      <c r="J278" s="159">
        <v>0</v>
      </c>
      <c r="K278" s="159">
        <v>0</v>
      </c>
      <c r="L278" s="159">
        <v>0</v>
      </c>
      <c r="M278" s="159">
        <f>N278+P278</f>
        <v>0</v>
      </c>
      <c r="N278" s="159">
        <v>0</v>
      </c>
      <c r="O278" s="159">
        <v>0</v>
      </c>
      <c r="P278" s="159">
        <v>0</v>
      </c>
      <c r="Q278" s="160"/>
      <c r="R278" s="160"/>
      <c r="S278" s="160"/>
      <c r="T278" s="160"/>
      <c r="U278" s="160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1"/>
      <c r="CM278" s="151"/>
      <c r="CN278" s="151"/>
      <c r="CO278" s="151"/>
      <c r="CP278" s="151"/>
      <c r="CQ278" s="151"/>
      <c r="CR278" s="151"/>
      <c r="CS278" s="151"/>
      <c r="CT278" s="151"/>
      <c r="CU278" s="151"/>
      <c r="CV278" s="151"/>
      <c r="CW278" s="151"/>
      <c r="CX278" s="151"/>
      <c r="CY278" s="151"/>
      <c r="CZ278" s="151"/>
      <c r="DA278" s="151"/>
      <c r="DB278" s="151"/>
      <c r="DC278" s="151"/>
      <c r="DD278" s="151"/>
      <c r="DE278" s="151"/>
      <c r="DF278" s="151"/>
      <c r="DG278" s="151"/>
      <c r="DH278" s="151"/>
      <c r="DI278" s="151"/>
      <c r="DJ278" s="151"/>
      <c r="DK278" s="151"/>
      <c r="DL278" s="151"/>
      <c r="DM278" s="151"/>
      <c r="DN278" s="151"/>
      <c r="DO278" s="151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  <c r="EB278" s="151"/>
      <c r="EC278" s="151"/>
      <c r="ED278" s="151"/>
      <c r="EE278" s="151"/>
      <c r="EF278" s="151"/>
      <c r="EG278" s="151"/>
      <c r="EH278" s="151"/>
      <c r="EI278" s="151"/>
      <c r="EJ278" s="151"/>
      <c r="EK278" s="151"/>
      <c r="EL278" s="151"/>
      <c r="EM278" s="151"/>
      <c r="EN278" s="151"/>
      <c r="EO278" s="151"/>
      <c r="EP278" s="151"/>
      <c r="EQ278" s="151"/>
      <c r="ER278" s="151"/>
      <c r="ES278" s="151"/>
      <c r="ET278" s="151"/>
      <c r="EU278" s="151"/>
      <c r="EV278" s="151"/>
      <c r="EW278" s="151"/>
      <c r="EX278" s="151"/>
      <c r="EY278" s="151"/>
      <c r="EZ278" s="151"/>
      <c r="FA278" s="151"/>
      <c r="FB278" s="151"/>
      <c r="FC278" s="151"/>
      <c r="FD278" s="151"/>
      <c r="FE278" s="151"/>
      <c r="FF278" s="151"/>
      <c r="FG278" s="151"/>
      <c r="FH278" s="151"/>
      <c r="FI278" s="151"/>
      <c r="FJ278" s="151"/>
      <c r="FK278" s="151"/>
      <c r="FL278" s="151"/>
      <c r="FM278" s="151"/>
      <c r="FN278" s="151"/>
      <c r="FO278" s="151"/>
      <c r="FP278" s="151"/>
      <c r="FQ278" s="151"/>
      <c r="FR278" s="151"/>
      <c r="FS278" s="151"/>
      <c r="FT278" s="151"/>
      <c r="FU278" s="151"/>
      <c r="FV278" s="151"/>
      <c r="FW278" s="151"/>
      <c r="FX278" s="151"/>
      <c r="FY278" s="151"/>
      <c r="FZ278" s="151"/>
      <c r="GA278" s="151"/>
      <c r="GB278" s="151"/>
      <c r="GC278" s="151"/>
      <c r="GD278" s="151"/>
      <c r="GE278" s="151"/>
      <c r="GF278" s="151"/>
      <c r="GG278" s="151"/>
      <c r="GH278" s="151"/>
      <c r="GI278" s="151"/>
      <c r="GJ278" s="151"/>
      <c r="GK278" s="151"/>
      <c r="GL278" s="151"/>
      <c r="GM278" s="151"/>
      <c r="GN278" s="151"/>
      <c r="GO278" s="151"/>
      <c r="GP278" s="151"/>
      <c r="GQ278" s="151"/>
      <c r="GR278" s="151"/>
      <c r="GS278" s="151"/>
      <c r="GT278" s="151"/>
      <c r="GU278" s="151"/>
      <c r="GV278" s="151"/>
      <c r="GW278" s="151"/>
      <c r="GX278" s="151"/>
      <c r="GY278" s="151"/>
      <c r="GZ278" s="151"/>
      <c r="HA278" s="151"/>
      <c r="HB278" s="151"/>
      <c r="HC278" s="151"/>
      <c r="HD278" s="151"/>
      <c r="HE278" s="151"/>
      <c r="HF278" s="151"/>
      <c r="HG278" s="151"/>
      <c r="HH278" s="151"/>
      <c r="HI278" s="151"/>
      <c r="HJ278" s="151"/>
      <c r="HK278" s="151"/>
      <c r="HL278" s="151"/>
      <c r="HM278" s="151"/>
      <c r="HN278" s="151"/>
      <c r="HO278" s="151"/>
      <c r="HP278" s="151"/>
      <c r="HQ278" s="151"/>
      <c r="HR278" s="151"/>
      <c r="HS278" s="151"/>
      <c r="HT278" s="151"/>
      <c r="HU278" s="151"/>
      <c r="HV278" s="151"/>
      <c r="HW278" s="151"/>
      <c r="HX278" s="151"/>
      <c r="HY278" s="151"/>
      <c r="HZ278" s="151"/>
      <c r="IA278" s="151"/>
      <c r="IB278" s="151"/>
      <c r="IC278" s="151"/>
      <c r="ID278" s="151"/>
      <c r="IE278" s="151"/>
      <c r="IF278" s="151"/>
      <c r="IG278" s="151"/>
      <c r="IH278" s="151"/>
      <c r="II278" s="151"/>
      <c r="IJ278" s="151"/>
      <c r="IK278" s="151"/>
      <c r="IL278" s="151"/>
      <c r="IM278" s="151"/>
      <c r="IN278" s="151"/>
      <c r="IO278" s="151"/>
      <c r="IP278" s="151"/>
      <c r="IQ278" s="151"/>
      <c r="IR278" s="151"/>
      <c r="IS278" s="151"/>
      <c r="IT278" s="151"/>
      <c r="IU278" s="151"/>
      <c r="IV278" s="151"/>
    </row>
    <row r="279" spans="1:256" hidden="1">
      <c r="A279" s="824"/>
      <c r="B279" s="827"/>
      <c r="C279" s="157" t="s">
        <v>1</v>
      </c>
      <c r="D279" s="158">
        <f>E279+M279</f>
        <v>0</v>
      </c>
      <c r="E279" s="159">
        <f>F279+I279+J279+K279+L279</f>
        <v>0</v>
      </c>
      <c r="F279" s="159">
        <f>G279+H279</f>
        <v>0</v>
      </c>
      <c r="G279" s="159"/>
      <c r="H279" s="159"/>
      <c r="I279" s="159"/>
      <c r="J279" s="159"/>
      <c r="K279" s="159"/>
      <c r="L279" s="159"/>
      <c r="M279" s="159">
        <f>N279+P279</f>
        <v>0</v>
      </c>
      <c r="N279" s="159"/>
      <c r="O279" s="159"/>
      <c r="P279" s="159"/>
      <c r="Q279" s="160"/>
      <c r="R279" s="160"/>
      <c r="S279" s="160"/>
      <c r="T279" s="160"/>
      <c r="U279" s="160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1"/>
      <c r="BN279" s="151"/>
      <c r="BO279" s="151"/>
      <c r="BP279" s="151"/>
      <c r="BQ279" s="151"/>
      <c r="BR279" s="151"/>
      <c r="BS279" s="151"/>
      <c r="BT279" s="151"/>
      <c r="BU279" s="151"/>
      <c r="BV279" s="151"/>
      <c r="BW279" s="151"/>
      <c r="BX279" s="151"/>
      <c r="BY279" s="151"/>
      <c r="BZ279" s="151"/>
      <c r="CA279" s="151"/>
      <c r="CB279" s="151"/>
      <c r="CC279" s="151"/>
      <c r="CD279" s="151"/>
      <c r="CE279" s="151"/>
      <c r="CF279" s="151"/>
      <c r="CG279" s="151"/>
      <c r="CH279" s="151"/>
      <c r="CI279" s="151"/>
      <c r="CJ279" s="151"/>
      <c r="CK279" s="151"/>
      <c r="CL279" s="151"/>
      <c r="CM279" s="151"/>
      <c r="CN279" s="151"/>
      <c r="CO279" s="151"/>
      <c r="CP279" s="151"/>
      <c r="CQ279" s="151"/>
      <c r="CR279" s="151"/>
      <c r="CS279" s="151"/>
      <c r="CT279" s="151"/>
      <c r="CU279" s="151"/>
      <c r="CV279" s="151"/>
      <c r="CW279" s="151"/>
      <c r="CX279" s="151"/>
      <c r="CY279" s="151"/>
      <c r="CZ279" s="151"/>
      <c r="DA279" s="151"/>
      <c r="DB279" s="151"/>
      <c r="DC279" s="151"/>
      <c r="DD279" s="151"/>
      <c r="DE279" s="151"/>
      <c r="DF279" s="151"/>
      <c r="DG279" s="151"/>
      <c r="DH279" s="151"/>
      <c r="DI279" s="151"/>
      <c r="DJ279" s="151"/>
      <c r="DK279" s="151"/>
      <c r="DL279" s="151"/>
      <c r="DM279" s="151"/>
      <c r="DN279" s="151"/>
      <c r="DO279" s="151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  <c r="EB279" s="151"/>
      <c r="EC279" s="151"/>
      <c r="ED279" s="151"/>
      <c r="EE279" s="151"/>
      <c r="EF279" s="151"/>
      <c r="EG279" s="151"/>
      <c r="EH279" s="151"/>
      <c r="EI279" s="151"/>
      <c r="EJ279" s="151"/>
      <c r="EK279" s="151"/>
      <c r="EL279" s="151"/>
      <c r="EM279" s="151"/>
      <c r="EN279" s="151"/>
      <c r="EO279" s="151"/>
      <c r="EP279" s="151"/>
      <c r="EQ279" s="151"/>
      <c r="ER279" s="151"/>
      <c r="ES279" s="151"/>
      <c r="ET279" s="151"/>
      <c r="EU279" s="151"/>
      <c r="EV279" s="151"/>
      <c r="EW279" s="151"/>
      <c r="EX279" s="151"/>
      <c r="EY279" s="151"/>
      <c r="EZ279" s="151"/>
      <c r="FA279" s="151"/>
      <c r="FB279" s="151"/>
      <c r="FC279" s="151"/>
      <c r="FD279" s="151"/>
      <c r="FE279" s="151"/>
      <c r="FF279" s="151"/>
      <c r="FG279" s="151"/>
      <c r="FH279" s="151"/>
      <c r="FI279" s="151"/>
      <c r="FJ279" s="151"/>
      <c r="FK279" s="151"/>
      <c r="FL279" s="151"/>
      <c r="FM279" s="151"/>
      <c r="FN279" s="151"/>
      <c r="FO279" s="151"/>
      <c r="FP279" s="151"/>
      <c r="FQ279" s="151"/>
      <c r="FR279" s="151"/>
      <c r="FS279" s="151"/>
      <c r="FT279" s="151"/>
      <c r="FU279" s="151"/>
      <c r="FV279" s="151"/>
      <c r="FW279" s="151"/>
      <c r="FX279" s="151"/>
      <c r="FY279" s="151"/>
      <c r="FZ279" s="151"/>
      <c r="GA279" s="151"/>
      <c r="GB279" s="151"/>
      <c r="GC279" s="151"/>
      <c r="GD279" s="151"/>
      <c r="GE279" s="151"/>
      <c r="GF279" s="151"/>
      <c r="GG279" s="151"/>
      <c r="GH279" s="151"/>
      <c r="GI279" s="151"/>
      <c r="GJ279" s="151"/>
      <c r="GK279" s="151"/>
      <c r="GL279" s="151"/>
      <c r="GM279" s="151"/>
      <c r="GN279" s="151"/>
      <c r="GO279" s="151"/>
      <c r="GP279" s="151"/>
      <c r="GQ279" s="151"/>
      <c r="GR279" s="151"/>
      <c r="GS279" s="151"/>
      <c r="GT279" s="151"/>
      <c r="GU279" s="151"/>
      <c r="GV279" s="151"/>
      <c r="GW279" s="151"/>
      <c r="GX279" s="151"/>
      <c r="GY279" s="151"/>
      <c r="GZ279" s="151"/>
      <c r="HA279" s="151"/>
      <c r="HB279" s="151"/>
      <c r="HC279" s="151"/>
      <c r="HD279" s="151"/>
      <c r="HE279" s="151"/>
      <c r="HF279" s="151"/>
      <c r="HG279" s="151"/>
      <c r="HH279" s="151"/>
      <c r="HI279" s="151"/>
      <c r="HJ279" s="151"/>
      <c r="HK279" s="151"/>
      <c r="HL279" s="151"/>
      <c r="HM279" s="151"/>
      <c r="HN279" s="151"/>
      <c r="HO279" s="151"/>
      <c r="HP279" s="151"/>
      <c r="HQ279" s="151"/>
      <c r="HR279" s="151"/>
      <c r="HS279" s="151"/>
      <c r="HT279" s="151"/>
      <c r="HU279" s="151"/>
      <c r="HV279" s="151"/>
      <c r="HW279" s="151"/>
      <c r="HX279" s="151"/>
      <c r="HY279" s="151"/>
      <c r="HZ279" s="151"/>
      <c r="IA279" s="151"/>
      <c r="IB279" s="151"/>
      <c r="IC279" s="151"/>
      <c r="ID279" s="151"/>
      <c r="IE279" s="151"/>
      <c r="IF279" s="151"/>
      <c r="IG279" s="151"/>
      <c r="IH279" s="151"/>
      <c r="II279" s="151"/>
      <c r="IJ279" s="151"/>
      <c r="IK279" s="151"/>
      <c r="IL279" s="151"/>
      <c r="IM279" s="151"/>
      <c r="IN279" s="151"/>
      <c r="IO279" s="151"/>
      <c r="IP279" s="151"/>
      <c r="IQ279" s="151"/>
      <c r="IR279" s="151"/>
      <c r="IS279" s="151"/>
      <c r="IT279" s="151"/>
      <c r="IU279" s="151"/>
      <c r="IV279" s="151"/>
    </row>
    <row r="280" spans="1:256" hidden="1">
      <c r="A280" s="825"/>
      <c r="B280" s="828"/>
      <c r="C280" s="157" t="s">
        <v>2</v>
      </c>
      <c r="D280" s="158">
        <f>D279+D278</f>
        <v>450000</v>
      </c>
      <c r="E280" s="159">
        <f t="shared" ref="E280:P280" si="134">E279+E278</f>
        <v>450000</v>
      </c>
      <c r="F280" s="159">
        <f t="shared" si="134"/>
        <v>0</v>
      </c>
      <c r="G280" s="159">
        <f t="shared" si="134"/>
        <v>0</v>
      </c>
      <c r="H280" s="159">
        <f t="shared" si="134"/>
        <v>0</v>
      </c>
      <c r="I280" s="159">
        <f t="shared" si="134"/>
        <v>450000</v>
      </c>
      <c r="J280" s="159">
        <f t="shared" si="134"/>
        <v>0</v>
      </c>
      <c r="K280" s="159">
        <f t="shared" si="134"/>
        <v>0</v>
      </c>
      <c r="L280" s="159">
        <f t="shared" si="134"/>
        <v>0</v>
      </c>
      <c r="M280" s="159">
        <f t="shared" si="134"/>
        <v>0</v>
      </c>
      <c r="N280" s="159">
        <f t="shared" si="134"/>
        <v>0</v>
      </c>
      <c r="O280" s="159">
        <f t="shared" si="134"/>
        <v>0</v>
      </c>
      <c r="P280" s="159">
        <f t="shared" si="134"/>
        <v>0</v>
      </c>
      <c r="Q280" s="160"/>
      <c r="R280" s="160"/>
      <c r="S280" s="160"/>
      <c r="T280" s="160"/>
      <c r="U280" s="160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  <c r="CC280" s="151"/>
      <c r="CD280" s="151"/>
      <c r="CE280" s="151"/>
      <c r="CF280" s="151"/>
      <c r="CG280" s="151"/>
      <c r="CH280" s="151"/>
      <c r="CI280" s="151"/>
      <c r="CJ280" s="151"/>
      <c r="CK280" s="151"/>
      <c r="CL280" s="151"/>
      <c r="CM280" s="151"/>
      <c r="CN280" s="151"/>
      <c r="CO280" s="151"/>
      <c r="CP280" s="151"/>
      <c r="CQ280" s="151"/>
      <c r="CR280" s="151"/>
      <c r="CS280" s="151"/>
      <c r="CT280" s="151"/>
      <c r="CU280" s="151"/>
      <c r="CV280" s="151"/>
      <c r="CW280" s="151"/>
      <c r="CX280" s="151"/>
      <c r="CY280" s="151"/>
      <c r="CZ280" s="151"/>
      <c r="DA280" s="151"/>
      <c r="DB280" s="151"/>
      <c r="DC280" s="151"/>
      <c r="DD280" s="151"/>
      <c r="DE280" s="151"/>
      <c r="DF280" s="151"/>
      <c r="DG280" s="151"/>
      <c r="DH280" s="151"/>
      <c r="DI280" s="151"/>
      <c r="DJ280" s="151"/>
      <c r="DK280" s="151"/>
      <c r="DL280" s="151"/>
      <c r="DM280" s="151"/>
      <c r="DN280" s="151"/>
      <c r="DO280" s="151"/>
      <c r="DP280" s="151"/>
      <c r="DQ280" s="151"/>
      <c r="DR280" s="151"/>
      <c r="DS280" s="151"/>
      <c r="DT280" s="151"/>
      <c r="DU280" s="151"/>
      <c r="DV280" s="151"/>
      <c r="DW280" s="151"/>
      <c r="DX280" s="151"/>
      <c r="DY280" s="151"/>
      <c r="DZ280" s="151"/>
      <c r="EA280" s="151"/>
      <c r="EB280" s="151"/>
      <c r="EC280" s="151"/>
      <c r="ED280" s="151"/>
      <c r="EE280" s="151"/>
      <c r="EF280" s="151"/>
      <c r="EG280" s="151"/>
      <c r="EH280" s="151"/>
      <c r="EI280" s="151"/>
      <c r="EJ280" s="151"/>
      <c r="EK280" s="151"/>
      <c r="EL280" s="151"/>
      <c r="EM280" s="151"/>
      <c r="EN280" s="151"/>
      <c r="EO280" s="151"/>
      <c r="EP280" s="151"/>
      <c r="EQ280" s="151"/>
      <c r="ER280" s="151"/>
      <c r="ES280" s="151"/>
      <c r="ET280" s="151"/>
      <c r="EU280" s="151"/>
      <c r="EV280" s="151"/>
      <c r="EW280" s="151"/>
      <c r="EX280" s="151"/>
      <c r="EY280" s="151"/>
      <c r="EZ280" s="151"/>
      <c r="FA280" s="151"/>
      <c r="FB280" s="151"/>
      <c r="FC280" s="151"/>
      <c r="FD280" s="151"/>
      <c r="FE280" s="151"/>
      <c r="FF280" s="151"/>
      <c r="FG280" s="151"/>
      <c r="FH280" s="151"/>
      <c r="FI280" s="151"/>
      <c r="FJ280" s="151"/>
      <c r="FK280" s="151"/>
      <c r="FL280" s="151"/>
      <c r="FM280" s="151"/>
      <c r="FN280" s="151"/>
      <c r="FO280" s="151"/>
      <c r="FP280" s="151"/>
      <c r="FQ280" s="151"/>
      <c r="FR280" s="151"/>
      <c r="FS280" s="151"/>
      <c r="FT280" s="151"/>
      <c r="FU280" s="151"/>
      <c r="FV280" s="151"/>
      <c r="FW280" s="151"/>
      <c r="FX280" s="151"/>
      <c r="FY280" s="151"/>
      <c r="FZ280" s="151"/>
      <c r="GA280" s="151"/>
      <c r="GB280" s="151"/>
      <c r="GC280" s="151"/>
      <c r="GD280" s="151"/>
      <c r="GE280" s="151"/>
      <c r="GF280" s="151"/>
      <c r="GG280" s="151"/>
      <c r="GH280" s="151"/>
      <c r="GI280" s="151"/>
      <c r="GJ280" s="151"/>
      <c r="GK280" s="151"/>
      <c r="GL280" s="151"/>
      <c r="GM280" s="151"/>
      <c r="GN280" s="151"/>
      <c r="GO280" s="151"/>
      <c r="GP280" s="151"/>
      <c r="GQ280" s="151"/>
      <c r="GR280" s="151"/>
      <c r="GS280" s="151"/>
      <c r="GT280" s="151"/>
      <c r="GU280" s="151"/>
      <c r="GV280" s="151"/>
      <c r="GW280" s="151"/>
      <c r="GX280" s="151"/>
      <c r="GY280" s="151"/>
      <c r="GZ280" s="151"/>
      <c r="HA280" s="151"/>
      <c r="HB280" s="151"/>
      <c r="HC280" s="151"/>
      <c r="HD280" s="151"/>
      <c r="HE280" s="151"/>
      <c r="HF280" s="151"/>
      <c r="HG280" s="151"/>
      <c r="HH280" s="151"/>
      <c r="HI280" s="151"/>
      <c r="HJ280" s="151"/>
      <c r="HK280" s="151"/>
      <c r="HL280" s="151"/>
      <c r="HM280" s="151"/>
      <c r="HN280" s="151"/>
      <c r="HO280" s="151"/>
      <c r="HP280" s="151"/>
      <c r="HQ280" s="151"/>
      <c r="HR280" s="151"/>
      <c r="HS280" s="151"/>
      <c r="HT280" s="151"/>
      <c r="HU280" s="151"/>
      <c r="HV280" s="151"/>
      <c r="HW280" s="151"/>
      <c r="HX280" s="151"/>
      <c r="HY280" s="151"/>
      <c r="HZ280" s="151"/>
      <c r="IA280" s="151"/>
      <c r="IB280" s="151"/>
      <c r="IC280" s="151"/>
      <c r="ID280" s="151"/>
      <c r="IE280" s="151"/>
      <c r="IF280" s="151"/>
      <c r="IG280" s="151"/>
      <c r="IH280" s="151"/>
      <c r="II280" s="151"/>
      <c r="IJ280" s="151"/>
      <c r="IK280" s="151"/>
      <c r="IL280" s="151"/>
      <c r="IM280" s="151"/>
      <c r="IN280" s="151"/>
      <c r="IO280" s="151"/>
      <c r="IP280" s="151"/>
      <c r="IQ280" s="151"/>
      <c r="IR280" s="151"/>
      <c r="IS280" s="151"/>
      <c r="IT280" s="151"/>
      <c r="IU280" s="151"/>
      <c r="IV280" s="151"/>
    </row>
    <row r="281" spans="1:256" hidden="1">
      <c r="A281" s="823">
        <v>85324</v>
      </c>
      <c r="B281" s="826" t="s">
        <v>262</v>
      </c>
      <c r="C281" s="157" t="s">
        <v>0</v>
      </c>
      <c r="D281" s="158">
        <f>E281+M281</f>
        <v>554582</v>
      </c>
      <c r="E281" s="159">
        <f>F281+I281+J281+K281+L281</f>
        <v>554582</v>
      </c>
      <c r="F281" s="159">
        <f>G281+H281</f>
        <v>554582</v>
      </c>
      <c r="G281" s="159">
        <v>485582</v>
      </c>
      <c r="H281" s="159">
        <f>50000+2000+2000+2000+3000+10000</f>
        <v>69000</v>
      </c>
      <c r="I281" s="159">
        <v>0</v>
      </c>
      <c r="J281" s="159">
        <v>0</v>
      </c>
      <c r="K281" s="159">
        <v>0</v>
      </c>
      <c r="L281" s="159">
        <v>0</v>
      </c>
      <c r="M281" s="159">
        <f>N281+P281</f>
        <v>0</v>
      </c>
      <c r="N281" s="159">
        <v>0</v>
      </c>
      <c r="O281" s="159">
        <v>0</v>
      </c>
      <c r="P281" s="159">
        <v>0</v>
      </c>
      <c r="Q281" s="160"/>
      <c r="R281" s="160"/>
      <c r="S281" s="160"/>
      <c r="T281" s="160"/>
      <c r="U281" s="160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1"/>
      <c r="BN281" s="151"/>
      <c r="BO281" s="151"/>
      <c r="BP281" s="151"/>
      <c r="BQ281" s="151"/>
      <c r="BR281" s="151"/>
      <c r="BS281" s="151"/>
      <c r="BT281" s="151"/>
      <c r="BU281" s="151"/>
      <c r="BV281" s="151"/>
      <c r="BW281" s="151"/>
      <c r="BX281" s="151"/>
      <c r="BY281" s="151"/>
      <c r="BZ281" s="151"/>
      <c r="CA281" s="151"/>
      <c r="CB281" s="151"/>
      <c r="CC281" s="151"/>
      <c r="CD281" s="151"/>
      <c r="CE281" s="151"/>
      <c r="CF281" s="151"/>
      <c r="CG281" s="151"/>
      <c r="CH281" s="151"/>
      <c r="CI281" s="151"/>
      <c r="CJ281" s="151"/>
      <c r="CK281" s="151"/>
      <c r="CL281" s="151"/>
      <c r="CM281" s="151"/>
      <c r="CN281" s="151"/>
      <c r="CO281" s="151"/>
      <c r="CP281" s="151"/>
      <c r="CQ281" s="151"/>
      <c r="CR281" s="151"/>
      <c r="CS281" s="151"/>
      <c r="CT281" s="151"/>
      <c r="CU281" s="151"/>
      <c r="CV281" s="151"/>
      <c r="CW281" s="151"/>
      <c r="CX281" s="151"/>
      <c r="CY281" s="151"/>
      <c r="CZ281" s="151"/>
      <c r="DA281" s="151"/>
      <c r="DB281" s="151"/>
      <c r="DC281" s="151"/>
      <c r="DD281" s="151"/>
      <c r="DE281" s="151"/>
      <c r="DF281" s="151"/>
      <c r="DG281" s="151"/>
      <c r="DH281" s="151"/>
      <c r="DI281" s="151"/>
      <c r="DJ281" s="151"/>
      <c r="DK281" s="151"/>
      <c r="DL281" s="151"/>
      <c r="DM281" s="151"/>
      <c r="DN281" s="151"/>
      <c r="DO281" s="151"/>
      <c r="DP281" s="151"/>
      <c r="DQ281" s="151"/>
      <c r="DR281" s="151"/>
      <c r="DS281" s="151"/>
      <c r="DT281" s="151"/>
      <c r="DU281" s="151"/>
      <c r="DV281" s="151"/>
      <c r="DW281" s="151"/>
      <c r="DX281" s="151"/>
      <c r="DY281" s="151"/>
      <c r="DZ281" s="151"/>
      <c r="EA281" s="151"/>
      <c r="EB281" s="151"/>
      <c r="EC281" s="151"/>
      <c r="ED281" s="151"/>
      <c r="EE281" s="151"/>
      <c r="EF281" s="151"/>
      <c r="EG281" s="151"/>
      <c r="EH281" s="151"/>
      <c r="EI281" s="151"/>
      <c r="EJ281" s="151"/>
      <c r="EK281" s="151"/>
      <c r="EL281" s="151"/>
      <c r="EM281" s="151"/>
      <c r="EN281" s="151"/>
      <c r="EO281" s="151"/>
      <c r="EP281" s="151"/>
      <c r="EQ281" s="151"/>
      <c r="ER281" s="151"/>
      <c r="ES281" s="151"/>
      <c r="ET281" s="151"/>
      <c r="EU281" s="151"/>
      <c r="EV281" s="151"/>
      <c r="EW281" s="151"/>
      <c r="EX281" s="151"/>
      <c r="EY281" s="151"/>
      <c r="EZ281" s="151"/>
      <c r="FA281" s="151"/>
      <c r="FB281" s="151"/>
      <c r="FC281" s="151"/>
      <c r="FD281" s="151"/>
      <c r="FE281" s="151"/>
      <c r="FF281" s="151"/>
      <c r="FG281" s="151"/>
      <c r="FH281" s="151"/>
      <c r="FI281" s="151"/>
      <c r="FJ281" s="151"/>
      <c r="FK281" s="151"/>
      <c r="FL281" s="151"/>
      <c r="FM281" s="151"/>
      <c r="FN281" s="151"/>
      <c r="FO281" s="151"/>
      <c r="FP281" s="151"/>
      <c r="FQ281" s="151"/>
      <c r="FR281" s="151"/>
      <c r="FS281" s="151"/>
      <c r="FT281" s="151"/>
      <c r="FU281" s="151"/>
      <c r="FV281" s="151"/>
      <c r="FW281" s="151"/>
      <c r="FX281" s="151"/>
      <c r="FY281" s="151"/>
      <c r="FZ281" s="151"/>
      <c r="GA281" s="151"/>
      <c r="GB281" s="151"/>
      <c r="GC281" s="151"/>
      <c r="GD281" s="151"/>
      <c r="GE281" s="151"/>
      <c r="GF281" s="151"/>
      <c r="GG281" s="151"/>
      <c r="GH281" s="151"/>
      <c r="GI281" s="151"/>
      <c r="GJ281" s="151"/>
      <c r="GK281" s="151"/>
      <c r="GL281" s="151"/>
      <c r="GM281" s="151"/>
      <c r="GN281" s="151"/>
      <c r="GO281" s="151"/>
      <c r="GP281" s="151"/>
      <c r="GQ281" s="151"/>
      <c r="GR281" s="151"/>
      <c r="GS281" s="151"/>
      <c r="GT281" s="151"/>
      <c r="GU281" s="151"/>
      <c r="GV281" s="151"/>
      <c r="GW281" s="151"/>
      <c r="GX281" s="151"/>
      <c r="GY281" s="151"/>
      <c r="GZ281" s="151"/>
      <c r="HA281" s="151"/>
      <c r="HB281" s="151"/>
      <c r="HC281" s="151"/>
      <c r="HD281" s="151"/>
      <c r="HE281" s="151"/>
      <c r="HF281" s="151"/>
      <c r="HG281" s="151"/>
      <c r="HH281" s="151"/>
      <c r="HI281" s="151"/>
      <c r="HJ281" s="151"/>
      <c r="HK281" s="151"/>
      <c r="HL281" s="151"/>
      <c r="HM281" s="151"/>
      <c r="HN281" s="151"/>
      <c r="HO281" s="151"/>
      <c r="HP281" s="151"/>
      <c r="HQ281" s="151"/>
      <c r="HR281" s="151"/>
      <c r="HS281" s="151"/>
      <c r="HT281" s="151"/>
      <c r="HU281" s="151"/>
      <c r="HV281" s="151"/>
      <c r="HW281" s="151"/>
      <c r="HX281" s="151"/>
      <c r="HY281" s="151"/>
      <c r="HZ281" s="151"/>
      <c r="IA281" s="151"/>
      <c r="IB281" s="151"/>
      <c r="IC281" s="151"/>
      <c r="ID281" s="151"/>
      <c r="IE281" s="151"/>
      <c r="IF281" s="151"/>
      <c r="IG281" s="151"/>
      <c r="IH281" s="151"/>
      <c r="II281" s="151"/>
      <c r="IJ281" s="151"/>
      <c r="IK281" s="151"/>
      <c r="IL281" s="151"/>
      <c r="IM281" s="151"/>
      <c r="IN281" s="151"/>
      <c r="IO281" s="151"/>
      <c r="IP281" s="151"/>
      <c r="IQ281" s="151"/>
      <c r="IR281" s="151"/>
      <c r="IS281" s="151"/>
      <c r="IT281" s="151"/>
      <c r="IU281" s="151"/>
      <c r="IV281" s="151"/>
    </row>
    <row r="282" spans="1:256" hidden="1">
      <c r="A282" s="824"/>
      <c r="B282" s="827"/>
      <c r="C282" s="157" t="s">
        <v>1</v>
      </c>
      <c r="D282" s="158">
        <f>E282+M282</f>
        <v>0</v>
      </c>
      <c r="E282" s="159">
        <f>F282+I282+J282+K282+L282</f>
        <v>0</v>
      </c>
      <c r="F282" s="159">
        <f>G282+H282</f>
        <v>0</v>
      </c>
      <c r="G282" s="159"/>
      <c r="H282" s="159"/>
      <c r="I282" s="159"/>
      <c r="J282" s="159"/>
      <c r="K282" s="159"/>
      <c r="L282" s="159"/>
      <c r="M282" s="159">
        <f>N282+P282</f>
        <v>0</v>
      </c>
      <c r="N282" s="159"/>
      <c r="O282" s="159"/>
      <c r="P282" s="159"/>
      <c r="Q282" s="160"/>
      <c r="R282" s="160"/>
      <c r="S282" s="160"/>
      <c r="T282" s="160"/>
      <c r="U282" s="160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1"/>
      <c r="BN282" s="151"/>
      <c r="BO282" s="151"/>
      <c r="BP282" s="151"/>
      <c r="BQ282" s="151"/>
      <c r="BR282" s="151"/>
      <c r="BS282" s="151"/>
      <c r="BT282" s="151"/>
      <c r="BU282" s="151"/>
      <c r="BV282" s="151"/>
      <c r="BW282" s="151"/>
      <c r="BX282" s="151"/>
      <c r="BY282" s="151"/>
      <c r="BZ282" s="151"/>
      <c r="CA282" s="151"/>
      <c r="CB282" s="151"/>
      <c r="CC282" s="151"/>
      <c r="CD282" s="151"/>
      <c r="CE282" s="151"/>
      <c r="CF282" s="151"/>
      <c r="CG282" s="151"/>
      <c r="CH282" s="151"/>
      <c r="CI282" s="151"/>
      <c r="CJ282" s="151"/>
      <c r="CK282" s="151"/>
      <c r="CL282" s="151"/>
      <c r="CM282" s="151"/>
      <c r="CN282" s="151"/>
      <c r="CO282" s="151"/>
      <c r="CP282" s="151"/>
      <c r="CQ282" s="151"/>
      <c r="CR282" s="151"/>
      <c r="CS282" s="151"/>
      <c r="CT282" s="151"/>
      <c r="CU282" s="151"/>
      <c r="CV282" s="151"/>
      <c r="CW282" s="151"/>
      <c r="CX282" s="151"/>
      <c r="CY282" s="151"/>
      <c r="CZ282" s="151"/>
      <c r="DA282" s="151"/>
      <c r="DB282" s="151"/>
      <c r="DC282" s="151"/>
      <c r="DD282" s="151"/>
      <c r="DE282" s="151"/>
      <c r="DF282" s="151"/>
      <c r="DG282" s="151"/>
      <c r="DH282" s="151"/>
      <c r="DI282" s="151"/>
      <c r="DJ282" s="151"/>
      <c r="DK282" s="151"/>
      <c r="DL282" s="151"/>
      <c r="DM282" s="151"/>
      <c r="DN282" s="151"/>
      <c r="DO282" s="151"/>
      <c r="DP282" s="151"/>
      <c r="DQ282" s="151"/>
      <c r="DR282" s="151"/>
      <c r="DS282" s="151"/>
      <c r="DT282" s="151"/>
      <c r="DU282" s="151"/>
      <c r="DV282" s="151"/>
      <c r="DW282" s="151"/>
      <c r="DX282" s="151"/>
      <c r="DY282" s="151"/>
      <c r="DZ282" s="151"/>
      <c r="EA282" s="151"/>
      <c r="EB282" s="151"/>
      <c r="EC282" s="151"/>
      <c r="ED282" s="151"/>
      <c r="EE282" s="151"/>
      <c r="EF282" s="151"/>
      <c r="EG282" s="151"/>
      <c r="EH282" s="151"/>
      <c r="EI282" s="151"/>
      <c r="EJ282" s="151"/>
      <c r="EK282" s="151"/>
      <c r="EL282" s="151"/>
      <c r="EM282" s="151"/>
      <c r="EN282" s="151"/>
      <c r="EO282" s="151"/>
      <c r="EP282" s="151"/>
      <c r="EQ282" s="151"/>
      <c r="ER282" s="151"/>
      <c r="ES282" s="151"/>
      <c r="ET282" s="151"/>
      <c r="EU282" s="151"/>
      <c r="EV282" s="151"/>
      <c r="EW282" s="151"/>
      <c r="EX282" s="151"/>
      <c r="EY282" s="151"/>
      <c r="EZ282" s="151"/>
      <c r="FA282" s="151"/>
      <c r="FB282" s="151"/>
      <c r="FC282" s="151"/>
      <c r="FD282" s="151"/>
      <c r="FE282" s="151"/>
      <c r="FF282" s="151"/>
      <c r="FG282" s="151"/>
      <c r="FH282" s="151"/>
      <c r="FI282" s="151"/>
      <c r="FJ282" s="151"/>
      <c r="FK282" s="151"/>
      <c r="FL282" s="151"/>
      <c r="FM282" s="151"/>
      <c r="FN282" s="151"/>
      <c r="FO282" s="151"/>
      <c r="FP282" s="151"/>
      <c r="FQ282" s="151"/>
      <c r="FR282" s="151"/>
      <c r="FS282" s="151"/>
      <c r="FT282" s="151"/>
      <c r="FU282" s="151"/>
      <c r="FV282" s="151"/>
      <c r="FW282" s="151"/>
      <c r="FX282" s="151"/>
      <c r="FY282" s="151"/>
      <c r="FZ282" s="151"/>
      <c r="GA282" s="151"/>
      <c r="GB282" s="151"/>
      <c r="GC282" s="151"/>
      <c r="GD282" s="151"/>
      <c r="GE282" s="151"/>
      <c r="GF282" s="151"/>
      <c r="GG282" s="151"/>
      <c r="GH282" s="151"/>
      <c r="GI282" s="151"/>
      <c r="GJ282" s="151"/>
      <c r="GK282" s="151"/>
      <c r="GL282" s="151"/>
      <c r="GM282" s="151"/>
      <c r="GN282" s="151"/>
      <c r="GO282" s="151"/>
      <c r="GP282" s="151"/>
      <c r="GQ282" s="151"/>
      <c r="GR282" s="151"/>
      <c r="GS282" s="151"/>
      <c r="GT282" s="151"/>
      <c r="GU282" s="151"/>
      <c r="GV282" s="151"/>
      <c r="GW282" s="151"/>
      <c r="GX282" s="151"/>
      <c r="GY282" s="151"/>
      <c r="GZ282" s="151"/>
      <c r="HA282" s="151"/>
      <c r="HB282" s="151"/>
      <c r="HC282" s="151"/>
      <c r="HD282" s="151"/>
      <c r="HE282" s="151"/>
      <c r="HF282" s="151"/>
      <c r="HG282" s="151"/>
      <c r="HH282" s="151"/>
      <c r="HI282" s="151"/>
      <c r="HJ282" s="151"/>
      <c r="HK282" s="151"/>
      <c r="HL282" s="151"/>
      <c r="HM282" s="151"/>
      <c r="HN282" s="151"/>
      <c r="HO282" s="151"/>
      <c r="HP282" s="151"/>
      <c r="HQ282" s="151"/>
      <c r="HR282" s="151"/>
      <c r="HS282" s="151"/>
      <c r="HT282" s="151"/>
      <c r="HU282" s="151"/>
      <c r="HV282" s="151"/>
      <c r="HW282" s="151"/>
      <c r="HX282" s="151"/>
      <c r="HY282" s="151"/>
      <c r="HZ282" s="151"/>
      <c r="IA282" s="151"/>
      <c r="IB282" s="151"/>
      <c r="IC282" s="151"/>
      <c r="ID282" s="151"/>
      <c r="IE282" s="151"/>
      <c r="IF282" s="151"/>
      <c r="IG282" s="151"/>
      <c r="IH282" s="151"/>
      <c r="II282" s="151"/>
      <c r="IJ282" s="151"/>
      <c r="IK282" s="151"/>
      <c r="IL282" s="151"/>
      <c r="IM282" s="151"/>
      <c r="IN282" s="151"/>
      <c r="IO282" s="151"/>
      <c r="IP282" s="151"/>
      <c r="IQ282" s="151"/>
      <c r="IR282" s="151"/>
      <c r="IS282" s="151"/>
      <c r="IT282" s="151"/>
      <c r="IU282" s="151"/>
      <c r="IV282" s="151"/>
    </row>
    <row r="283" spans="1:256" hidden="1">
      <c r="A283" s="825"/>
      <c r="B283" s="828"/>
      <c r="C283" s="157" t="s">
        <v>2</v>
      </c>
      <c r="D283" s="158">
        <f>D282+D281</f>
        <v>554582</v>
      </c>
      <c r="E283" s="159">
        <f t="shared" ref="E283:P283" si="135">E282+E281</f>
        <v>554582</v>
      </c>
      <c r="F283" s="159">
        <f t="shared" si="135"/>
        <v>554582</v>
      </c>
      <c r="G283" s="159">
        <f t="shared" si="135"/>
        <v>485582</v>
      </c>
      <c r="H283" s="159">
        <f t="shared" si="135"/>
        <v>69000</v>
      </c>
      <c r="I283" s="159">
        <f t="shared" si="135"/>
        <v>0</v>
      </c>
      <c r="J283" s="159">
        <f t="shared" si="135"/>
        <v>0</v>
      </c>
      <c r="K283" s="159">
        <f t="shared" si="135"/>
        <v>0</v>
      </c>
      <c r="L283" s="159">
        <f t="shared" si="135"/>
        <v>0</v>
      </c>
      <c r="M283" s="159">
        <f t="shared" si="135"/>
        <v>0</v>
      </c>
      <c r="N283" s="159">
        <f t="shared" si="135"/>
        <v>0</v>
      </c>
      <c r="O283" s="159">
        <f t="shared" si="135"/>
        <v>0</v>
      </c>
      <c r="P283" s="159">
        <f t="shared" si="135"/>
        <v>0</v>
      </c>
      <c r="Q283" s="160"/>
      <c r="R283" s="160"/>
      <c r="S283" s="160"/>
      <c r="T283" s="160"/>
      <c r="U283" s="160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1"/>
      <c r="BN283" s="151"/>
      <c r="BO283" s="151"/>
      <c r="BP283" s="151"/>
      <c r="BQ283" s="151"/>
      <c r="BR283" s="151"/>
      <c r="BS283" s="151"/>
      <c r="BT283" s="151"/>
      <c r="BU283" s="151"/>
      <c r="BV283" s="151"/>
      <c r="BW283" s="151"/>
      <c r="BX283" s="151"/>
      <c r="BY283" s="151"/>
      <c r="BZ283" s="151"/>
      <c r="CA283" s="151"/>
      <c r="CB283" s="151"/>
      <c r="CC283" s="151"/>
      <c r="CD283" s="151"/>
      <c r="CE283" s="151"/>
      <c r="CF283" s="151"/>
      <c r="CG283" s="151"/>
      <c r="CH283" s="151"/>
      <c r="CI283" s="151"/>
      <c r="CJ283" s="151"/>
      <c r="CK283" s="151"/>
      <c r="CL283" s="151"/>
      <c r="CM283" s="151"/>
      <c r="CN283" s="151"/>
      <c r="CO283" s="151"/>
      <c r="CP283" s="151"/>
      <c r="CQ283" s="151"/>
      <c r="CR283" s="151"/>
      <c r="CS283" s="151"/>
      <c r="CT283" s="151"/>
      <c r="CU283" s="151"/>
      <c r="CV283" s="151"/>
      <c r="CW283" s="151"/>
      <c r="CX283" s="151"/>
      <c r="CY283" s="151"/>
      <c r="CZ283" s="151"/>
      <c r="DA283" s="151"/>
      <c r="DB283" s="151"/>
      <c r="DC283" s="151"/>
      <c r="DD283" s="151"/>
      <c r="DE283" s="151"/>
      <c r="DF283" s="151"/>
      <c r="DG283" s="151"/>
      <c r="DH283" s="151"/>
      <c r="DI283" s="151"/>
      <c r="DJ283" s="151"/>
      <c r="DK283" s="151"/>
      <c r="DL283" s="151"/>
      <c r="DM283" s="151"/>
      <c r="DN283" s="151"/>
      <c r="DO283" s="151"/>
      <c r="DP283" s="151"/>
      <c r="DQ283" s="151"/>
      <c r="DR283" s="151"/>
      <c r="DS283" s="151"/>
      <c r="DT283" s="151"/>
      <c r="DU283" s="151"/>
      <c r="DV283" s="151"/>
      <c r="DW283" s="151"/>
      <c r="DX283" s="151"/>
      <c r="DY283" s="151"/>
      <c r="DZ283" s="151"/>
      <c r="EA283" s="151"/>
      <c r="EB283" s="151"/>
      <c r="EC283" s="151"/>
      <c r="ED283" s="151"/>
      <c r="EE283" s="151"/>
      <c r="EF283" s="151"/>
      <c r="EG283" s="151"/>
      <c r="EH283" s="151"/>
      <c r="EI283" s="151"/>
      <c r="EJ283" s="151"/>
      <c r="EK283" s="151"/>
      <c r="EL283" s="151"/>
      <c r="EM283" s="151"/>
      <c r="EN283" s="151"/>
      <c r="EO283" s="151"/>
      <c r="EP283" s="151"/>
      <c r="EQ283" s="151"/>
      <c r="ER283" s="151"/>
      <c r="ES283" s="151"/>
      <c r="ET283" s="151"/>
      <c r="EU283" s="151"/>
      <c r="EV283" s="151"/>
      <c r="EW283" s="151"/>
      <c r="EX283" s="151"/>
      <c r="EY283" s="151"/>
      <c r="EZ283" s="151"/>
      <c r="FA283" s="151"/>
      <c r="FB283" s="151"/>
      <c r="FC283" s="151"/>
      <c r="FD283" s="151"/>
      <c r="FE283" s="151"/>
      <c r="FF283" s="151"/>
      <c r="FG283" s="151"/>
      <c r="FH283" s="151"/>
      <c r="FI283" s="151"/>
      <c r="FJ283" s="151"/>
      <c r="FK283" s="151"/>
      <c r="FL283" s="151"/>
      <c r="FM283" s="151"/>
      <c r="FN283" s="151"/>
      <c r="FO283" s="151"/>
      <c r="FP283" s="151"/>
      <c r="FQ283" s="151"/>
      <c r="FR283" s="151"/>
      <c r="FS283" s="151"/>
      <c r="FT283" s="151"/>
      <c r="FU283" s="151"/>
      <c r="FV283" s="151"/>
      <c r="FW283" s="151"/>
      <c r="FX283" s="151"/>
      <c r="FY283" s="151"/>
      <c r="FZ283" s="151"/>
      <c r="GA283" s="151"/>
      <c r="GB283" s="151"/>
      <c r="GC283" s="151"/>
      <c r="GD283" s="151"/>
      <c r="GE283" s="151"/>
      <c r="GF283" s="151"/>
      <c r="GG283" s="151"/>
      <c r="GH283" s="151"/>
      <c r="GI283" s="151"/>
      <c r="GJ283" s="151"/>
      <c r="GK283" s="151"/>
      <c r="GL283" s="151"/>
      <c r="GM283" s="151"/>
      <c r="GN283" s="151"/>
      <c r="GO283" s="151"/>
      <c r="GP283" s="151"/>
      <c r="GQ283" s="151"/>
      <c r="GR283" s="151"/>
      <c r="GS283" s="151"/>
      <c r="GT283" s="151"/>
      <c r="GU283" s="151"/>
      <c r="GV283" s="151"/>
      <c r="GW283" s="151"/>
      <c r="GX283" s="151"/>
      <c r="GY283" s="151"/>
      <c r="GZ283" s="151"/>
      <c r="HA283" s="151"/>
      <c r="HB283" s="151"/>
      <c r="HC283" s="151"/>
      <c r="HD283" s="151"/>
      <c r="HE283" s="151"/>
      <c r="HF283" s="151"/>
      <c r="HG283" s="151"/>
      <c r="HH283" s="151"/>
      <c r="HI283" s="151"/>
      <c r="HJ283" s="151"/>
      <c r="HK283" s="151"/>
      <c r="HL283" s="151"/>
      <c r="HM283" s="151"/>
      <c r="HN283" s="151"/>
      <c r="HO283" s="151"/>
      <c r="HP283" s="151"/>
      <c r="HQ283" s="151"/>
      <c r="HR283" s="151"/>
      <c r="HS283" s="151"/>
      <c r="HT283" s="151"/>
      <c r="HU283" s="151"/>
      <c r="HV283" s="151"/>
      <c r="HW283" s="151"/>
      <c r="HX283" s="151"/>
      <c r="HY283" s="151"/>
      <c r="HZ283" s="151"/>
      <c r="IA283" s="151"/>
      <c r="IB283" s="151"/>
      <c r="IC283" s="151"/>
      <c r="ID283" s="151"/>
      <c r="IE283" s="151"/>
      <c r="IF283" s="151"/>
      <c r="IG283" s="151"/>
      <c r="IH283" s="151"/>
      <c r="II283" s="151"/>
      <c r="IJ283" s="151"/>
      <c r="IK283" s="151"/>
      <c r="IL283" s="151"/>
      <c r="IM283" s="151"/>
      <c r="IN283" s="151"/>
      <c r="IO283" s="151"/>
      <c r="IP283" s="151"/>
      <c r="IQ283" s="151"/>
      <c r="IR283" s="151"/>
      <c r="IS283" s="151"/>
      <c r="IT283" s="151"/>
      <c r="IU283" s="151"/>
      <c r="IV283" s="151"/>
    </row>
    <row r="284" spans="1:256">
      <c r="A284" s="823">
        <v>85325</v>
      </c>
      <c r="B284" s="826" t="s">
        <v>119</v>
      </c>
      <c r="C284" s="157" t="s">
        <v>0</v>
      </c>
      <c r="D284" s="158">
        <f>E284+M284</f>
        <v>1706000</v>
      </c>
      <c r="E284" s="159">
        <f>F284+I284+J284+K284+L284</f>
        <v>1706000</v>
      </c>
      <c r="F284" s="159">
        <f>G284+H284</f>
        <v>1703000</v>
      </c>
      <c r="G284" s="159">
        <v>1392000</v>
      </c>
      <c r="H284" s="159">
        <f>35000+40000+3000+2000+54000+22000+104000+1000+3000+36000+3000+8000</f>
        <v>311000</v>
      </c>
      <c r="I284" s="159">
        <v>0</v>
      </c>
      <c r="J284" s="159">
        <v>3000</v>
      </c>
      <c r="K284" s="159">
        <v>0</v>
      </c>
      <c r="L284" s="159">
        <v>0</v>
      </c>
      <c r="M284" s="159">
        <f>N284+P284</f>
        <v>0</v>
      </c>
      <c r="N284" s="159">
        <v>0</v>
      </c>
      <c r="O284" s="159">
        <v>0</v>
      </c>
      <c r="P284" s="159">
        <v>0</v>
      </c>
      <c r="Q284" s="160"/>
      <c r="R284" s="160"/>
      <c r="S284" s="160"/>
      <c r="T284" s="160"/>
      <c r="U284" s="160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1"/>
      <c r="BN284" s="151"/>
      <c r="BO284" s="151"/>
      <c r="BP284" s="151"/>
      <c r="BQ284" s="151"/>
      <c r="BR284" s="151"/>
      <c r="BS284" s="151"/>
      <c r="BT284" s="151"/>
      <c r="BU284" s="151"/>
      <c r="BV284" s="151"/>
      <c r="BW284" s="151"/>
      <c r="BX284" s="151"/>
      <c r="BY284" s="151"/>
      <c r="BZ284" s="151"/>
      <c r="CA284" s="151"/>
      <c r="CB284" s="151"/>
      <c r="CC284" s="151"/>
      <c r="CD284" s="151"/>
      <c r="CE284" s="151"/>
      <c r="CF284" s="151"/>
      <c r="CG284" s="151"/>
      <c r="CH284" s="151"/>
      <c r="CI284" s="151"/>
      <c r="CJ284" s="151"/>
      <c r="CK284" s="151"/>
      <c r="CL284" s="151"/>
      <c r="CM284" s="151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151"/>
      <c r="FE284" s="151"/>
      <c r="FF284" s="151"/>
      <c r="FG284" s="151"/>
      <c r="FH284" s="151"/>
      <c r="FI284" s="151"/>
      <c r="FJ284" s="151"/>
      <c r="FK284" s="151"/>
      <c r="FL284" s="151"/>
      <c r="FM284" s="151"/>
      <c r="FN284" s="151"/>
      <c r="FO284" s="151"/>
      <c r="FP284" s="151"/>
      <c r="FQ284" s="151"/>
      <c r="FR284" s="151"/>
      <c r="FS284" s="151"/>
      <c r="FT284" s="151"/>
      <c r="FU284" s="151"/>
      <c r="FV284" s="151"/>
      <c r="FW284" s="151"/>
      <c r="FX284" s="151"/>
      <c r="FY284" s="151"/>
      <c r="FZ284" s="151"/>
      <c r="GA284" s="151"/>
      <c r="GB284" s="151"/>
      <c r="GC284" s="151"/>
      <c r="GD284" s="151"/>
      <c r="GE284" s="151"/>
      <c r="GF284" s="151"/>
      <c r="GG284" s="151"/>
      <c r="GH284" s="151"/>
      <c r="GI284" s="151"/>
      <c r="GJ284" s="151"/>
      <c r="GK284" s="151"/>
      <c r="GL284" s="151"/>
      <c r="GM284" s="151"/>
      <c r="GN284" s="151"/>
      <c r="GO284" s="151"/>
      <c r="GP284" s="151"/>
      <c r="GQ284" s="151"/>
      <c r="GR284" s="151"/>
      <c r="GS284" s="151"/>
      <c r="GT284" s="151"/>
      <c r="GU284" s="151"/>
      <c r="GV284" s="151"/>
      <c r="GW284" s="151"/>
      <c r="GX284" s="151"/>
      <c r="GY284" s="151"/>
      <c r="GZ284" s="151"/>
      <c r="HA284" s="151"/>
      <c r="HB284" s="151"/>
      <c r="HC284" s="151"/>
      <c r="HD284" s="151"/>
      <c r="HE284" s="151"/>
      <c r="HF284" s="151"/>
      <c r="HG284" s="151"/>
      <c r="HH284" s="151"/>
      <c r="HI284" s="151"/>
      <c r="HJ284" s="151"/>
      <c r="HK284" s="151"/>
      <c r="HL284" s="151"/>
      <c r="HM284" s="151"/>
      <c r="HN284" s="151"/>
      <c r="HO284" s="151"/>
      <c r="HP284" s="151"/>
      <c r="HQ284" s="151"/>
      <c r="HR284" s="151"/>
      <c r="HS284" s="151"/>
      <c r="HT284" s="151"/>
      <c r="HU284" s="151"/>
      <c r="HV284" s="151"/>
      <c r="HW284" s="151"/>
      <c r="HX284" s="151"/>
      <c r="HY284" s="151"/>
      <c r="HZ284" s="151"/>
      <c r="IA284" s="151"/>
      <c r="IB284" s="151"/>
      <c r="IC284" s="151"/>
      <c r="ID284" s="151"/>
      <c r="IE284" s="151"/>
      <c r="IF284" s="151"/>
      <c r="IG284" s="151"/>
      <c r="IH284" s="151"/>
      <c r="II284" s="151"/>
      <c r="IJ284" s="151"/>
      <c r="IK284" s="151"/>
      <c r="IL284" s="151"/>
      <c r="IM284" s="151"/>
      <c r="IN284" s="151"/>
      <c r="IO284" s="151"/>
      <c r="IP284" s="151"/>
      <c r="IQ284" s="151"/>
      <c r="IR284" s="151"/>
      <c r="IS284" s="151"/>
      <c r="IT284" s="151"/>
      <c r="IU284" s="151"/>
      <c r="IV284" s="151"/>
    </row>
    <row r="285" spans="1:256">
      <c r="A285" s="824"/>
      <c r="B285" s="827"/>
      <c r="C285" s="157" t="s">
        <v>1</v>
      </c>
      <c r="D285" s="158">
        <f>E285+M285</f>
        <v>42000</v>
      </c>
      <c r="E285" s="159">
        <f>F285+I285+J285+K285+L285</f>
        <v>42000</v>
      </c>
      <c r="F285" s="159">
        <f>G285+H285</f>
        <v>42000</v>
      </c>
      <c r="G285" s="159"/>
      <c r="H285" s="159">
        <v>42000</v>
      </c>
      <c r="I285" s="159"/>
      <c r="J285" s="159"/>
      <c r="K285" s="159"/>
      <c r="L285" s="159"/>
      <c r="M285" s="159">
        <f>N285+P285</f>
        <v>0</v>
      </c>
      <c r="N285" s="159"/>
      <c r="O285" s="159"/>
      <c r="P285" s="159"/>
      <c r="Q285" s="160"/>
      <c r="R285" s="160"/>
      <c r="S285" s="160"/>
      <c r="T285" s="160"/>
      <c r="U285" s="160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1"/>
      <c r="BN285" s="151"/>
      <c r="BO285" s="151"/>
      <c r="BP285" s="151"/>
      <c r="BQ285" s="151"/>
      <c r="BR285" s="151"/>
      <c r="BS285" s="151"/>
      <c r="BT285" s="151"/>
      <c r="BU285" s="151"/>
      <c r="BV285" s="151"/>
      <c r="BW285" s="151"/>
      <c r="BX285" s="151"/>
      <c r="BY285" s="151"/>
      <c r="BZ285" s="151"/>
      <c r="CA285" s="151"/>
      <c r="CB285" s="151"/>
      <c r="CC285" s="151"/>
      <c r="CD285" s="151"/>
      <c r="CE285" s="151"/>
      <c r="CF285" s="151"/>
      <c r="CG285" s="151"/>
      <c r="CH285" s="151"/>
      <c r="CI285" s="151"/>
      <c r="CJ285" s="151"/>
      <c r="CK285" s="151"/>
      <c r="CL285" s="151"/>
      <c r="CM285" s="151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151"/>
      <c r="FE285" s="151"/>
      <c r="FF285" s="151"/>
      <c r="FG285" s="151"/>
      <c r="FH285" s="151"/>
      <c r="FI285" s="151"/>
      <c r="FJ285" s="151"/>
      <c r="FK285" s="151"/>
      <c r="FL285" s="151"/>
      <c r="FM285" s="151"/>
      <c r="FN285" s="151"/>
      <c r="FO285" s="151"/>
      <c r="FP285" s="151"/>
      <c r="FQ285" s="151"/>
      <c r="FR285" s="151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  <c r="GD285" s="151"/>
      <c r="GE285" s="151"/>
      <c r="GF285" s="151"/>
      <c r="GG285" s="151"/>
      <c r="GH285" s="151"/>
      <c r="GI285" s="151"/>
      <c r="GJ285" s="151"/>
      <c r="GK285" s="151"/>
      <c r="GL285" s="151"/>
      <c r="GM285" s="151"/>
      <c r="GN285" s="151"/>
      <c r="GO285" s="151"/>
      <c r="GP285" s="151"/>
      <c r="GQ285" s="151"/>
      <c r="GR285" s="151"/>
      <c r="GS285" s="151"/>
      <c r="GT285" s="151"/>
      <c r="GU285" s="151"/>
      <c r="GV285" s="151"/>
      <c r="GW285" s="151"/>
      <c r="GX285" s="151"/>
      <c r="GY285" s="151"/>
      <c r="GZ285" s="151"/>
      <c r="HA285" s="151"/>
      <c r="HB285" s="151"/>
      <c r="HC285" s="151"/>
      <c r="HD285" s="151"/>
      <c r="HE285" s="151"/>
      <c r="HF285" s="151"/>
      <c r="HG285" s="151"/>
      <c r="HH285" s="151"/>
      <c r="HI285" s="151"/>
      <c r="HJ285" s="151"/>
      <c r="HK285" s="151"/>
      <c r="HL285" s="151"/>
      <c r="HM285" s="151"/>
      <c r="HN285" s="151"/>
      <c r="HO285" s="151"/>
      <c r="HP285" s="151"/>
      <c r="HQ285" s="151"/>
      <c r="HR285" s="151"/>
      <c r="HS285" s="151"/>
      <c r="HT285" s="151"/>
      <c r="HU285" s="151"/>
      <c r="HV285" s="151"/>
      <c r="HW285" s="151"/>
      <c r="HX285" s="151"/>
      <c r="HY285" s="151"/>
      <c r="HZ285" s="151"/>
      <c r="IA285" s="151"/>
      <c r="IB285" s="151"/>
      <c r="IC285" s="151"/>
      <c r="ID285" s="151"/>
      <c r="IE285" s="151"/>
      <c r="IF285" s="151"/>
      <c r="IG285" s="151"/>
      <c r="IH285" s="151"/>
      <c r="II285" s="151"/>
      <c r="IJ285" s="151"/>
      <c r="IK285" s="151"/>
      <c r="IL285" s="151"/>
      <c r="IM285" s="151"/>
      <c r="IN285" s="151"/>
      <c r="IO285" s="151"/>
      <c r="IP285" s="151"/>
      <c r="IQ285" s="151"/>
      <c r="IR285" s="151"/>
      <c r="IS285" s="151"/>
      <c r="IT285" s="151"/>
      <c r="IU285" s="151"/>
      <c r="IV285" s="151"/>
    </row>
    <row r="286" spans="1:256">
      <c r="A286" s="825"/>
      <c r="B286" s="828"/>
      <c r="C286" s="157" t="s">
        <v>2</v>
      </c>
      <c r="D286" s="158">
        <f>D285+D284</f>
        <v>1748000</v>
      </c>
      <c r="E286" s="159">
        <f t="shared" ref="E286:P286" si="136">E285+E284</f>
        <v>1748000</v>
      </c>
      <c r="F286" s="159">
        <f t="shared" si="136"/>
        <v>1745000</v>
      </c>
      <c r="G286" s="159">
        <f t="shared" si="136"/>
        <v>1392000</v>
      </c>
      <c r="H286" s="159">
        <f t="shared" si="136"/>
        <v>353000</v>
      </c>
      <c r="I286" s="159">
        <f t="shared" si="136"/>
        <v>0</v>
      </c>
      <c r="J286" s="159">
        <f t="shared" si="136"/>
        <v>3000</v>
      </c>
      <c r="K286" s="159">
        <f t="shared" si="136"/>
        <v>0</v>
      </c>
      <c r="L286" s="159">
        <f t="shared" si="136"/>
        <v>0</v>
      </c>
      <c r="M286" s="159">
        <f t="shared" si="136"/>
        <v>0</v>
      </c>
      <c r="N286" s="159">
        <f t="shared" si="136"/>
        <v>0</v>
      </c>
      <c r="O286" s="159">
        <f t="shared" si="136"/>
        <v>0</v>
      </c>
      <c r="P286" s="159">
        <f t="shared" si="136"/>
        <v>0</v>
      </c>
      <c r="Q286" s="160"/>
      <c r="R286" s="160"/>
      <c r="S286" s="160"/>
      <c r="T286" s="160"/>
      <c r="U286" s="160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151"/>
      <c r="FE286" s="151"/>
      <c r="FF286" s="151"/>
      <c r="FG286" s="151"/>
      <c r="FH286" s="151"/>
      <c r="FI286" s="151"/>
      <c r="FJ286" s="151"/>
      <c r="FK286" s="151"/>
      <c r="FL286" s="151"/>
      <c r="FM286" s="151"/>
      <c r="FN286" s="151"/>
      <c r="FO286" s="151"/>
      <c r="FP286" s="151"/>
      <c r="FQ286" s="151"/>
      <c r="FR286" s="151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  <c r="GD286" s="151"/>
      <c r="GE286" s="151"/>
      <c r="GF286" s="151"/>
      <c r="GG286" s="151"/>
      <c r="GH286" s="151"/>
      <c r="GI286" s="151"/>
      <c r="GJ286" s="151"/>
      <c r="GK286" s="151"/>
      <c r="GL286" s="151"/>
      <c r="GM286" s="151"/>
      <c r="GN286" s="151"/>
      <c r="GO286" s="151"/>
      <c r="GP286" s="151"/>
      <c r="GQ286" s="151"/>
      <c r="GR286" s="151"/>
      <c r="GS286" s="151"/>
      <c r="GT286" s="151"/>
      <c r="GU286" s="151"/>
      <c r="GV286" s="151"/>
      <c r="GW286" s="151"/>
      <c r="GX286" s="151"/>
      <c r="GY286" s="151"/>
      <c r="GZ286" s="151"/>
      <c r="HA286" s="151"/>
      <c r="HB286" s="151"/>
      <c r="HC286" s="151"/>
      <c r="HD286" s="151"/>
      <c r="HE286" s="151"/>
      <c r="HF286" s="151"/>
      <c r="HG286" s="151"/>
      <c r="HH286" s="151"/>
      <c r="HI286" s="151"/>
      <c r="HJ286" s="151"/>
      <c r="HK286" s="151"/>
      <c r="HL286" s="151"/>
      <c r="HM286" s="151"/>
      <c r="HN286" s="151"/>
      <c r="HO286" s="151"/>
      <c r="HP286" s="151"/>
      <c r="HQ286" s="151"/>
      <c r="HR286" s="151"/>
      <c r="HS286" s="151"/>
      <c r="HT286" s="151"/>
      <c r="HU286" s="151"/>
      <c r="HV286" s="151"/>
      <c r="HW286" s="151"/>
      <c r="HX286" s="151"/>
      <c r="HY286" s="151"/>
      <c r="HZ286" s="151"/>
      <c r="IA286" s="151"/>
      <c r="IB286" s="151"/>
      <c r="IC286" s="151"/>
      <c r="ID286" s="151"/>
      <c r="IE286" s="151"/>
      <c r="IF286" s="151"/>
      <c r="IG286" s="151"/>
      <c r="IH286" s="151"/>
      <c r="II286" s="151"/>
      <c r="IJ286" s="151"/>
      <c r="IK286" s="151"/>
      <c r="IL286" s="151"/>
      <c r="IM286" s="151"/>
      <c r="IN286" s="151"/>
      <c r="IO286" s="151"/>
      <c r="IP286" s="151"/>
      <c r="IQ286" s="151"/>
      <c r="IR286" s="151"/>
      <c r="IS286" s="151"/>
      <c r="IT286" s="151"/>
      <c r="IU286" s="151"/>
      <c r="IV286" s="151"/>
    </row>
    <row r="287" spans="1:256">
      <c r="A287" s="823">
        <v>85332</v>
      </c>
      <c r="B287" s="826" t="s">
        <v>263</v>
      </c>
      <c r="C287" s="157" t="s">
        <v>0</v>
      </c>
      <c r="D287" s="158">
        <f>E287+M287</f>
        <v>20435342</v>
      </c>
      <c r="E287" s="159">
        <f>F287+I287+J287+K287+L287</f>
        <v>19805842</v>
      </c>
      <c r="F287" s="159">
        <f>G287+H287</f>
        <v>16312192</v>
      </c>
      <c r="G287" s="159">
        <v>13219068</v>
      </c>
      <c r="H287" s="159">
        <f>16947192-10900-100-10175646-839348-1754359-253879-34900-155436-14500-615000</f>
        <v>3093124</v>
      </c>
      <c r="I287" s="159">
        <v>0</v>
      </c>
      <c r="J287" s="159">
        <v>11300</v>
      </c>
      <c r="K287" s="159">
        <f>60775+2905300+516275</f>
        <v>3482350</v>
      </c>
      <c r="L287" s="159">
        <v>0</v>
      </c>
      <c r="M287" s="159">
        <f>N287+P287</f>
        <v>629500</v>
      </c>
      <c r="N287" s="159">
        <v>629500</v>
      </c>
      <c r="O287" s="159">
        <v>0</v>
      </c>
      <c r="P287" s="159">
        <v>0</v>
      </c>
      <c r="Q287" s="166"/>
      <c r="R287" s="166"/>
      <c r="S287" s="166"/>
      <c r="T287" s="166"/>
      <c r="U287" s="166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0"/>
      <c r="CC287" s="130"/>
      <c r="CD287" s="130"/>
      <c r="CE287" s="130"/>
      <c r="CF287" s="130"/>
      <c r="CG287" s="130"/>
      <c r="CH287" s="130"/>
      <c r="CI287" s="130"/>
      <c r="CJ287" s="130"/>
      <c r="CK287" s="130"/>
      <c r="CL287" s="130"/>
      <c r="CM287" s="130"/>
      <c r="CN287" s="130"/>
      <c r="CO287" s="130"/>
      <c r="CP287" s="130"/>
      <c r="CQ287" s="130"/>
      <c r="CR287" s="130"/>
      <c r="CS287" s="130"/>
      <c r="CT287" s="130"/>
      <c r="CU287" s="130"/>
      <c r="CV287" s="130"/>
      <c r="CW287" s="130"/>
      <c r="CX287" s="130"/>
      <c r="CY287" s="130"/>
      <c r="CZ287" s="130"/>
      <c r="DA287" s="130"/>
      <c r="DB287" s="130"/>
      <c r="DC287" s="130"/>
      <c r="DD287" s="130"/>
      <c r="DE287" s="130"/>
      <c r="DF287" s="130"/>
      <c r="DG287" s="130"/>
      <c r="DH287" s="130"/>
      <c r="DI287" s="130"/>
      <c r="DJ287" s="130"/>
      <c r="DK287" s="130"/>
      <c r="DL287" s="130"/>
      <c r="DM287" s="130"/>
      <c r="DN287" s="130"/>
      <c r="DO287" s="130"/>
      <c r="DP287" s="130"/>
      <c r="DQ287" s="130"/>
      <c r="DR287" s="130"/>
      <c r="DS287" s="130"/>
      <c r="DT287" s="130"/>
      <c r="DU287" s="130"/>
      <c r="DV287" s="130"/>
      <c r="DW287" s="130"/>
      <c r="DX287" s="130"/>
      <c r="DY287" s="130"/>
      <c r="DZ287" s="130"/>
      <c r="EA287" s="130"/>
      <c r="EB287" s="130"/>
      <c r="EC287" s="130"/>
      <c r="ED287" s="130"/>
      <c r="EE287" s="130"/>
      <c r="EF287" s="130"/>
      <c r="EG287" s="130"/>
      <c r="EH287" s="130"/>
      <c r="EI287" s="130"/>
      <c r="EJ287" s="130"/>
      <c r="EK287" s="130"/>
      <c r="EL287" s="130"/>
      <c r="EM287" s="130"/>
      <c r="EN287" s="130"/>
      <c r="EO287" s="130"/>
      <c r="EP287" s="130"/>
      <c r="EQ287" s="130"/>
      <c r="ER287" s="130"/>
      <c r="ES287" s="130"/>
      <c r="ET287" s="130"/>
      <c r="EU287" s="130"/>
      <c r="EV287" s="130"/>
      <c r="EW287" s="130"/>
      <c r="EX287" s="130"/>
      <c r="EY287" s="130"/>
      <c r="EZ287" s="130"/>
      <c r="FA287" s="130"/>
      <c r="FB287" s="130"/>
      <c r="FC287" s="130"/>
      <c r="FD287" s="130"/>
      <c r="FE287" s="130"/>
      <c r="FF287" s="130"/>
      <c r="FG287" s="130"/>
      <c r="FH287" s="130"/>
      <c r="FI287" s="130"/>
      <c r="FJ287" s="130"/>
      <c r="FK287" s="130"/>
      <c r="FL287" s="130"/>
      <c r="FM287" s="130"/>
      <c r="FN287" s="130"/>
      <c r="FO287" s="130"/>
      <c r="FP287" s="130"/>
      <c r="FQ287" s="130"/>
      <c r="FR287" s="130"/>
      <c r="FS287" s="130"/>
      <c r="FT287" s="130"/>
      <c r="FU287" s="130"/>
      <c r="FV287" s="130"/>
      <c r="FW287" s="130"/>
      <c r="FX287" s="130"/>
      <c r="FY287" s="130"/>
      <c r="FZ287" s="130"/>
      <c r="GA287" s="130"/>
      <c r="GB287" s="130"/>
      <c r="GC287" s="130"/>
      <c r="GD287" s="130"/>
      <c r="GE287" s="130"/>
      <c r="GF287" s="130"/>
      <c r="GG287" s="130"/>
      <c r="GH287" s="130"/>
      <c r="GI287" s="130"/>
      <c r="GJ287" s="130"/>
      <c r="GK287" s="130"/>
      <c r="GL287" s="130"/>
      <c r="GM287" s="130"/>
      <c r="GN287" s="130"/>
      <c r="GO287" s="130"/>
      <c r="GP287" s="130"/>
      <c r="GQ287" s="130"/>
      <c r="GR287" s="130"/>
      <c r="GS287" s="130"/>
      <c r="GT287" s="130"/>
      <c r="GU287" s="130"/>
      <c r="GV287" s="130"/>
      <c r="GW287" s="130"/>
      <c r="GX287" s="130"/>
      <c r="GY287" s="130"/>
      <c r="GZ287" s="130"/>
      <c r="HA287" s="130"/>
      <c r="HB287" s="130"/>
      <c r="HC287" s="130"/>
      <c r="HD287" s="130"/>
      <c r="HE287" s="130"/>
      <c r="HF287" s="130"/>
      <c r="HG287" s="130"/>
      <c r="HH287" s="130"/>
      <c r="HI287" s="130"/>
      <c r="HJ287" s="130"/>
      <c r="HK287" s="130"/>
      <c r="HL287" s="130"/>
      <c r="HM287" s="130"/>
      <c r="HN287" s="130"/>
      <c r="HO287" s="130"/>
      <c r="HP287" s="130"/>
      <c r="HQ287" s="130"/>
      <c r="HR287" s="130"/>
      <c r="HS287" s="130"/>
      <c r="HT287" s="130"/>
      <c r="HU287" s="130"/>
      <c r="HV287" s="130"/>
      <c r="HW287" s="130"/>
      <c r="HX287" s="130"/>
      <c r="HY287" s="130"/>
      <c r="HZ287" s="130"/>
      <c r="IA287" s="130"/>
      <c r="IB287" s="130"/>
      <c r="IC287" s="130"/>
      <c r="ID287" s="130"/>
      <c r="IE287" s="130"/>
      <c r="IF287" s="130"/>
      <c r="IG287" s="130"/>
      <c r="IH287" s="130"/>
      <c r="II287" s="130"/>
      <c r="IJ287" s="130"/>
      <c r="IK287" s="130"/>
      <c r="IL287" s="130"/>
      <c r="IM287" s="130"/>
      <c r="IN287" s="130"/>
      <c r="IO287" s="130"/>
      <c r="IP287" s="130"/>
      <c r="IQ287" s="130"/>
      <c r="IR287" s="130"/>
      <c r="IS287" s="130"/>
      <c r="IT287" s="130"/>
      <c r="IU287" s="130"/>
      <c r="IV287" s="130"/>
    </row>
    <row r="288" spans="1:256">
      <c r="A288" s="824"/>
      <c r="B288" s="827"/>
      <c r="C288" s="157" t="s">
        <v>1</v>
      </c>
      <c r="D288" s="158">
        <f>E288+M288</f>
        <v>304440</v>
      </c>
      <c r="E288" s="159">
        <f>F288+I288+J288+K288+L288</f>
        <v>304440</v>
      </c>
      <c r="F288" s="159">
        <f>G288+H288</f>
        <v>0</v>
      </c>
      <c r="G288" s="159"/>
      <c r="H288" s="159"/>
      <c r="I288" s="159"/>
      <c r="J288" s="159"/>
      <c r="K288" s="159">
        <v>304440</v>
      </c>
      <c r="L288" s="159"/>
      <c r="M288" s="159">
        <f>N288+P288</f>
        <v>0</v>
      </c>
      <c r="N288" s="159"/>
      <c r="O288" s="159"/>
      <c r="P288" s="159"/>
      <c r="Q288" s="166"/>
      <c r="R288" s="166"/>
      <c r="S288" s="166"/>
      <c r="T288" s="166"/>
      <c r="U288" s="166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0"/>
      <c r="BW288" s="130"/>
      <c r="BX288" s="130"/>
      <c r="BY288" s="130"/>
      <c r="BZ288" s="130"/>
      <c r="CA288" s="130"/>
      <c r="CB288" s="130"/>
      <c r="CC288" s="130"/>
      <c r="CD288" s="130"/>
      <c r="CE288" s="130"/>
      <c r="CF288" s="130"/>
      <c r="CG288" s="130"/>
      <c r="CH288" s="130"/>
      <c r="CI288" s="130"/>
      <c r="CJ288" s="130"/>
      <c r="CK288" s="130"/>
      <c r="CL288" s="130"/>
      <c r="CM288" s="130"/>
      <c r="CN288" s="130"/>
      <c r="CO288" s="130"/>
      <c r="CP288" s="130"/>
      <c r="CQ288" s="130"/>
      <c r="CR288" s="130"/>
      <c r="CS288" s="130"/>
      <c r="CT288" s="130"/>
      <c r="CU288" s="130"/>
      <c r="CV288" s="130"/>
      <c r="CW288" s="130"/>
      <c r="CX288" s="130"/>
      <c r="CY288" s="130"/>
      <c r="CZ288" s="130"/>
      <c r="DA288" s="130"/>
      <c r="DB288" s="130"/>
      <c r="DC288" s="130"/>
      <c r="DD288" s="130"/>
      <c r="DE288" s="130"/>
      <c r="DF288" s="130"/>
      <c r="DG288" s="130"/>
      <c r="DH288" s="130"/>
      <c r="DI288" s="130"/>
      <c r="DJ288" s="130"/>
      <c r="DK288" s="130"/>
      <c r="DL288" s="130"/>
      <c r="DM288" s="130"/>
      <c r="DN288" s="130"/>
      <c r="DO288" s="130"/>
      <c r="DP288" s="130"/>
      <c r="DQ288" s="130"/>
      <c r="DR288" s="130"/>
      <c r="DS288" s="130"/>
      <c r="DT288" s="130"/>
      <c r="DU288" s="130"/>
      <c r="DV288" s="130"/>
      <c r="DW288" s="130"/>
      <c r="DX288" s="130"/>
      <c r="DY288" s="130"/>
      <c r="DZ288" s="130"/>
      <c r="EA288" s="130"/>
      <c r="EB288" s="130"/>
      <c r="EC288" s="130"/>
      <c r="ED288" s="130"/>
      <c r="EE288" s="130"/>
      <c r="EF288" s="130"/>
      <c r="EG288" s="130"/>
      <c r="EH288" s="130"/>
      <c r="EI288" s="130"/>
      <c r="EJ288" s="130"/>
      <c r="EK288" s="130"/>
      <c r="EL288" s="130"/>
      <c r="EM288" s="130"/>
      <c r="EN288" s="130"/>
      <c r="EO288" s="130"/>
      <c r="EP288" s="130"/>
      <c r="EQ288" s="130"/>
      <c r="ER288" s="130"/>
      <c r="ES288" s="130"/>
      <c r="ET288" s="130"/>
      <c r="EU288" s="130"/>
      <c r="EV288" s="130"/>
      <c r="EW288" s="130"/>
      <c r="EX288" s="130"/>
      <c r="EY288" s="130"/>
      <c r="EZ288" s="130"/>
      <c r="FA288" s="130"/>
      <c r="FB288" s="130"/>
      <c r="FC288" s="130"/>
      <c r="FD288" s="130"/>
      <c r="FE288" s="130"/>
      <c r="FF288" s="130"/>
      <c r="FG288" s="130"/>
      <c r="FH288" s="130"/>
      <c r="FI288" s="130"/>
      <c r="FJ288" s="130"/>
      <c r="FK288" s="130"/>
      <c r="FL288" s="130"/>
      <c r="FM288" s="130"/>
      <c r="FN288" s="130"/>
      <c r="FO288" s="130"/>
      <c r="FP288" s="130"/>
      <c r="FQ288" s="130"/>
      <c r="FR288" s="130"/>
      <c r="FS288" s="130"/>
      <c r="FT288" s="130"/>
      <c r="FU288" s="130"/>
      <c r="FV288" s="130"/>
      <c r="FW288" s="130"/>
      <c r="FX288" s="130"/>
      <c r="FY288" s="130"/>
      <c r="FZ288" s="130"/>
      <c r="GA288" s="130"/>
      <c r="GB288" s="130"/>
      <c r="GC288" s="130"/>
      <c r="GD288" s="130"/>
      <c r="GE288" s="130"/>
      <c r="GF288" s="130"/>
      <c r="GG288" s="130"/>
      <c r="GH288" s="130"/>
      <c r="GI288" s="130"/>
      <c r="GJ288" s="130"/>
      <c r="GK288" s="130"/>
      <c r="GL288" s="130"/>
      <c r="GM288" s="130"/>
      <c r="GN288" s="130"/>
      <c r="GO288" s="130"/>
      <c r="GP288" s="130"/>
      <c r="GQ288" s="130"/>
      <c r="GR288" s="130"/>
      <c r="GS288" s="130"/>
      <c r="GT288" s="130"/>
      <c r="GU288" s="130"/>
      <c r="GV288" s="130"/>
      <c r="GW288" s="130"/>
      <c r="GX288" s="130"/>
      <c r="GY288" s="130"/>
      <c r="GZ288" s="130"/>
      <c r="HA288" s="130"/>
      <c r="HB288" s="130"/>
      <c r="HC288" s="130"/>
      <c r="HD288" s="130"/>
      <c r="HE288" s="130"/>
      <c r="HF288" s="130"/>
      <c r="HG288" s="130"/>
      <c r="HH288" s="130"/>
      <c r="HI288" s="130"/>
      <c r="HJ288" s="130"/>
      <c r="HK288" s="130"/>
      <c r="HL288" s="130"/>
      <c r="HM288" s="130"/>
      <c r="HN288" s="130"/>
      <c r="HO288" s="130"/>
      <c r="HP288" s="130"/>
      <c r="HQ288" s="130"/>
      <c r="HR288" s="130"/>
      <c r="HS288" s="130"/>
      <c r="HT288" s="130"/>
      <c r="HU288" s="130"/>
      <c r="HV288" s="130"/>
      <c r="HW288" s="130"/>
      <c r="HX288" s="130"/>
      <c r="HY288" s="130"/>
      <c r="HZ288" s="130"/>
      <c r="IA288" s="130"/>
      <c r="IB288" s="130"/>
      <c r="IC288" s="130"/>
      <c r="ID288" s="130"/>
      <c r="IE288" s="130"/>
      <c r="IF288" s="130"/>
      <c r="IG288" s="130"/>
      <c r="IH288" s="130"/>
      <c r="II288" s="130"/>
      <c r="IJ288" s="130"/>
      <c r="IK288" s="130"/>
      <c r="IL288" s="130"/>
      <c r="IM288" s="130"/>
      <c r="IN288" s="130"/>
      <c r="IO288" s="130"/>
      <c r="IP288" s="130"/>
      <c r="IQ288" s="130"/>
      <c r="IR288" s="130"/>
      <c r="IS288" s="130"/>
      <c r="IT288" s="130"/>
      <c r="IU288" s="130"/>
      <c r="IV288" s="130"/>
    </row>
    <row r="289" spans="1:256">
      <c r="A289" s="825"/>
      <c r="B289" s="828"/>
      <c r="C289" s="157" t="s">
        <v>2</v>
      </c>
      <c r="D289" s="158">
        <f>D288+D287</f>
        <v>20739782</v>
      </c>
      <c r="E289" s="159">
        <f t="shared" ref="E289:P289" si="137">E288+E287</f>
        <v>20110282</v>
      </c>
      <c r="F289" s="159">
        <f t="shared" si="137"/>
        <v>16312192</v>
      </c>
      <c r="G289" s="159">
        <f t="shared" si="137"/>
        <v>13219068</v>
      </c>
      <c r="H289" s="159">
        <f t="shared" si="137"/>
        <v>3093124</v>
      </c>
      <c r="I289" s="159">
        <f t="shared" si="137"/>
        <v>0</v>
      </c>
      <c r="J289" s="159">
        <f t="shared" si="137"/>
        <v>11300</v>
      </c>
      <c r="K289" s="159">
        <f t="shared" si="137"/>
        <v>3786790</v>
      </c>
      <c r="L289" s="159">
        <f t="shared" si="137"/>
        <v>0</v>
      </c>
      <c r="M289" s="159">
        <f t="shared" si="137"/>
        <v>629500</v>
      </c>
      <c r="N289" s="159">
        <f t="shared" si="137"/>
        <v>629500</v>
      </c>
      <c r="O289" s="159">
        <f t="shared" si="137"/>
        <v>0</v>
      </c>
      <c r="P289" s="159">
        <f t="shared" si="137"/>
        <v>0</v>
      </c>
      <c r="Q289" s="166"/>
      <c r="R289" s="166"/>
      <c r="S289" s="166"/>
      <c r="T289" s="166"/>
      <c r="U289" s="166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0"/>
      <c r="CC289" s="130"/>
      <c r="CD289" s="130"/>
      <c r="CE289" s="130"/>
      <c r="CF289" s="130"/>
      <c r="CG289" s="130"/>
      <c r="CH289" s="130"/>
      <c r="CI289" s="130"/>
      <c r="CJ289" s="130"/>
      <c r="CK289" s="130"/>
      <c r="CL289" s="130"/>
      <c r="CM289" s="130"/>
      <c r="CN289" s="130"/>
      <c r="CO289" s="130"/>
      <c r="CP289" s="130"/>
      <c r="CQ289" s="130"/>
      <c r="CR289" s="130"/>
      <c r="CS289" s="130"/>
      <c r="CT289" s="130"/>
      <c r="CU289" s="130"/>
      <c r="CV289" s="130"/>
      <c r="CW289" s="130"/>
      <c r="CX289" s="130"/>
      <c r="CY289" s="130"/>
      <c r="CZ289" s="130"/>
      <c r="DA289" s="130"/>
      <c r="DB289" s="130"/>
      <c r="DC289" s="130"/>
      <c r="DD289" s="130"/>
      <c r="DE289" s="130"/>
      <c r="DF289" s="130"/>
      <c r="DG289" s="130"/>
      <c r="DH289" s="130"/>
      <c r="DI289" s="130"/>
      <c r="DJ289" s="130"/>
      <c r="DK289" s="130"/>
      <c r="DL289" s="130"/>
      <c r="DM289" s="130"/>
      <c r="DN289" s="130"/>
      <c r="DO289" s="130"/>
      <c r="DP289" s="130"/>
      <c r="DQ289" s="130"/>
      <c r="DR289" s="130"/>
      <c r="DS289" s="130"/>
      <c r="DT289" s="130"/>
      <c r="DU289" s="130"/>
      <c r="DV289" s="130"/>
      <c r="DW289" s="130"/>
      <c r="DX289" s="130"/>
      <c r="DY289" s="130"/>
      <c r="DZ289" s="130"/>
      <c r="EA289" s="130"/>
      <c r="EB289" s="130"/>
      <c r="EC289" s="130"/>
      <c r="ED289" s="130"/>
      <c r="EE289" s="130"/>
      <c r="EF289" s="130"/>
      <c r="EG289" s="130"/>
      <c r="EH289" s="130"/>
      <c r="EI289" s="130"/>
      <c r="EJ289" s="130"/>
      <c r="EK289" s="130"/>
      <c r="EL289" s="130"/>
      <c r="EM289" s="130"/>
      <c r="EN289" s="130"/>
      <c r="EO289" s="130"/>
      <c r="EP289" s="130"/>
      <c r="EQ289" s="130"/>
      <c r="ER289" s="130"/>
      <c r="ES289" s="130"/>
      <c r="ET289" s="130"/>
      <c r="EU289" s="130"/>
      <c r="EV289" s="130"/>
      <c r="EW289" s="130"/>
      <c r="EX289" s="130"/>
      <c r="EY289" s="130"/>
      <c r="EZ289" s="130"/>
      <c r="FA289" s="130"/>
      <c r="FB289" s="130"/>
      <c r="FC289" s="130"/>
      <c r="FD289" s="130"/>
      <c r="FE289" s="130"/>
      <c r="FF289" s="130"/>
      <c r="FG289" s="130"/>
      <c r="FH289" s="130"/>
      <c r="FI289" s="130"/>
      <c r="FJ289" s="130"/>
      <c r="FK289" s="130"/>
      <c r="FL289" s="130"/>
      <c r="FM289" s="130"/>
      <c r="FN289" s="130"/>
      <c r="FO289" s="130"/>
      <c r="FP289" s="130"/>
      <c r="FQ289" s="130"/>
      <c r="FR289" s="130"/>
      <c r="FS289" s="130"/>
      <c r="FT289" s="130"/>
      <c r="FU289" s="130"/>
      <c r="FV289" s="130"/>
      <c r="FW289" s="130"/>
      <c r="FX289" s="130"/>
      <c r="FY289" s="130"/>
      <c r="FZ289" s="130"/>
      <c r="GA289" s="130"/>
      <c r="GB289" s="130"/>
      <c r="GC289" s="130"/>
      <c r="GD289" s="130"/>
      <c r="GE289" s="130"/>
      <c r="GF289" s="130"/>
      <c r="GG289" s="130"/>
      <c r="GH289" s="130"/>
      <c r="GI289" s="130"/>
      <c r="GJ289" s="130"/>
      <c r="GK289" s="130"/>
      <c r="GL289" s="130"/>
      <c r="GM289" s="130"/>
      <c r="GN289" s="130"/>
      <c r="GO289" s="130"/>
      <c r="GP289" s="130"/>
      <c r="GQ289" s="130"/>
      <c r="GR289" s="130"/>
      <c r="GS289" s="130"/>
      <c r="GT289" s="130"/>
      <c r="GU289" s="130"/>
      <c r="GV289" s="130"/>
      <c r="GW289" s="130"/>
      <c r="GX289" s="130"/>
      <c r="GY289" s="130"/>
      <c r="GZ289" s="130"/>
      <c r="HA289" s="130"/>
      <c r="HB289" s="130"/>
      <c r="HC289" s="130"/>
      <c r="HD289" s="130"/>
      <c r="HE289" s="130"/>
      <c r="HF289" s="130"/>
      <c r="HG289" s="130"/>
      <c r="HH289" s="130"/>
      <c r="HI289" s="130"/>
      <c r="HJ289" s="130"/>
      <c r="HK289" s="130"/>
      <c r="HL289" s="130"/>
      <c r="HM289" s="130"/>
      <c r="HN289" s="130"/>
      <c r="HO289" s="130"/>
      <c r="HP289" s="130"/>
      <c r="HQ289" s="130"/>
      <c r="HR289" s="130"/>
      <c r="HS289" s="130"/>
      <c r="HT289" s="130"/>
      <c r="HU289" s="130"/>
      <c r="HV289" s="130"/>
      <c r="HW289" s="130"/>
      <c r="HX289" s="130"/>
      <c r="HY289" s="130"/>
      <c r="HZ289" s="130"/>
      <c r="IA289" s="130"/>
      <c r="IB289" s="130"/>
      <c r="IC289" s="130"/>
      <c r="ID289" s="130"/>
      <c r="IE289" s="130"/>
      <c r="IF289" s="130"/>
      <c r="IG289" s="130"/>
      <c r="IH289" s="130"/>
      <c r="II289" s="130"/>
      <c r="IJ289" s="130"/>
      <c r="IK289" s="130"/>
      <c r="IL289" s="130"/>
      <c r="IM289" s="130"/>
      <c r="IN289" s="130"/>
      <c r="IO289" s="130"/>
      <c r="IP289" s="130"/>
      <c r="IQ289" s="130"/>
      <c r="IR289" s="130"/>
      <c r="IS289" s="130"/>
      <c r="IT289" s="130"/>
      <c r="IU289" s="130"/>
      <c r="IV289" s="130"/>
    </row>
    <row r="290" spans="1:256">
      <c r="A290" s="823">
        <v>85395</v>
      </c>
      <c r="B290" s="826" t="s">
        <v>103</v>
      </c>
      <c r="C290" s="157" t="s">
        <v>0</v>
      </c>
      <c r="D290" s="158">
        <f>E290+M290</f>
        <v>17665101.5</v>
      </c>
      <c r="E290" s="159">
        <f>F290+I290+J290+K290+L290</f>
        <v>17665101.5</v>
      </c>
      <c r="F290" s="159">
        <f>G290+H290</f>
        <v>7278042.5</v>
      </c>
      <c r="G290" s="159">
        <v>609260</v>
      </c>
      <c r="H290" s="159">
        <v>6668782.5</v>
      </c>
      <c r="I290" s="159">
        <v>150000</v>
      </c>
      <c r="J290" s="159">
        <v>1000</v>
      </c>
      <c r="K290" s="159">
        <v>10236059</v>
      </c>
      <c r="L290" s="159">
        <v>0</v>
      </c>
      <c r="M290" s="159">
        <f>N290+P290</f>
        <v>0</v>
      </c>
      <c r="N290" s="159">
        <v>0</v>
      </c>
      <c r="O290" s="159">
        <v>0</v>
      </c>
      <c r="P290" s="159">
        <v>0</v>
      </c>
      <c r="Q290" s="166"/>
      <c r="R290" s="166"/>
      <c r="S290" s="166"/>
      <c r="T290" s="166"/>
      <c r="U290" s="166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0"/>
      <c r="BW290" s="130"/>
      <c r="BX290" s="130"/>
      <c r="BY290" s="130"/>
      <c r="BZ290" s="130"/>
      <c r="CA290" s="130"/>
      <c r="CB290" s="130"/>
      <c r="CC290" s="130"/>
      <c r="CD290" s="130"/>
      <c r="CE290" s="130"/>
      <c r="CF290" s="130"/>
      <c r="CG290" s="130"/>
      <c r="CH290" s="130"/>
      <c r="CI290" s="130"/>
      <c r="CJ290" s="130"/>
      <c r="CK290" s="130"/>
      <c r="CL290" s="130"/>
      <c r="CM290" s="130"/>
      <c r="CN290" s="130"/>
      <c r="CO290" s="130"/>
      <c r="CP290" s="130"/>
      <c r="CQ290" s="130"/>
      <c r="CR290" s="130"/>
      <c r="CS290" s="130"/>
      <c r="CT290" s="130"/>
      <c r="CU290" s="130"/>
      <c r="CV290" s="130"/>
      <c r="CW290" s="130"/>
      <c r="CX290" s="130"/>
      <c r="CY290" s="130"/>
      <c r="CZ290" s="130"/>
      <c r="DA290" s="130"/>
      <c r="DB290" s="130"/>
      <c r="DC290" s="130"/>
      <c r="DD290" s="130"/>
      <c r="DE290" s="130"/>
      <c r="DF290" s="130"/>
      <c r="DG290" s="130"/>
      <c r="DH290" s="130"/>
      <c r="DI290" s="130"/>
      <c r="DJ290" s="130"/>
      <c r="DK290" s="130"/>
      <c r="DL290" s="130"/>
      <c r="DM290" s="130"/>
      <c r="DN290" s="130"/>
      <c r="DO290" s="130"/>
      <c r="DP290" s="130"/>
      <c r="DQ290" s="130"/>
      <c r="DR290" s="130"/>
      <c r="DS290" s="130"/>
      <c r="DT290" s="130"/>
      <c r="DU290" s="130"/>
      <c r="DV290" s="130"/>
      <c r="DW290" s="130"/>
      <c r="DX290" s="130"/>
      <c r="DY290" s="130"/>
      <c r="DZ290" s="130"/>
      <c r="EA290" s="130"/>
      <c r="EB290" s="130"/>
      <c r="EC290" s="130"/>
      <c r="ED290" s="130"/>
      <c r="EE290" s="130"/>
      <c r="EF290" s="130"/>
      <c r="EG290" s="130"/>
      <c r="EH290" s="130"/>
      <c r="EI290" s="130"/>
      <c r="EJ290" s="130"/>
      <c r="EK290" s="130"/>
      <c r="EL290" s="130"/>
      <c r="EM290" s="130"/>
      <c r="EN290" s="130"/>
      <c r="EO290" s="130"/>
      <c r="EP290" s="130"/>
      <c r="EQ290" s="130"/>
      <c r="ER290" s="130"/>
      <c r="ES290" s="130"/>
      <c r="ET290" s="130"/>
      <c r="EU290" s="130"/>
      <c r="EV290" s="130"/>
      <c r="EW290" s="130"/>
      <c r="EX290" s="130"/>
      <c r="EY290" s="130"/>
      <c r="EZ290" s="130"/>
      <c r="FA290" s="130"/>
      <c r="FB290" s="130"/>
      <c r="FC290" s="130"/>
      <c r="FD290" s="130"/>
      <c r="FE290" s="130"/>
      <c r="FF290" s="130"/>
      <c r="FG290" s="130"/>
      <c r="FH290" s="130"/>
      <c r="FI290" s="130"/>
      <c r="FJ290" s="130"/>
      <c r="FK290" s="130"/>
      <c r="FL290" s="130"/>
      <c r="FM290" s="130"/>
      <c r="FN290" s="130"/>
      <c r="FO290" s="130"/>
      <c r="FP290" s="130"/>
      <c r="FQ290" s="130"/>
      <c r="FR290" s="130"/>
      <c r="FS290" s="130"/>
      <c r="FT290" s="130"/>
      <c r="FU290" s="130"/>
      <c r="FV290" s="130"/>
      <c r="FW290" s="130"/>
      <c r="FX290" s="130"/>
      <c r="FY290" s="130"/>
      <c r="FZ290" s="130"/>
      <c r="GA290" s="130"/>
      <c r="GB290" s="130"/>
      <c r="GC290" s="130"/>
      <c r="GD290" s="130"/>
      <c r="GE290" s="130"/>
      <c r="GF290" s="130"/>
      <c r="GG290" s="130"/>
      <c r="GH290" s="130"/>
      <c r="GI290" s="130"/>
      <c r="GJ290" s="130"/>
      <c r="GK290" s="130"/>
      <c r="GL290" s="130"/>
      <c r="GM290" s="130"/>
      <c r="GN290" s="130"/>
      <c r="GO290" s="130"/>
      <c r="GP290" s="130"/>
      <c r="GQ290" s="130"/>
      <c r="GR290" s="130"/>
      <c r="GS290" s="130"/>
      <c r="GT290" s="130"/>
      <c r="GU290" s="130"/>
      <c r="GV290" s="130"/>
      <c r="GW290" s="130"/>
      <c r="GX290" s="130"/>
      <c r="GY290" s="130"/>
      <c r="GZ290" s="130"/>
      <c r="HA290" s="130"/>
      <c r="HB290" s="130"/>
      <c r="HC290" s="130"/>
      <c r="HD290" s="130"/>
      <c r="HE290" s="130"/>
      <c r="HF290" s="130"/>
      <c r="HG290" s="130"/>
      <c r="HH290" s="130"/>
      <c r="HI290" s="130"/>
      <c r="HJ290" s="130"/>
      <c r="HK290" s="130"/>
      <c r="HL290" s="130"/>
      <c r="HM290" s="130"/>
      <c r="HN290" s="130"/>
      <c r="HO290" s="130"/>
      <c r="HP290" s="130"/>
      <c r="HQ290" s="130"/>
      <c r="HR290" s="130"/>
      <c r="HS290" s="130"/>
      <c r="HT290" s="130"/>
      <c r="HU290" s="130"/>
      <c r="HV290" s="130"/>
      <c r="HW290" s="130"/>
      <c r="HX290" s="130"/>
      <c r="HY290" s="130"/>
      <c r="HZ290" s="130"/>
      <c r="IA290" s="130"/>
      <c r="IB290" s="130"/>
      <c r="IC290" s="130"/>
      <c r="ID290" s="130"/>
      <c r="IE290" s="130"/>
      <c r="IF290" s="130"/>
      <c r="IG290" s="130"/>
      <c r="IH290" s="130"/>
      <c r="II290" s="130"/>
      <c r="IJ290" s="130"/>
      <c r="IK290" s="130"/>
      <c r="IL290" s="130"/>
      <c r="IM290" s="130"/>
      <c r="IN290" s="130"/>
      <c r="IO290" s="130"/>
      <c r="IP290" s="130"/>
      <c r="IQ290" s="130"/>
      <c r="IR290" s="130"/>
      <c r="IS290" s="130"/>
      <c r="IT290" s="130"/>
      <c r="IU290" s="130"/>
      <c r="IV290" s="130"/>
    </row>
    <row r="291" spans="1:256">
      <c r="A291" s="824"/>
      <c r="B291" s="827"/>
      <c r="C291" s="157" t="s">
        <v>1</v>
      </c>
      <c r="D291" s="158">
        <f>E291+M291</f>
        <v>4717</v>
      </c>
      <c r="E291" s="159">
        <f>F291+I291+J291+K291+L291</f>
        <v>0</v>
      </c>
      <c r="F291" s="159">
        <f>G291+H291</f>
        <v>0</v>
      </c>
      <c r="G291" s="159"/>
      <c r="H291" s="159"/>
      <c r="I291" s="159"/>
      <c r="J291" s="159"/>
      <c r="K291" s="159"/>
      <c r="L291" s="159"/>
      <c r="M291" s="159">
        <f>N291+P291</f>
        <v>4717</v>
      </c>
      <c r="N291" s="159">
        <f>4717</f>
        <v>4717</v>
      </c>
      <c r="O291" s="159">
        <v>4717</v>
      </c>
      <c r="P291" s="159"/>
      <c r="Q291" s="166"/>
      <c r="R291" s="166"/>
      <c r="S291" s="166"/>
      <c r="T291" s="166"/>
      <c r="U291" s="166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0"/>
      <c r="CC291" s="130"/>
      <c r="CD291" s="130"/>
      <c r="CE291" s="130"/>
      <c r="CF291" s="130"/>
      <c r="CG291" s="130"/>
      <c r="CH291" s="130"/>
      <c r="CI291" s="130"/>
      <c r="CJ291" s="130"/>
      <c r="CK291" s="130"/>
      <c r="CL291" s="130"/>
      <c r="CM291" s="130"/>
      <c r="CN291" s="130"/>
      <c r="CO291" s="130"/>
      <c r="CP291" s="130"/>
      <c r="CQ291" s="130"/>
      <c r="CR291" s="130"/>
      <c r="CS291" s="130"/>
      <c r="CT291" s="130"/>
      <c r="CU291" s="130"/>
      <c r="CV291" s="130"/>
      <c r="CW291" s="130"/>
      <c r="CX291" s="130"/>
      <c r="CY291" s="130"/>
      <c r="CZ291" s="130"/>
      <c r="DA291" s="130"/>
      <c r="DB291" s="130"/>
      <c r="DC291" s="130"/>
      <c r="DD291" s="130"/>
      <c r="DE291" s="130"/>
      <c r="DF291" s="130"/>
      <c r="DG291" s="130"/>
      <c r="DH291" s="130"/>
      <c r="DI291" s="130"/>
      <c r="DJ291" s="130"/>
      <c r="DK291" s="130"/>
      <c r="DL291" s="130"/>
      <c r="DM291" s="130"/>
      <c r="DN291" s="130"/>
      <c r="DO291" s="130"/>
      <c r="DP291" s="130"/>
      <c r="DQ291" s="130"/>
      <c r="DR291" s="130"/>
      <c r="DS291" s="130"/>
      <c r="DT291" s="130"/>
      <c r="DU291" s="130"/>
      <c r="DV291" s="130"/>
      <c r="DW291" s="130"/>
      <c r="DX291" s="130"/>
      <c r="DY291" s="130"/>
      <c r="DZ291" s="130"/>
      <c r="EA291" s="130"/>
      <c r="EB291" s="130"/>
      <c r="EC291" s="130"/>
      <c r="ED291" s="130"/>
      <c r="EE291" s="130"/>
      <c r="EF291" s="130"/>
      <c r="EG291" s="130"/>
      <c r="EH291" s="130"/>
      <c r="EI291" s="130"/>
      <c r="EJ291" s="130"/>
      <c r="EK291" s="130"/>
      <c r="EL291" s="130"/>
      <c r="EM291" s="130"/>
      <c r="EN291" s="130"/>
      <c r="EO291" s="130"/>
      <c r="EP291" s="130"/>
      <c r="EQ291" s="130"/>
      <c r="ER291" s="130"/>
      <c r="ES291" s="130"/>
      <c r="ET291" s="130"/>
      <c r="EU291" s="130"/>
      <c r="EV291" s="130"/>
      <c r="EW291" s="130"/>
      <c r="EX291" s="130"/>
      <c r="EY291" s="130"/>
      <c r="EZ291" s="130"/>
      <c r="FA291" s="130"/>
      <c r="FB291" s="130"/>
      <c r="FC291" s="130"/>
      <c r="FD291" s="130"/>
      <c r="FE291" s="130"/>
      <c r="FF291" s="130"/>
      <c r="FG291" s="130"/>
      <c r="FH291" s="130"/>
      <c r="FI291" s="130"/>
      <c r="FJ291" s="130"/>
      <c r="FK291" s="130"/>
      <c r="FL291" s="130"/>
      <c r="FM291" s="130"/>
      <c r="FN291" s="130"/>
      <c r="FO291" s="130"/>
      <c r="FP291" s="130"/>
      <c r="FQ291" s="130"/>
      <c r="FR291" s="130"/>
      <c r="FS291" s="130"/>
      <c r="FT291" s="130"/>
      <c r="FU291" s="130"/>
      <c r="FV291" s="130"/>
      <c r="FW291" s="130"/>
      <c r="FX291" s="130"/>
      <c r="FY291" s="130"/>
      <c r="FZ291" s="130"/>
      <c r="GA291" s="130"/>
      <c r="GB291" s="130"/>
      <c r="GC291" s="130"/>
      <c r="GD291" s="130"/>
      <c r="GE291" s="130"/>
      <c r="GF291" s="130"/>
      <c r="GG291" s="130"/>
      <c r="GH291" s="130"/>
      <c r="GI291" s="130"/>
      <c r="GJ291" s="130"/>
      <c r="GK291" s="130"/>
      <c r="GL291" s="130"/>
      <c r="GM291" s="130"/>
      <c r="GN291" s="130"/>
      <c r="GO291" s="130"/>
      <c r="GP291" s="130"/>
      <c r="GQ291" s="130"/>
      <c r="GR291" s="130"/>
      <c r="GS291" s="130"/>
      <c r="GT291" s="130"/>
      <c r="GU291" s="130"/>
      <c r="GV291" s="130"/>
      <c r="GW291" s="130"/>
      <c r="GX291" s="130"/>
      <c r="GY291" s="130"/>
      <c r="GZ291" s="130"/>
      <c r="HA291" s="130"/>
      <c r="HB291" s="130"/>
      <c r="HC291" s="130"/>
      <c r="HD291" s="130"/>
      <c r="HE291" s="130"/>
      <c r="HF291" s="130"/>
      <c r="HG291" s="130"/>
      <c r="HH291" s="130"/>
      <c r="HI291" s="130"/>
      <c r="HJ291" s="130"/>
      <c r="HK291" s="130"/>
      <c r="HL291" s="130"/>
      <c r="HM291" s="130"/>
      <c r="HN291" s="130"/>
      <c r="HO291" s="130"/>
      <c r="HP291" s="130"/>
      <c r="HQ291" s="130"/>
      <c r="HR291" s="130"/>
      <c r="HS291" s="130"/>
      <c r="HT291" s="130"/>
      <c r="HU291" s="130"/>
      <c r="HV291" s="130"/>
      <c r="HW291" s="130"/>
      <c r="HX291" s="130"/>
      <c r="HY291" s="130"/>
      <c r="HZ291" s="130"/>
      <c r="IA291" s="130"/>
      <c r="IB291" s="130"/>
      <c r="IC291" s="130"/>
      <c r="ID291" s="130"/>
      <c r="IE291" s="130"/>
      <c r="IF291" s="130"/>
      <c r="IG291" s="130"/>
      <c r="IH291" s="130"/>
      <c r="II291" s="130"/>
      <c r="IJ291" s="130"/>
      <c r="IK291" s="130"/>
      <c r="IL291" s="130"/>
      <c r="IM291" s="130"/>
      <c r="IN291" s="130"/>
      <c r="IO291" s="130"/>
      <c r="IP291" s="130"/>
      <c r="IQ291" s="130"/>
      <c r="IR291" s="130"/>
      <c r="IS291" s="130"/>
      <c r="IT291" s="130"/>
      <c r="IU291" s="130"/>
      <c r="IV291" s="130"/>
    </row>
    <row r="292" spans="1:256">
      <c r="A292" s="825"/>
      <c r="B292" s="828"/>
      <c r="C292" s="157" t="s">
        <v>2</v>
      </c>
      <c r="D292" s="158">
        <f>D291+D290</f>
        <v>17669818.5</v>
      </c>
      <c r="E292" s="159">
        <f t="shared" ref="E292:P292" si="138">E291+E290</f>
        <v>17665101.5</v>
      </c>
      <c r="F292" s="159">
        <f t="shared" si="138"/>
        <v>7278042.5</v>
      </c>
      <c r="G292" s="159">
        <f t="shared" si="138"/>
        <v>609260</v>
      </c>
      <c r="H292" s="159">
        <f t="shared" si="138"/>
        <v>6668782.5</v>
      </c>
      <c r="I292" s="159">
        <f t="shared" si="138"/>
        <v>150000</v>
      </c>
      <c r="J292" s="159">
        <f t="shared" si="138"/>
        <v>1000</v>
      </c>
      <c r="K292" s="159">
        <f t="shared" si="138"/>
        <v>10236059</v>
      </c>
      <c r="L292" s="159">
        <f t="shared" si="138"/>
        <v>0</v>
      </c>
      <c r="M292" s="159">
        <f t="shared" si="138"/>
        <v>4717</v>
      </c>
      <c r="N292" s="159">
        <f t="shared" si="138"/>
        <v>4717</v>
      </c>
      <c r="O292" s="159">
        <f t="shared" si="138"/>
        <v>4717</v>
      </c>
      <c r="P292" s="159">
        <f t="shared" si="138"/>
        <v>0</v>
      </c>
      <c r="Q292" s="166"/>
      <c r="R292" s="166"/>
      <c r="S292" s="166"/>
      <c r="T292" s="166"/>
      <c r="U292" s="166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0"/>
      <c r="BW292" s="130"/>
      <c r="BX292" s="130"/>
      <c r="BY292" s="130"/>
      <c r="BZ292" s="130"/>
      <c r="CA292" s="130"/>
      <c r="CB292" s="130"/>
      <c r="CC292" s="130"/>
      <c r="CD292" s="130"/>
      <c r="CE292" s="130"/>
      <c r="CF292" s="130"/>
      <c r="CG292" s="130"/>
      <c r="CH292" s="130"/>
      <c r="CI292" s="130"/>
      <c r="CJ292" s="130"/>
      <c r="CK292" s="130"/>
      <c r="CL292" s="130"/>
      <c r="CM292" s="130"/>
      <c r="CN292" s="130"/>
      <c r="CO292" s="130"/>
      <c r="CP292" s="130"/>
      <c r="CQ292" s="130"/>
      <c r="CR292" s="130"/>
      <c r="CS292" s="130"/>
      <c r="CT292" s="130"/>
      <c r="CU292" s="130"/>
      <c r="CV292" s="130"/>
      <c r="CW292" s="130"/>
      <c r="CX292" s="130"/>
      <c r="CY292" s="130"/>
      <c r="CZ292" s="130"/>
      <c r="DA292" s="130"/>
      <c r="DB292" s="130"/>
      <c r="DC292" s="130"/>
      <c r="DD292" s="130"/>
      <c r="DE292" s="130"/>
      <c r="DF292" s="130"/>
      <c r="DG292" s="130"/>
      <c r="DH292" s="130"/>
      <c r="DI292" s="130"/>
      <c r="DJ292" s="130"/>
      <c r="DK292" s="130"/>
      <c r="DL292" s="130"/>
      <c r="DM292" s="130"/>
      <c r="DN292" s="130"/>
      <c r="DO292" s="130"/>
      <c r="DP292" s="130"/>
      <c r="DQ292" s="130"/>
      <c r="DR292" s="130"/>
      <c r="DS292" s="130"/>
      <c r="DT292" s="130"/>
      <c r="DU292" s="130"/>
      <c r="DV292" s="130"/>
      <c r="DW292" s="130"/>
      <c r="DX292" s="130"/>
      <c r="DY292" s="130"/>
      <c r="DZ292" s="130"/>
      <c r="EA292" s="130"/>
      <c r="EB292" s="130"/>
      <c r="EC292" s="130"/>
      <c r="ED292" s="130"/>
      <c r="EE292" s="130"/>
      <c r="EF292" s="130"/>
      <c r="EG292" s="130"/>
      <c r="EH292" s="130"/>
      <c r="EI292" s="130"/>
      <c r="EJ292" s="130"/>
      <c r="EK292" s="130"/>
      <c r="EL292" s="130"/>
      <c r="EM292" s="130"/>
      <c r="EN292" s="130"/>
      <c r="EO292" s="130"/>
      <c r="EP292" s="130"/>
      <c r="EQ292" s="130"/>
      <c r="ER292" s="130"/>
      <c r="ES292" s="130"/>
      <c r="ET292" s="130"/>
      <c r="EU292" s="130"/>
      <c r="EV292" s="130"/>
      <c r="EW292" s="130"/>
      <c r="EX292" s="130"/>
      <c r="EY292" s="130"/>
      <c r="EZ292" s="130"/>
      <c r="FA292" s="130"/>
      <c r="FB292" s="130"/>
      <c r="FC292" s="130"/>
      <c r="FD292" s="130"/>
      <c r="FE292" s="130"/>
      <c r="FF292" s="130"/>
      <c r="FG292" s="130"/>
      <c r="FH292" s="130"/>
      <c r="FI292" s="130"/>
      <c r="FJ292" s="130"/>
      <c r="FK292" s="130"/>
      <c r="FL292" s="130"/>
      <c r="FM292" s="130"/>
      <c r="FN292" s="130"/>
      <c r="FO292" s="130"/>
      <c r="FP292" s="130"/>
      <c r="FQ292" s="130"/>
      <c r="FR292" s="130"/>
      <c r="FS292" s="130"/>
      <c r="FT292" s="130"/>
      <c r="FU292" s="130"/>
      <c r="FV292" s="130"/>
      <c r="FW292" s="130"/>
      <c r="FX292" s="130"/>
      <c r="FY292" s="130"/>
      <c r="FZ292" s="130"/>
      <c r="GA292" s="130"/>
      <c r="GB292" s="130"/>
      <c r="GC292" s="130"/>
      <c r="GD292" s="130"/>
      <c r="GE292" s="130"/>
      <c r="GF292" s="130"/>
      <c r="GG292" s="130"/>
      <c r="GH292" s="130"/>
      <c r="GI292" s="130"/>
      <c r="GJ292" s="130"/>
      <c r="GK292" s="130"/>
      <c r="GL292" s="130"/>
      <c r="GM292" s="130"/>
      <c r="GN292" s="130"/>
      <c r="GO292" s="130"/>
      <c r="GP292" s="130"/>
      <c r="GQ292" s="130"/>
      <c r="GR292" s="130"/>
      <c r="GS292" s="130"/>
      <c r="GT292" s="130"/>
      <c r="GU292" s="130"/>
      <c r="GV292" s="130"/>
      <c r="GW292" s="130"/>
      <c r="GX292" s="130"/>
      <c r="GY292" s="130"/>
      <c r="GZ292" s="130"/>
      <c r="HA292" s="130"/>
      <c r="HB292" s="130"/>
      <c r="HC292" s="130"/>
      <c r="HD292" s="130"/>
      <c r="HE292" s="130"/>
      <c r="HF292" s="130"/>
      <c r="HG292" s="130"/>
      <c r="HH292" s="130"/>
      <c r="HI292" s="130"/>
      <c r="HJ292" s="130"/>
      <c r="HK292" s="130"/>
      <c r="HL292" s="130"/>
      <c r="HM292" s="130"/>
      <c r="HN292" s="130"/>
      <c r="HO292" s="130"/>
      <c r="HP292" s="130"/>
      <c r="HQ292" s="130"/>
      <c r="HR292" s="130"/>
      <c r="HS292" s="130"/>
      <c r="HT292" s="130"/>
      <c r="HU292" s="130"/>
      <c r="HV292" s="130"/>
      <c r="HW292" s="130"/>
      <c r="HX292" s="130"/>
      <c r="HY292" s="130"/>
      <c r="HZ292" s="130"/>
      <c r="IA292" s="130"/>
      <c r="IB292" s="130"/>
      <c r="IC292" s="130"/>
      <c r="ID292" s="130"/>
      <c r="IE292" s="130"/>
      <c r="IF292" s="130"/>
      <c r="IG292" s="130"/>
      <c r="IH292" s="130"/>
      <c r="II292" s="130"/>
      <c r="IJ292" s="130"/>
      <c r="IK292" s="130"/>
      <c r="IL292" s="130"/>
      <c r="IM292" s="130"/>
      <c r="IN292" s="130"/>
      <c r="IO292" s="130"/>
      <c r="IP292" s="130"/>
      <c r="IQ292" s="130"/>
      <c r="IR292" s="130"/>
      <c r="IS292" s="130"/>
      <c r="IT292" s="130"/>
      <c r="IU292" s="130"/>
      <c r="IV292" s="130"/>
    </row>
    <row r="293" spans="1:256" ht="15">
      <c r="A293" s="835">
        <v>854</v>
      </c>
      <c r="B293" s="838" t="s">
        <v>264</v>
      </c>
      <c r="C293" s="161" t="s">
        <v>0</v>
      </c>
      <c r="D293" s="173">
        <f t="shared" ref="D293:O294" si="139">D296+D302+D305+D311+D314+D299+D308</f>
        <v>53348575</v>
      </c>
      <c r="E293" s="163">
        <f t="shared" si="139"/>
        <v>45437121</v>
      </c>
      <c r="F293" s="163">
        <f t="shared" si="139"/>
        <v>37447701</v>
      </c>
      <c r="G293" s="163">
        <f t="shared" si="139"/>
        <v>32134719</v>
      </c>
      <c r="H293" s="163">
        <f t="shared" si="139"/>
        <v>5312982</v>
      </c>
      <c r="I293" s="163">
        <f t="shared" si="139"/>
        <v>298200</v>
      </c>
      <c r="J293" s="163">
        <f t="shared" si="139"/>
        <v>666940</v>
      </c>
      <c r="K293" s="163">
        <f t="shared" si="139"/>
        <v>7024280</v>
      </c>
      <c r="L293" s="163">
        <f t="shared" si="139"/>
        <v>0</v>
      </c>
      <c r="M293" s="163">
        <f t="shared" si="139"/>
        <v>7911454</v>
      </c>
      <c r="N293" s="163">
        <f t="shared" si="139"/>
        <v>7911454</v>
      </c>
      <c r="O293" s="163">
        <f t="shared" si="139"/>
        <v>0</v>
      </c>
      <c r="P293" s="163">
        <f>P296+P302+P305+P311+P314+P299+P308</f>
        <v>0</v>
      </c>
      <c r="Q293" s="171"/>
      <c r="R293" s="171"/>
      <c r="S293" s="171"/>
      <c r="T293" s="171"/>
      <c r="U293" s="171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2"/>
      <c r="BW293" s="172"/>
      <c r="BX293" s="172"/>
      <c r="BY293" s="172"/>
      <c r="BZ293" s="172"/>
      <c r="CA293" s="172"/>
      <c r="CB293" s="172"/>
      <c r="CC293" s="172"/>
      <c r="CD293" s="172"/>
      <c r="CE293" s="172"/>
      <c r="CF293" s="172"/>
      <c r="CG293" s="172"/>
      <c r="CH293" s="172"/>
      <c r="CI293" s="172"/>
      <c r="CJ293" s="172"/>
      <c r="CK293" s="172"/>
      <c r="CL293" s="172"/>
      <c r="CM293" s="172"/>
      <c r="CN293" s="172"/>
      <c r="CO293" s="172"/>
      <c r="CP293" s="172"/>
      <c r="CQ293" s="172"/>
      <c r="CR293" s="172"/>
      <c r="CS293" s="172"/>
      <c r="CT293" s="172"/>
      <c r="CU293" s="172"/>
      <c r="CV293" s="172"/>
      <c r="CW293" s="172"/>
      <c r="CX293" s="172"/>
      <c r="CY293" s="172"/>
      <c r="CZ293" s="172"/>
      <c r="DA293" s="172"/>
      <c r="DB293" s="172"/>
      <c r="DC293" s="172"/>
      <c r="DD293" s="172"/>
      <c r="DE293" s="172"/>
      <c r="DF293" s="172"/>
      <c r="DG293" s="172"/>
      <c r="DH293" s="172"/>
      <c r="DI293" s="172"/>
      <c r="DJ293" s="172"/>
      <c r="DK293" s="172"/>
      <c r="DL293" s="172"/>
      <c r="DM293" s="172"/>
      <c r="DN293" s="172"/>
      <c r="DO293" s="172"/>
      <c r="DP293" s="172"/>
      <c r="DQ293" s="172"/>
      <c r="DR293" s="172"/>
      <c r="DS293" s="172"/>
      <c r="DT293" s="172"/>
      <c r="DU293" s="172"/>
      <c r="DV293" s="172"/>
      <c r="DW293" s="172"/>
      <c r="DX293" s="172"/>
      <c r="DY293" s="172"/>
      <c r="DZ293" s="172"/>
      <c r="EA293" s="172"/>
      <c r="EB293" s="172"/>
      <c r="EC293" s="172"/>
      <c r="ED293" s="172"/>
      <c r="EE293" s="172"/>
      <c r="EF293" s="172"/>
      <c r="EG293" s="172"/>
      <c r="EH293" s="172"/>
      <c r="EI293" s="172"/>
      <c r="EJ293" s="172"/>
      <c r="EK293" s="172"/>
      <c r="EL293" s="172"/>
      <c r="EM293" s="172"/>
      <c r="EN293" s="172"/>
      <c r="EO293" s="172"/>
      <c r="EP293" s="172"/>
      <c r="EQ293" s="172"/>
      <c r="ER293" s="172"/>
      <c r="ES293" s="172"/>
      <c r="ET293" s="172"/>
      <c r="EU293" s="172"/>
      <c r="EV293" s="172"/>
      <c r="EW293" s="172"/>
      <c r="EX293" s="172"/>
      <c r="EY293" s="172"/>
      <c r="EZ293" s="172"/>
      <c r="FA293" s="172"/>
      <c r="FB293" s="172"/>
      <c r="FC293" s="172"/>
      <c r="FD293" s="172"/>
      <c r="FE293" s="172"/>
      <c r="FF293" s="172"/>
      <c r="FG293" s="172"/>
      <c r="FH293" s="172"/>
      <c r="FI293" s="172"/>
      <c r="FJ293" s="172"/>
      <c r="FK293" s="172"/>
      <c r="FL293" s="172"/>
      <c r="FM293" s="172"/>
      <c r="FN293" s="172"/>
      <c r="FO293" s="172"/>
      <c r="FP293" s="172"/>
      <c r="FQ293" s="172"/>
      <c r="FR293" s="172"/>
      <c r="FS293" s="172"/>
      <c r="FT293" s="172"/>
      <c r="FU293" s="172"/>
      <c r="FV293" s="172"/>
      <c r="FW293" s="172"/>
      <c r="FX293" s="172"/>
      <c r="FY293" s="172"/>
      <c r="FZ293" s="172"/>
      <c r="GA293" s="172"/>
      <c r="GB293" s="172"/>
      <c r="GC293" s="172"/>
      <c r="GD293" s="172"/>
      <c r="GE293" s="172"/>
      <c r="GF293" s="172"/>
      <c r="GG293" s="172"/>
      <c r="GH293" s="172"/>
      <c r="GI293" s="172"/>
      <c r="GJ293" s="172"/>
      <c r="GK293" s="172"/>
      <c r="GL293" s="172"/>
      <c r="GM293" s="172"/>
      <c r="GN293" s="172"/>
      <c r="GO293" s="172"/>
      <c r="GP293" s="172"/>
      <c r="GQ293" s="172"/>
      <c r="GR293" s="172"/>
      <c r="GS293" s="172"/>
      <c r="GT293" s="172"/>
      <c r="GU293" s="172"/>
      <c r="GV293" s="172"/>
      <c r="GW293" s="172"/>
      <c r="GX293" s="172"/>
      <c r="GY293" s="172"/>
      <c r="GZ293" s="172"/>
      <c r="HA293" s="172"/>
      <c r="HB293" s="172"/>
      <c r="HC293" s="172"/>
      <c r="HD293" s="172"/>
      <c r="HE293" s="172"/>
      <c r="HF293" s="172"/>
      <c r="HG293" s="172"/>
      <c r="HH293" s="172"/>
      <c r="HI293" s="172"/>
      <c r="HJ293" s="172"/>
      <c r="HK293" s="172"/>
      <c r="HL293" s="172"/>
      <c r="HM293" s="172"/>
      <c r="HN293" s="172"/>
      <c r="HO293" s="172"/>
      <c r="HP293" s="172"/>
      <c r="HQ293" s="172"/>
      <c r="HR293" s="172"/>
      <c r="HS293" s="172"/>
      <c r="HT293" s="172"/>
      <c r="HU293" s="172"/>
      <c r="HV293" s="172"/>
      <c r="HW293" s="172"/>
      <c r="HX293" s="172"/>
      <c r="HY293" s="172"/>
      <c r="HZ293" s="172"/>
      <c r="IA293" s="172"/>
      <c r="IB293" s="172"/>
      <c r="IC293" s="172"/>
      <c r="ID293" s="172"/>
      <c r="IE293" s="172"/>
      <c r="IF293" s="172"/>
      <c r="IG293" s="172"/>
      <c r="IH293" s="172"/>
      <c r="II293" s="172"/>
      <c r="IJ293" s="172"/>
      <c r="IK293" s="172"/>
      <c r="IL293" s="172"/>
      <c r="IM293" s="172"/>
      <c r="IN293" s="172"/>
      <c r="IO293" s="172"/>
      <c r="IP293" s="172"/>
      <c r="IQ293" s="172"/>
      <c r="IR293" s="172"/>
      <c r="IS293" s="172"/>
      <c r="IT293" s="172"/>
      <c r="IU293" s="172"/>
      <c r="IV293" s="172"/>
    </row>
    <row r="294" spans="1:256" ht="15">
      <c r="A294" s="836"/>
      <c r="B294" s="839"/>
      <c r="C294" s="161" t="s">
        <v>1</v>
      </c>
      <c r="D294" s="173">
        <f t="shared" si="139"/>
        <v>812032</v>
      </c>
      <c r="E294" s="163">
        <f t="shared" si="139"/>
        <v>766412</v>
      </c>
      <c r="F294" s="163">
        <f t="shared" si="139"/>
        <v>203469</v>
      </c>
      <c r="G294" s="163">
        <f t="shared" si="139"/>
        <v>203469</v>
      </c>
      <c r="H294" s="163">
        <f t="shared" si="139"/>
        <v>0</v>
      </c>
      <c r="I294" s="163">
        <f t="shared" si="139"/>
        <v>275000</v>
      </c>
      <c r="J294" s="163">
        <f t="shared" si="139"/>
        <v>100000</v>
      </c>
      <c r="K294" s="163">
        <f t="shared" si="139"/>
        <v>187943</v>
      </c>
      <c r="L294" s="163">
        <f t="shared" si="139"/>
        <v>0</v>
      </c>
      <c r="M294" s="163">
        <f t="shared" si="139"/>
        <v>45620</v>
      </c>
      <c r="N294" s="163">
        <f t="shared" si="139"/>
        <v>45620</v>
      </c>
      <c r="O294" s="163">
        <f t="shared" si="139"/>
        <v>0</v>
      </c>
      <c r="P294" s="163">
        <f>P297+P303+P306+P312+P315+P300+P309</f>
        <v>0</v>
      </c>
      <c r="Q294" s="171"/>
      <c r="R294" s="171"/>
      <c r="S294" s="171"/>
      <c r="T294" s="171"/>
      <c r="U294" s="171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  <c r="BO294" s="172"/>
      <c r="BP294" s="172"/>
      <c r="BQ294" s="172"/>
      <c r="BR294" s="172"/>
      <c r="BS294" s="172"/>
      <c r="BT294" s="172"/>
      <c r="BU294" s="172"/>
      <c r="BV294" s="172"/>
      <c r="BW294" s="172"/>
      <c r="BX294" s="172"/>
      <c r="BY294" s="172"/>
      <c r="BZ294" s="172"/>
      <c r="CA294" s="172"/>
      <c r="CB294" s="172"/>
      <c r="CC294" s="172"/>
      <c r="CD294" s="172"/>
      <c r="CE294" s="172"/>
      <c r="CF294" s="172"/>
      <c r="CG294" s="172"/>
      <c r="CH294" s="172"/>
      <c r="CI294" s="172"/>
      <c r="CJ294" s="172"/>
      <c r="CK294" s="172"/>
      <c r="CL294" s="172"/>
      <c r="CM294" s="172"/>
      <c r="CN294" s="172"/>
      <c r="CO294" s="172"/>
      <c r="CP294" s="172"/>
      <c r="CQ294" s="172"/>
      <c r="CR294" s="172"/>
      <c r="CS294" s="172"/>
      <c r="CT294" s="172"/>
      <c r="CU294" s="172"/>
      <c r="CV294" s="172"/>
      <c r="CW294" s="172"/>
      <c r="CX294" s="172"/>
      <c r="CY294" s="172"/>
      <c r="CZ294" s="172"/>
      <c r="DA294" s="172"/>
      <c r="DB294" s="172"/>
      <c r="DC294" s="172"/>
      <c r="DD294" s="172"/>
      <c r="DE294" s="172"/>
      <c r="DF294" s="172"/>
      <c r="DG294" s="172"/>
      <c r="DH294" s="172"/>
      <c r="DI294" s="172"/>
      <c r="DJ294" s="172"/>
      <c r="DK294" s="172"/>
      <c r="DL294" s="172"/>
      <c r="DM294" s="172"/>
      <c r="DN294" s="172"/>
      <c r="DO294" s="172"/>
      <c r="DP294" s="172"/>
      <c r="DQ294" s="172"/>
      <c r="DR294" s="172"/>
      <c r="DS294" s="172"/>
      <c r="DT294" s="172"/>
      <c r="DU294" s="172"/>
      <c r="DV294" s="172"/>
      <c r="DW294" s="172"/>
      <c r="DX294" s="172"/>
      <c r="DY294" s="172"/>
      <c r="DZ294" s="172"/>
      <c r="EA294" s="172"/>
      <c r="EB294" s="172"/>
      <c r="EC294" s="172"/>
      <c r="ED294" s="172"/>
      <c r="EE294" s="172"/>
      <c r="EF294" s="172"/>
      <c r="EG294" s="172"/>
      <c r="EH294" s="172"/>
      <c r="EI294" s="172"/>
      <c r="EJ294" s="172"/>
      <c r="EK294" s="172"/>
      <c r="EL294" s="172"/>
      <c r="EM294" s="172"/>
      <c r="EN294" s="172"/>
      <c r="EO294" s="172"/>
      <c r="EP294" s="172"/>
      <c r="EQ294" s="172"/>
      <c r="ER294" s="172"/>
      <c r="ES294" s="172"/>
      <c r="ET294" s="172"/>
      <c r="EU294" s="172"/>
      <c r="EV294" s="172"/>
      <c r="EW294" s="172"/>
      <c r="EX294" s="172"/>
      <c r="EY294" s="172"/>
      <c r="EZ294" s="172"/>
      <c r="FA294" s="172"/>
      <c r="FB294" s="172"/>
      <c r="FC294" s="172"/>
      <c r="FD294" s="172"/>
      <c r="FE294" s="172"/>
      <c r="FF294" s="172"/>
      <c r="FG294" s="172"/>
      <c r="FH294" s="172"/>
      <c r="FI294" s="172"/>
      <c r="FJ294" s="172"/>
      <c r="FK294" s="172"/>
      <c r="FL294" s="172"/>
      <c r="FM294" s="172"/>
      <c r="FN294" s="172"/>
      <c r="FO294" s="172"/>
      <c r="FP294" s="172"/>
      <c r="FQ294" s="172"/>
      <c r="FR294" s="172"/>
      <c r="FS294" s="172"/>
      <c r="FT294" s="172"/>
      <c r="FU294" s="172"/>
      <c r="FV294" s="172"/>
      <c r="FW294" s="172"/>
      <c r="FX294" s="172"/>
      <c r="FY294" s="172"/>
      <c r="FZ294" s="172"/>
      <c r="GA294" s="172"/>
      <c r="GB294" s="172"/>
      <c r="GC294" s="172"/>
      <c r="GD294" s="172"/>
      <c r="GE294" s="172"/>
      <c r="GF294" s="172"/>
      <c r="GG294" s="172"/>
      <c r="GH294" s="172"/>
      <c r="GI294" s="172"/>
      <c r="GJ294" s="172"/>
      <c r="GK294" s="172"/>
      <c r="GL294" s="172"/>
      <c r="GM294" s="172"/>
      <c r="GN294" s="172"/>
      <c r="GO294" s="172"/>
      <c r="GP294" s="172"/>
      <c r="GQ294" s="172"/>
      <c r="GR294" s="172"/>
      <c r="GS294" s="172"/>
      <c r="GT294" s="172"/>
      <c r="GU294" s="172"/>
      <c r="GV294" s="172"/>
      <c r="GW294" s="172"/>
      <c r="GX294" s="172"/>
      <c r="GY294" s="172"/>
      <c r="GZ294" s="172"/>
      <c r="HA294" s="172"/>
      <c r="HB294" s="172"/>
      <c r="HC294" s="172"/>
      <c r="HD294" s="172"/>
      <c r="HE294" s="172"/>
      <c r="HF294" s="172"/>
      <c r="HG294" s="172"/>
      <c r="HH294" s="172"/>
      <c r="HI294" s="172"/>
      <c r="HJ294" s="172"/>
      <c r="HK294" s="172"/>
      <c r="HL294" s="172"/>
      <c r="HM294" s="172"/>
      <c r="HN294" s="172"/>
      <c r="HO294" s="172"/>
      <c r="HP294" s="172"/>
      <c r="HQ294" s="172"/>
      <c r="HR294" s="172"/>
      <c r="HS294" s="172"/>
      <c r="HT294" s="172"/>
      <c r="HU294" s="172"/>
      <c r="HV294" s="172"/>
      <c r="HW294" s="172"/>
      <c r="HX294" s="172"/>
      <c r="HY294" s="172"/>
      <c r="HZ294" s="172"/>
      <c r="IA294" s="172"/>
      <c r="IB294" s="172"/>
      <c r="IC294" s="172"/>
      <c r="ID294" s="172"/>
      <c r="IE294" s="172"/>
      <c r="IF294" s="172"/>
      <c r="IG294" s="172"/>
      <c r="IH294" s="172"/>
      <c r="II294" s="172"/>
      <c r="IJ294" s="172"/>
      <c r="IK294" s="172"/>
      <c r="IL294" s="172"/>
      <c r="IM294" s="172"/>
      <c r="IN294" s="172"/>
      <c r="IO294" s="172"/>
      <c r="IP294" s="172"/>
      <c r="IQ294" s="172"/>
      <c r="IR294" s="172"/>
      <c r="IS294" s="172"/>
      <c r="IT294" s="172"/>
      <c r="IU294" s="172"/>
      <c r="IV294" s="172"/>
    </row>
    <row r="295" spans="1:256" ht="15">
      <c r="A295" s="837"/>
      <c r="B295" s="840"/>
      <c r="C295" s="161" t="s">
        <v>2</v>
      </c>
      <c r="D295" s="173">
        <f>D294+D293</f>
        <v>54160607</v>
      </c>
      <c r="E295" s="163">
        <f t="shared" ref="E295:P295" si="140">E294+E293</f>
        <v>46203533</v>
      </c>
      <c r="F295" s="163">
        <f t="shared" si="140"/>
        <v>37651170</v>
      </c>
      <c r="G295" s="163">
        <f t="shared" si="140"/>
        <v>32338188</v>
      </c>
      <c r="H295" s="163">
        <f t="shared" si="140"/>
        <v>5312982</v>
      </c>
      <c r="I295" s="163">
        <f t="shared" si="140"/>
        <v>573200</v>
      </c>
      <c r="J295" s="163">
        <f t="shared" si="140"/>
        <v>766940</v>
      </c>
      <c r="K295" s="163">
        <f t="shared" si="140"/>
        <v>7212223</v>
      </c>
      <c r="L295" s="163">
        <f t="shared" si="140"/>
        <v>0</v>
      </c>
      <c r="M295" s="163">
        <f t="shared" si="140"/>
        <v>7957074</v>
      </c>
      <c r="N295" s="163">
        <f t="shared" si="140"/>
        <v>7957074</v>
      </c>
      <c r="O295" s="163">
        <f t="shared" si="140"/>
        <v>0</v>
      </c>
      <c r="P295" s="163">
        <f t="shared" si="140"/>
        <v>0</v>
      </c>
      <c r="Q295" s="171"/>
      <c r="R295" s="171"/>
      <c r="S295" s="171"/>
      <c r="T295" s="171"/>
      <c r="U295" s="171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  <c r="BM295" s="172"/>
      <c r="BN295" s="172"/>
      <c r="BO295" s="172"/>
      <c r="BP295" s="172"/>
      <c r="BQ295" s="172"/>
      <c r="BR295" s="172"/>
      <c r="BS295" s="172"/>
      <c r="BT295" s="172"/>
      <c r="BU295" s="172"/>
      <c r="BV295" s="172"/>
      <c r="BW295" s="172"/>
      <c r="BX295" s="172"/>
      <c r="BY295" s="172"/>
      <c r="BZ295" s="172"/>
      <c r="CA295" s="172"/>
      <c r="CB295" s="172"/>
      <c r="CC295" s="172"/>
      <c r="CD295" s="172"/>
      <c r="CE295" s="172"/>
      <c r="CF295" s="172"/>
      <c r="CG295" s="172"/>
      <c r="CH295" s="172"/>
      <c r="CI295" s="172"/>
      <c r="CJ295" s="172"/>
      <c r="CK295" s="172"/>
      <c r="CL295" s="172"/>
      <c r="CM295" s="172"/>
      <c r="CN295" s="172"/>
      <c r="CO295" s="172"/>
      <c r="CP295" s="172"/>
      <c r="CQ295" s="172"/>
      <c r="CR295" s="172"/>
      <c r="CS295" s="172"/>
      <c r="CT295" s="172"/>
      <c r="CU295" s="172"/>
      <c r="CV295" s="172"/>
      <c r="CW295" s="172"/>
      <c r="CX295" s="172"/>
      <c r="CY295" s="172"/>
      <c r="CZ295" s="172"/>
      <c r="DA295" s="172"/>
      <c r="DB295" s="172"/>
      <c r="DC295" s="172"/>
      <c r="DD295" s="172"/>
      <c r="DE295" s="172"/>
      <c r="DF295" s="172"/>
      <c r="DG295" s="172"/>
      <c r="DH295" s="172"/>
      <c r="DI295" s="172"/>
      <c r="DJ295" s="172"/>
      <c r="DK295" s="172"/>
      <c r="DL295" s="172"/>
      <c r="DM295" s="172"/>
      <c r="DN295" s="172"/>
      <c r="DO295" s="172"/>
      <c r="DP295" s="172"/>
      <c r="DQ295" s="172"/>
      <c r="DR295" s="172"/>
      <c r="DS295" s="172"/>
      <c r="DT295" s="172"/>
      <c r="DU295" s="172"/>
      <c r="DV295" s="172"/>
      <c r="DW295" s="172"/>
      <c r="DX295" s="172"/>
      <c r="DY295" s="172"/>
      <c r="DZ295" s="172"/>
      <c r="EA295" s="172"/>
      <c r="EB295" s="172"/>
      <c r="EC295" s="172"/>
      <c r="ED295" s="172"/>
      <c r="EE295" s="172"/>
      <c r="EF295" s="172"/>
      <c r="EG295" s="172"/>
      <c r="EH295" s="172"/>
      <c r="EI295" s="172"/>
      <c r="EJ295" s="172"/>
      <c r="EK295" s="172"/>
      <c r="EL295" s="172"/>
      <c r="EM295" s="172"/>
      <c r="EN295" s="172"/>
      <c r="EO295" s="172"/>
      <c r="EP295" s="172"/>
      <c r="EQ295" s="172"/>
      <c r="ER295" s="172"/>
      <c r="ES295" s="172"/>
      <c r="ET295" s="172"/>
      <c r="EU295" s="172"/>
      <c r="EV295" s="172"/>
      <c r="EW295" s="172"/>
      <c r="EX295" s="172"/>
      <c r="EY295" s="172"/>
      <c r="EZ295" s="172"/>
      <c r="FA295" s="172"/>
      <c r="FB295" s="172"/>
      <c r="FC295" s="172"/>
      <c r="FD295" s="172"/>
      <c r="FE295" s="172"/>
      <c r="FF295" s="172"/>
      <c r="FG295" s="172"/>
      <c r="FH295" s="172"/>
      <c r="FI295" s="172"/>
      <c r="FJ295" s="172"/>
      <c r="FK295" s="172"/>
      <c r="FL295" s="172"/>
      <c r="FM295" s="172"/>
      <c r="FN295" s="172"/>
      <c r="FO295" s="172"/>
      <c r="FP295" s="172"/>
      <c r="FQ295" s="172"/>
      <c r="FR295" s="172"/>
      <c r="FS295" s="172"/>
      <c r="FT295" s="172"/>
      <c r="FU295" s="172"/>
      <c r="FV295" s="172"/>
      <c r="FW295" s="172"/>
      <c r="FX295" s="172"/>
      <c r="FY295" s="172"/>
      <c r="FZ295" s="172"/>
      <c r="GA295" s="172"/>
      <c r="GB295" s="172"/>
      <c r="GC295" s="172"/>
      <c r="GD295" s="172"/>
      <c r="GE295" s="172"/>
      <c r="GF295" s="172"/>
      <c r="GG295" s="172"/>
      <c r="GH295" s="172"/>
      <c r="GI295" s="172"/>
      <c r="GJ295" s="172"/>
      <c r="GK295" s="172"/>
      <c r="GL295" s="172"/>
      <c r="GM295" s="172"/>
      <c r="GN295" s="172"/>
      <c r="GO295" s="172"/>
      <c r="GP295" s="172"/>
      <c r="GQ295" s="172"/>
      <c r="GR295" s="172"/>
      <c r="GS295" s="172"/>
      <c r="GT295" s="172"/>
      <c r="GU295" s="172"/>
      <c r="GV295" s="172"/>
      <c r="GW295" s="172"/>
      <c r="GX295" s="172"/>
      <c r="GY295" s="172"/>
      <c r="GZ295" s="172"/>
      <c r="HA295" s="172"/>
      <c r="HB295" s="172"/>
      <c r="HC295" s="172"/>
      <c r="HD295" s="172"/>
      <c r="HE295" s="172"/>
      <c r="HF295" s="172"/>
      <c r="HG295" s="172"/>
      <c r="HH295" s="172"/>
      <c r="HI295" s="172"/>
      <c r="HJ295" s="172"/>
      <c r="HK295" s="172"/>
      <c r="HL295" s="172"/>
      <c r="HM295" s="172"/>
      <c r="HN295" s="172"/>
      <c r="HO295" s="172"/>
      <c r="HP295" s="172"/>
      <c r="HQ295" s="172"/>
      <c r="HR295" s="172"/>
      <c r="HS295" s="172"/>
      <c r="HT295" s="172"/>
      <c r="HU295" s="172"/>
      <c r="HV295" s="172"/>
      <c r="HW295" s="172"/>
      <c r="HX295" s="172"/>
      <c r="HY295" s="172"/>
      <c r="HZ295" s="172"/>
      <c r="IA295" s="172"/>
      <c r="IB295" s="172"/>
      <c r="IC295" s="172"/>
      <c r="ID295" s="172"/>
      <c r="IE295" s="172"/>
      <c r="IF295" s="172"/>
      <c r="IG295" s="172"/>
      <c r="IH295" s="172"/>
      <c r="II295" s="172"/>
      <c r="IJ295" s="172"/>
      <c r="IK295" s="172"/>
      <c r="IL295" s="172"/>
      <c r="IM295" s="172"/>
      <c r="IN295" s="172"/>
      <c r="IO295" s="172"/>
      <c r="IP295" s="172"/>
      <c r="IQ295" s="172"/>
      <c r="IR295" s="172"/>
      <c r="IS295" s="172"/>
      <c r="IT295" s="172"/>
      <c r="IU295" s="172"/>
      <c r="IV295" s="172"/>
    </row>
    <row r="296" spans="1:256">
      <c r="A296" s="823">
        <v>85403</v>
      </c>
      <c r="B296" s="826" t="s">
        <v>265</v>
      </c>
      <c r="C296" s="157" t="s">
        <v>0</v>
      </c>
      <c r="D296" s="158">
        <f t="shared" ref="D296:D315" si="141">E296+M296</f>
        <v>38238559</v>
      </c>
      <c r="E296" s="159">
        <f t="shared" ref="E296:E315" si="142">F296+I296+J296+K296+L296</f>
        <v>31353294</v>
      </c>
      <c r="F296" s="159">
        <f t="shared" ref="F296:F315" si="143">G296+H296</f>
        <v>31334784</v>
      </c>
      <c r="G296" s="159">
        <v>27427005</v>
      </c>
      <c r="H296" s="159">
        <f>4000+376490+85000+117800+1146854+160000+20110+982433+20205+1000+17500+61061+884505+176+1570+500+13175+15400</f>
        <v>3907779</v>
      </c>
      <c r="I296" s="159">
        <v>0</v>
      </c>
      <c r="J296" s="159">
        <v>18510</v>
      </c>
      <c r="K296" s="159">
        <v>0</v>
      </c>
      <c r="L296" s="159">
        <v>0</v>
      </c>
      <c r="M296" s="159">
        <f t="shared" ref="M296:M315" si="144">N296+P296</f>
        <v>6885265</v>
      </c>
      <c r="N296" s="159">
        <v>6885265</v>
      </c>
      <c r="O296" s="159">
        <v>0</v>
      </c>
      <c r="P296" s="159">
        <v>0</v>
      </c>
      <c r="Q296" s="166"/>
      <c r="R296" s="166"/>
      <c r="S296" s="166"/>
      <c r="T296" s="166"/>
      <c r="U296" s="166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0"/>
      <c r="BZ296" s="130"/>
      <c r="CA296" s="130"/>
      <c r="CB296" s="130"/>
      <c r="CC296" s="130"/>
      <c r="CD296" s="130"/>
      <c r="CE296" s="130"/>
      <c r="CF296" s="130"/>
      <c r="CG296" s="130"/>
      <c r="CH296" s="130"/>
      <c r="CI296" s="130"/>
      <c r="CJ296" s="130"/>
      <c r="CK296" s="130"/>
      <c r="CL296" s="130"/>
      <c r="CM296" s="130"/>
      <c r="CN296" s="130"/>
      <c r="CO296" s="130"/>
      <c r="CP296" s="130"/>
      <c r="CQ296" s="130"/>
      <c r="CR296" s="130"/>
      <c r="CS296" s="130"/>
      <c r="CT296" s="130"/>
      <c r="CU296" s="130"/>
      <c r="CV296" s="130"/>
      <c r="CW296" s="130"/>
      <c r="CX296" s="130"/>
      <c r="CY296" s="130"/>
      <c r="CZ296" s="130"/>
      <c r="DA296" s="130"/>
      <c r="DB296" s="130"/>
      <c r="DC296" s="130"/>
      <c r="DD296" s="130"/>
      <c r="DE296" s="130"/>
      <c r="DF296" s="130"/>
      <c r="DG296" s="130"/>
      <c r="DH296" s="130"/>
      <c r="DI296" s="130"/>
      <c r="DJ296" s="130"/>
      <c r="DK296" s="130"/>
      <c r="DL296" s="130"/>
      <c r="DM296" s="130"/>
      <c r="DN296" s="130"/>
      <c r="DO296" s="130"/>
      <c r="DP296" s="130"/>
      <c r="DQ296" s="130"/>
      <c r="DR296" s="130"/>
      <c r="DS296" s="130"/>
      <c r="DT296" s="130"/>
      <c r="DU296" s="130"/>
      <c r="DV296" s="130"/>
      <c r="DW296" s="130"/>
      <c r="DX296" s="130"/>
      <c r="DY296" s="130"/>
      <c r="DZ296" s="130"/>
      <c r="EA296" s="130"/>
      <c r="EB296" s="130"/>
      <c r="EC296" s="130"/>
      <c r="ED296" s="130"/>
      <c r="EE296" s="130"/>
      <c r="EF296" s="130"/>
      <c r="EG296" s="130"/>
      <c r="EH296" s="130"/>
      <c r="EI296" s="130"/>
      <c r="EJ296" s="130"/>
      <c r="EK296" s="130"/>
      <c r="EL296" s="130"/>
      <c r="EM296" s="130"/>
      <c r="EN296" s="130"/>
      <c r="EO296" s="130"/>
      <c r="EP296" s="130"/>
      <c r="EQ296" s="130"/>
      <c r="ER296" s="130"/>
      <c r="ES296" s="130"/>
      <c r="ET296" s="130"/>
      <c r="EU296" s="130"/>
      <c r="EV296" s="130"/>
      <c r="EW296" s="130"/>
      <c r="EX296" s="130"/>
      <c r="EY296" s="130"/>
      <c r="EZ296" s="130"/>
      <c r="FA296" s="130"/>
      <c r="FB296" s="130"/>
      <c r="FC296" s="130"/>
      <c r="FD296" s="130"/>
      <c r="FE296" s="130"/>
      <c r="FF296" s="130"/>
      <c r="FG296" s="130"/>
      <c r="FH296" s="130"/>
      <c r="FI296" s="130"/>
      <c r="FJ296" s="130"/>
      <c r="FK296" s="130"/>
      <c r="FL296" s="130"/>
      <c r="FM296" s="130"/>
      <c r="FN296" s="130"/>
      <c r="FO296" s="130"/>
      <c r="FP296" s="130"/>
      <c r="FQ296" s="130"/>
      <c r="FR296" s="130"/>
      <c r="FS296" s="130"/>
      <c r="FT296" s="130"/>
      <c r="FU296" s="130"/>
      <c r="FV296" s="130"/>
      <c r="FW296" s="130"/>
      <c r="FX296" s="130"/>
      <c r="FY296" s="130"/>
      <c r="FZ296" s="130"/>
      <c r="GA296" s="130"/>
      <c r="GB296" s="130"/>
      <c r="GC296" s="130"/>
      <c r="GD296" s="130"/>
      <c r="GE296" s="130"/>
      <c r="GF296" s="130"/>
      <c r="GG296" s="130"/>
      <c r="GH296" s="130"/>
      <c r="GI296" s="130"/>
      <c r="GJ296" s="130"/>
      <c r="GK296" s="130"/>
      <c r="GL296" s="130"/>
      <c r="GM296" s="130"/>
      <c r="GN296" s="130"/>
      <c r="GO296" s="130"/>
      <c r="GP296" s="130"/>
      <c r="GQ296" s="130"/>
      <c r="GR296" s="130"/>
      <c r="GS296" s="130"/>
      <c r="GT296" s="130"/>
      <c r="GU296" s="130"/>
      <c r="GV296" s="130"/>
      <c r="GW296" s="130"/>
      <c r="GX296" s="130"/>
      <c r="GY296" s="130"/>
      <c r="GZ296" s="130"/>
      <c r="HA296" s="130"/>
      <c r="HB296" s="130"/>
      <c r="HC296" s="130"/>
      <c r="HD296" s="130"/>
      <c r="HE296" s="130"/>
      <c r="HF296" s="130"/>
      <c r="HG296" s="130"/>
      <c r="HH296" s="130"/>
      <c r="HI296" s="130"/>
      <c r="HJ296" s="130"/>
      <c r="HK296" s="130"/>
      <c r="HL296" s="130"/>
      <c r="HM296" s="130"/>
      <c r="HN296" s="130"/>
      <c r="HO296" s="130"/>
      <c r="HP296" s="130"/>
      <c r="HQ296" s="130"/>
      <c r="HR296" s="130"/>
      <c r="HS296" s="130"/>
      <c r="HT296" s="130"/>
      <c r="HU296" s="130"/>
      <c r="HV296" s="130"/>
      <c r="HW296" s="130"/>
      <c r="HX296" s="130"/>
      <c r="HY296" s="130"/>
      <c r="HZ296" s="130"/>
      <c r="IA296" s="130"/>
      <c r="IB296" s="130"/>
      <c r="IC296" s="130"/>
      <c r="ID296" s="130"/>
      <c r="IE296" s="130"/>
      <c r="IF296" s="130"/>
      <c r="IG296" s="130"/>
      <c r="IH296" s="130"/>
      <c r="II296" s="130"/>
      <c r="IJ296" s="130"/>
      <c r="IK296" s="130"/>
      <c r="IL296" s="130"/>
      <c r="IM296" s="130"/>
      <c r="IN296" s="130"/>
      <c r="IO296" s="130"/>
      <c r="IP296" s="130"/>
      <c r="IQ296" s="130"/>
      <c r="IR296" s="130"/>
      <c r="IS296" s="130"/>
      <c r="IT296" s="130"/>
      <c r="IU296" s="130"/>
      <c r="IV296" s="130"/>
    </row>
    <row r="297" spans="1:256">
      <c r="A297" s="824"/>
      <c r="B297" s="827"/>
      <c r="C297" s="157" t="s">
        <v>1</v>
      </c>
      <c r="D297" s="158">
        <f t="shared" si="141"/>
        <v>249089</v>
      </c>
      <c r="E297" s="159">
        <f t="shared" si="142"/>
        <v>203469</v>
      </c>
      <c r="F297" s="159">
        <f t="shared" si="143"/>
        <v>203469</v>
      </c>
      <c r="G297" s="159">
        <v>203469</v>
      </c>
      <c r="H297" s="159"/>
      <c r="I297" s="159"/>
      <c r="J297" s="159"/>
      <c r="K297" s="159"/>
      <c r="L297" s="159"/>
      <c r="M297" s="159">
        <f t="shared" si="144"/>
        <v>45620</v>
      </c>
      <c r="N297" s="159">
        <v>45620</v>
      </c>
      <c r="O297" s="159"/>
      <c r="P297" s="159"/>
      <c r="Q297" s="166"/>
      <c r="R297" s="166"/>
      <c r="S297" s="166"/>
      <c r="T297" s="166"/>
      <c r="U297" s="166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0"/>
      <c r="CH297" s="130"/>
      <c r="CI297" s="130"/>
      <c r="CJ297" s="130"/>
      <c r="CK297" s="130"/>
      <c r="CL297" s="130"/>
      <c r="CM297" s="130"/>
      <c r="CN297" s="130"/>
      <c r="CO297" s="130"/>
      <c r="CP297" s="130"/>
      <c r="CQ297" s="130"/>
      <c r="CR297" s="130"/>
      <c r="CS297" s="130"/>
      <c r="CT297" s="130"/>
      <c r="CU297" s="130"/>
      <c r="CV297" s="130"/>
      <c r="CW297" s="130"/>
      <c r="CX297" s="130"/>
      <c r="CY297" s="130"/>
      <c r="CZ297" s="130"/>
      <c r="DA297" s="130"/>
      <c r="DB297" s="130"/>
      <c r="DC297" s="130"/>
      <c r="DD297" s="130"/>
      <c r="DE297" s="130"/>
      <c r="DF297" s="130"/>
      <c r="DG297" s="130"/>
      <c r="DH297" s="130"/>
      <c r="DI297" s="130"/>
      <c r="DJ297" s="130"/>
      <c r="DK297" s="130"/>
      <c r="DL297" s="130"/>
      <c r="DM297" s="130"/>
      <c r="DN297" s="130"/>
      <c r="DO297" s="130"/>
      <c r="DP297" s="130"/>
      <c r="DQ297" s="130"/>
      <c r="DR297" s="130"/>
      <c r="DS297" s="130"/>
      <c r="DT297" s="130"/>
      <c r="DU297" s="130"/>
      <c r="DV297" s="130"/>
      <c r="DW297" s="130"/>
      <c r="DX297" s="130"/>
      <c r="DY297" s="130"/>
      <c r="DZ297" s="130"/>
      <c r="EA297" s="130"/>
      <c r="EB297" s="130"/>
      <c r="EC297" s="130"/>
      <c r="ED297" s="130"/>
      <c r="EE297" s="130"/>
      <c r="EF297" s="130"/>
      <c r="EG297" s="130"/>
      <c r="EH297" s="130"/>
      <c r="EI297" s="130"/>
      <c r="EJ297" s="130"/>
      <c r="EK297" s="130"/>
      <c r="EL297" s="130"/>
      <c r="EM297" s="130"/>
      <c r="EN297" s="130"/>
      <c r="EO297" s="130"/>
      <c r="EP297" s="130"/>
      <c r="EQ297" s="130"/>
      <c r="ER297" s="130"/>
      <c r="ES297" s="130"/>
      <c r="ET297" s="130"/>
      <c r="EU297" s="130"/>
      <c r="EV297" s="130"/>
      <c r="EW297" s="130"/>
      <c r="EX297" s="130"/>
      <c r="EY297" s="130"/>
      <c r="EZ297" s="130"/>
      <c r="FA297" s="130"/>
      <c r="FB297" s="130"/>
      <c r="FC297" s="130"/>
      <c r="FD297" s="130"/>
      <c r="FE297" s="130"/>
      <c r="FF297" s="130"/>
      <c r="FG297" s="130"/>
      <c r="FH297" s="130"/>
      <c r="FI297" s="130"/>
      <c r="FJ297" s="130"/>
      <c r="FK297" s="130"/>
      <c r="FL297" s="130"/>
      <c r="FM297" s="130"/>
      <c r="FN297" s="130"/>
      <c r="FO297" s="130"/>
      <c r="FP297" s="130"/>
      <c r="FQ297" s="130"/>
      <c r="FR297" s="130"/>
      <c r="FS297" s="130"/>
      <c r="FT297" s="130"/>
      <c r="FU297" s="130"/>
      <c r="FV297" s="130"/>
      <c r="FW297" s="130"/>
      <c r="FX297" s="130"/>
      <c r="FY297" s="130"/>
      <c r="FZ297" s="130"/>
      <c r="GA297" s="130"/>
      <c r="GB297" s="130"/>
      <c r="GC297" s="130"/>
      <c r="GD297" s="130"/>
      <c r="GE297" s="130"/>
      <c r="GF297" s="130"/>
      <c r="GG297" s="130"/>
      <c r="GH297" s="130"/>
      <c r="GI297" s="130"/>
      <c r="GJ297" s="130"/>
      <c r="GK297" s="130"/>
      <c r="GL297" s="130"/>
      <c r="GM297" s="130"/>
      <c r="GN297" s="130"/>
      <c r="GO297" s="130"/>
      <c r="GP297" s="130"/>
      <c r="GQ297" s="130"/>
      <c r="GR297" s="130"/>
      <c r="GS297" s="130"/>
      <c r="GT297" s="130"/>
      <c r="GU297" s="130"/>
      <c r="GV297" s="130"/>
      <c r="GW297" s="130"/>
      <c r="GX297" s="130"/>
      <c r="GY297" s="130"/>
      <c r="GZ297" s="130"/>
      <c r="HA297" s="130"/>
      <c r="HB297" s="130"/>
      <c r="HC297" s="130"/>
      <c r="HD297" s="130"/>
      <c r="HE297" s="130"/>
      <c r="HF297" s="130"/>
      <c r="HG297" s="130"/>
      <c r="HH297" s="130"/>
      <c r="HI297" s="130"/>
      <c r="HJ297" s="130"/>
      <c r="HK297" s="130"/>
      <c r="HL297" s="130"/>
      <c r="HM297" s="130"/>
      <c r="HN297" s="130"/>
      <c r="HO297" s="130"/>
      <c r="HP297" s="130"/>
      <c r="HQ297" s="130"/>
      <c r="HR297" s="130"/>
      <c r="HS297" s="130"/>
      <c r="HT297" s="130"/>
      <c r="HU297" s="130"/>
      <c r="HV297" s="130"/>
      <c r="HW297" s="130"/>
      <c r="HX297" s="130"/>
      <c r="HY297" s="130"/>
      <c r="HZ297" s="130"/>
      <c r="IA297" s="130"/>
      <c r="IB297" s="130"/>
      <c r="IC297" s="130"/>
      <c r="ID297" s="130"/>
      <c r="IE297" s="130"/>
      <c r="IF297" s="130"/>
      <c r="IG297" s="130"/>
      <c r="IH297" s="130"/>
      <c r="II297" s="130"/>
      <c r="IJ297" s="130"/>
      <c r="IK297" s="130"/>
      <c r="IL297" s="130"/>
      <c r="IM297" s="130"/>
      <c r="IN297" s="130"/>
      <c r="IO297" s="130"/>
      <c r="IP297" s="130"/>
      <c r="IQ297" s="130"/>
      <c r="IR297" s="130"/>
      <c r="IS297" s="130"/>
      <c r="IT297" s="130"/>
      <c r="IU297" s="130"/>
      <c r="IV297" s="130"/>
    </row>
    <row r="298" spans="1:256">
      <c r="A298" s="825"/>
      <c r="B298" s="828"/>
      <c r="C298" s="157" t="s">
        <v>2</v>
      </c>
      <c r="D298" s="158">
        <f>D297+D296</f>
        <v>38487648</v>
      </c>
      <c r="E298" s="159">
        <f t="shared" ref="E298:P298" si="145">E297+E296</f>
        <v>31556763</v>
      </c>
      <c r="F298" s="159">
        <f t="shared" si="145"/>
        <v>31538253</v>
      </c>
      <c r="G298" s="159">
        <f t="shared" si="145"/>
        <v>27630474</v>
      </c>
      <c r="H298" s="159">
        <f t="shared" si="145"/>
        <v>3907779</v>
      </c>
      <c r="I298" s="159">
        <f t="shared" si="145"/>
        <v>0</v>
      </c>
      <c r="J298" s="159">
        <f t="shared" si="145"/>
        <v>18510</v>
      </c>
      <c r="K298" s="159">
        <f t="shared" si="145"/>
        <v>0</v>
      </c>
      <c r="L298" s="159">
        <f t="shared" si="145"/>
        <v>0</v>
      </c>
      <c r="M298" s="159">
        <f t="shared" si="145"/>
        <v>6930885</v>
      </c>
      <c r="N298" s="159">
        <f t="shared" si="145"/>
        <v>6930885</v>
      </c>
      <c r="O298" s="159">
        <f t="shared" si="145"/>
        <v>0</v>
      </c>
      <c r="P298" s="159">
        <f t="shared" si="145"/>
        <v>0</v>
      </c>
      <c r="Q298" s="166"/>
      <c r="R298" s="166"/>
      <c r="S298" s="166"/>
      <c r="T298" s="166"/>
      <c r="U298" s="166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0"/>
      <c r="CC298" s="130"/>
      <c r="CD298" s="130"/>
      <c r="CE298" s="130"/>
      <c r="CF298" s="130"/>
      <c r="CG298" s="130"/>
      <c r="CH298" s="130"/>
      <c r="CI298" s="130"/>
      <c r="CJ298" s="130"/>
      <c r="CK298" s="130"/>
      <c r="CL298" s="130"/>
      <c r="CM298" s="130"/>
      <c r="CN298" s="130"/>
      <c r="CO298" s="130"/>
      <c r="CP298" s="130"/>
      <c r="CQ298" s="130"/>
      <c r="CR298" s="130"/>
      <c r="CS298" s="130"/>
      <c r="CT298" s="130"/>
      <c r="CU298" s="130"/>
      <c r="CV298" s="130"/>
      <c r="CW298" s="130"/>
      <c r="CX298" s="130"/>
      <c r="CY298" s="130"/>
      <c r="CZ298" s="130"/>
      <c r="DA298" s="130"/>
      <c r="DB298" s="130"/>
      <c r="DC298" s="130"/>
      <c r="DD298" s="130"/>
      <c r="DE298" s="130"/>
      <c r="DF298" s="130"/>
      <c r="DG298" s="130"/>
      <c r="DH298" s="130"/>
      <c r="DI298" s="130"/>
      <c r="DJ298" s="130"/>
      <c r="DK298" s="130"/>
      <c r="DL298" s="130"/>
      <c r="DM298" s="130"/>
      <c r="DN298" s="130"/>
      <c r="DO298" s="130"/>
      <c r="DP298" s="130"/>
      <c r="DQ298" s="130"/>
      <c r="DR298" s="130"/>
      <c r="DS298" s="130"/>
      <c r="DT298" s="130"/>
      <c r="DU298" s="130"/>
      <c r="DV298" s="130"/>
      <c r="DW298" s="130"/>
      <c r="DX298" s="130"/>
      <c r="DY298" s="130"/>
      <c r="DZ298" s="130"/>
      <c r="EA298" s="130"/>
      <c r="EB298" s="130"/>
      <c r="EC298" s="130"/>
      <c r="ED298" s="130"/>
      <c r="EE298" s="130"/>
      <c r="EF298" s="130"/>
      <c r="EG298" s="130"/>
      <c r="EH298" s="130"/>
      <c r="EI298" s="130"/>
      <c r="EJ298" s="130"/>
      <c r="EK298" s="130"/>
      <c r="EL298" s="130"/>
      <c r="EM298" s="130"/>
      <c r="EN298" s="130"/>
      <c r="EO298" s="130"/>
      <c r="EP298" s="130"/>
      <c r="EQ298" s="130"/>
      <c r="ER298" s="130"/>
      <c r="ES298" s="130"/>
      <c r="ET298" s="130"/>
      <c r="EU298" s="130"/>
      <c r="EV298" s="130"/>
      <c r="EW298" s="130"/>
      <c r="EX298" s="130"/>
      <c r="EY298" s="130"/>
      <c r="EZ298" s="130"/>
      <c r="FA298" s="130"/>
      <c r="FB298" s="130"/>
      <c r="FC298" s="130"/>
      <c r="FD298" s="130"/>
      <c r="FE298" s="130"/>
      <c r="FF298" s="130"/>
      <c r="FG298" s="130"/>
      <c r="FH298" s="130"/>
      <c r="FI298" s="130"/>
      <c r="FJ298" s="130"/>
      <c r="FK298" s="130"/>
      <c r="FL298" s="130"/>
      <c r="FM298" s="130"/>
      <c r="FN298" s="130"/>
      <c r="FO298" s="130"/>
      <c r="FP298" s="130"/>
      <c r="FQ298" s="130"/>
      <c r="FR298" s="130"/>
      <c r="FS298" s="130"/>
      <c r="FT298" s="130"/>
      <c r="FU298" s="130"/>
      <c r="FV298" s="130"/>
      <c r="FW298" s="130"/>
      <c r="FX298" s="130"/>
      <c r="FY298" s="130"/>
      <c r="FZ298" s="130"/>
      <c r="GA298" s="130"/>
      <c r="GB298" s="130"/>
      <c r="GC298" s="130"/>
      <c r="GD298" s="130"/>
      <c r="GE298" s="130"/>
      <c r="GF298" s="130"/>
      <c r="GG298" s="130"/>
      <c r="GH298" s="130"/>
      <c r="GI298" s="130"/>
      <c r="GJ298" s="130"/>
      <c r="GK298" s="130"/>
      <c r="GL298" s="130"/>
      <c r="GM298" s="130"/>
      <c r="GN298" s="130"/>
      <c r="GO298" s="130"/>
      <c r="GP298" s="130"/>
      <c r="GQ298" s="130"/>
      <c r="GR298" s="130"/>
      <c r="GS298" s="130"/>
      <c r="GT298" s="130"/>
      <c r="GU298" s="130"/>
      <c r="GV298" s="130"/>
      <c r="GW298" s="130"/>
      <c r="GX298" s="130"/>
      <c r="GY298" s="130"/>
      <c r="GZ298" s="130"/>
      <c r="HA298" s="130"/>
      <c r="HB298" s="130"/>
      <c r="HC298" s="130"/>
      <c r="HD298" s="130"/>
      <c r="HE298" s="130"/>
      <c r="HF298" s="130"/>
      <c r="HG298" s="130"/>
      <c r="HH298" s="130"/>
      <c r="HI298" s="130"/>
      <c r="HJ298" s="130"/>
      <c r="HK298" s="130"/>
      <c r="HL298" s="130"/>
      <c r="HM298" s="130"/>
      <c r="HN298" s="130"/>
      <c r="HO298" s="130"/>
      <c r="HP298" s="130"/>
      <c r="HQ298" s="130"/>
      <c r="HR298" s="130"/>
      <c r="HS298" s="130"/>
      <c r="HT298" s="130"/>
      <c r="HU298" s="130"/>
      <c r="HV298" s="130"/>
      <c r="HW298" s="130"/>
      <c r="HX298" s="130"/>
      <c r="HY298" s="130"/>
      <c r="HZ298" s="130"/>
      <c r="IA298" s="130"/>
      <c r="IB298" s="130"/>
      <c r="IC298" s="130"/>
      <c r="ID298" s="130"/>
      <c r="IE298" s="130"/>
      <c r="IF298" s="130"/>
      <c r="IG298" s="130"/>
      <c r="IH298" s="130"/>
      <c r="II298" s="130"/>
      <c r="IJ298" s="130"/>
      <c r="IK298" s="130"/>
      <c r="IL298" s="130"/>
      <c r="IM298" s="130"/>
      <c r="IN298" s="130"/>
      <c r="IO298" s="130"/>
      <c r="IP298" s="130"/>
      <c r="IQ298" s="130"/>
      <c r="IR298" s="130"/>
      <c r="IS298" s="130"/>
      <c r="IT298" s="130"/>
      <c r="IU298" s="130"/>
      <c r="IV298" s="130"/>
    </row>
    <row r="299" spans="1:256" hidden="1">
      <c r="A299" s="823">
        <v>85404</v>
      </c>
      <c r="B299" s="826" t="s">
        <v>266</v>
      </c>
      <c r="C299" s="157" t="s">
        <v>0</v>
      </c>
      <c r="D299" s="158">
        <f t="shared" si="141"/>
        <v>2576406</v>
      </c>
      <c r="E299" s="159">
        <f t="shared" si="142"/>
        <v>2576406</v>
      </c>
      <c r="F299" s="159">
        <f t="shared" si="143"/>
        <v>2574476</v>
      </c>
      <c r="G299" s="159">
        <v>2348018</v>
      </c>
      <c r="H299" s="159">
        <f>23000+1000+30200+79153+4293+1100+19000+598+600+880+65284+550+800</f>
        <v>226458</v>
      </c>
      <c r="I299" s="159">
        <v>0</v>
      </c>
      <c r="J299" s="159">
        <v>1930</v>
      </c>
      <c r="K299" s="159">
        <v>0</v>
      </c>
      <c r="L299" s="159">
        <v>0</v>
      </c>
      <c r="M299" s="159">
        <f t="shared" si="144"/>
        <v>0</v>
      </c>
      <c r="N299" s="159">
        <v>0</v>
      </c>
      <c r="O299" s="159">
        <v>0</v>
      </c>
      <c r="P299" s="159">
        <v>0</v>
      </c>
      <c r="Q299" s="166"/>
      <c r="R299" s="166"/>
      <c r="S299" s="166"/>
      <c r="T299" s="166"/>
      <c r="U299" s="166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0"/>
      <c r="CA299" s="130"/>
      <c r="CB299" s="130"/>
      <c r="CC299" s="130"/>
      <c r="CD299" s="130"/>
      <c r="CE299" s="130"/>
      <c r="CF299" s="130"/>
      <c r="CG299" s="130"/>
      <c r="CH299" s="130"/>
      <c r="CI299" s="130"/>
      <c r="CJ299" s="130"/>
      <c r="CK299" s="130"/>
      <c r="CL299" s="130"/>
      <c r="CM299" s="130"/>
      <c r="CN299" s="130"/>
      <c r="CO299" s="130"/>
      <c r="CP299" s="130"/>
      <c r="CQ299" s="130"/>
      <c r="CR299" s="130"/>
      <c r="CS299" s="130"/>
      <c r="CT299" s="130"/>
      <c r="CU299" s="130"/>
      <c r="CV299" s="130"/>
      <c r="CW299" s="130"/>
      <c r="CX299" s="130"/>
      <c r="CY299" s="130"/>
      <c r="CZ299" s="130"/>
      <c r="DA299" s="130"/>
      <c r="DB299" s="130"/>
      <c r="DC299" s="130"/>
      <c r="DD299" s="130"/>
      <c r="DE299" s="130"/>
      <c r="DF299" s="130"/>
      <c r="DG299" s="130"/>
      <c r="DH299" s="130"/>
      <c r="DI299" s="130"/>
      <c r="DJ299" s="130"/>
      <c r="DK299" s="130"/>
      <c r="DL299" s="130"/>
      <c r="DM299" s="130"/>
      <c r="DN299" s="130"/>
      <c r="DO299" s="130"/>
      <c r="DP299" s="130"/>
      <c r="DQ299" s="130"/>
      <c r="DR299" s="130"/>
      <c r="DS299" s="130"/>
      <c r="DT299" s="130"/>
      <c r="DU299" s="130"/>
      <c r="DV299" s="130"/>
      <c r="DW299" s="130"/>
      <c r="DX299" s="130"/>
      <c r="DY299" s="130"/>
      <c r="DZ299" s="130"/>
      <c r="EA299" s="130"/>
      <c r="EB299" s="130"/>
      <c r="EC299" s="130"/>
      <c r="ED299" s="130"/>
      <c r="EE299" s="130"/>
      <c r="EF299" s="130"/>
      <c r="EG299" s="130"/>
      <c r="EH299" s="130"/>
      <c r="EI299" s="130"/>
      <c r="EJ299" s="130"/>
      <c r="EK299" s="130"/>
      <c r="EL299" s="130"/>
      <c r="EM299" s="130"/>
      <c r="EN299" s="130"/>
      <c r="EO299" s="130"/>
      <c r="EP299" s="130"/>
      <c r="EQ299" s="130"/>
      <c r="ER299" s="130"/>
      <c r="ES299" s="130"/>
      <c r="ET299" s="130"/>
      <c r="EU299" s="130"/>
      <c r="EV299" s="130"/>
      <c r="EW299" s="130"/>
      <c r="EX299" s="130"/>
      <c r="EY299" s="130"/>
      <c r="EZ299" s="130"/>
      <c r="FA299" s="130"/>
      <c r="FB299" s="130"/>
      <c r="FC299" s="130"/>
      <c r="FD299" s="130"/>
      <c r="FE299" s="130"/>
      <c r="FF299" s="130"/>
      <c r="FG299" s="130"/>
      <c r="FH299" s="130"/>
      <c r="FI299" s="130"/>
      <c r="FJ299" s="130"/>
      <c r="FK299" s="130"/>
      <c r="FL299" s="130"/>
      <c r="FM299" s="130"/>
      <c r="FN299" s="130"/>
      <c r="FO299" s="130"/>
      <c r="FP299" s="130"/>
      <c r="FQ299" s="130"/>
      <c r="FR299" s="130"/>
      <c r="FS299" s="130"/>
      <c r="FT299" s="130"/>
      <c r="FU299" s="130"/>
      <c r="FV299" s="130"/>
      <c r="FW299" s="130"/>
      <c r="FX299" s="130"/>
      <c r="FY299" s="130"/>
      <c r="FZ299" s="130"/>
      <c r="GA299" s="130"/>
      <c r="GB299" s="130"/>
      <c r="GC299" s="130"/>
      <c r="GD299" s="130"/>
      <c r="GE299" s="130"/>
      <c r="GF299" s="130"/>
      <c r="GG299" s="130"/>
      <c r="GH299" s="130"/>
      <c r="GI299" s="130"/>
      <c r="GJ299" s="130"/>
      <c r="GK299" s="130"/>
      <c r="GL299" s="130"/>
      <c r="GM299" s="130"/>
      <c r="GN299" s="130"/>
      <c r="GO299" s="130"/>
      <c r="GP299" s="130"/>
      <c r="GQ299" s="130"/>
      <c r="GR299" s="130"/>
      <c r="GS299" s="130"/>
      <c r="GT299" s="130"/>
      <c r="GU299" s="130"/>
      <c r="GV299" s="130"/>
      <c r="GW299" s="130"/>
      <c r="GX299" s="130"/>
      <c r="GY299" s="130"/>
      <c r="GZ299" s="130"/>
      <c r="HA299" s="130"/>
      <c r="HB299" s="130"/>
      <c r="HC299" s="130"/>
      <c r="HD299" s="130"/>
      <c r="HE299" s="130"/>
      <c r="HF299" s="130"/>
      <c r="HG299" s="130"/>
      <c r="HH299" s="130"/>
      <c r="HI299" s="130"/>
      <c r="HJ299" s="130"/>
      <c r="HK299" s="130"/>
      <c r="HL299" s="130"/>
      <c r="HM299" s="130"/>
      <c r="HN299" s="130"/>
      <c r="HO299" s="130"/>
      <c r="HP299" s="130"/>
      <c r="HQ299" s="130"/>
      <c r="HR299" s="130"/>
      <c r="HS299" s="130"/>
      <c r="HT299" s="130"/>
      <c r="HU299" s="130"/>
      <c r="HV299" s="130"/>
      <c r="HW299" s="130"/>
      <c r="HX299" s="130"/>
      <c r="HY299" s="130"/>
      <c r="HZ299" s="130"/>
      <c r="IA299" s="130"/>
      <c r="IB299" s="130"/>
      <c r="IC299" s="130"/>
      <c r="ID299" s="130"/>
      <c r="IE299" s="130"/>
      <c r="IF299" s="130"/>
      <c r="IG299" s="130"/>
      <c r="IH299" s="130"/>
      <c r="II299" s="130"/>
      <c r="IJ299" s="130"/>
      <c r="IK299" s="130"/>
      <c r="IL299" s="130"/>
      <c r="IM299" s="130"/>
      <c r="IN299" s="130"/>
      <c r="IO299" s="130"/>
      <c r="IP299" s="130"/>
      <c r="IQ299" s="130"/>
      <c r="IR299" s="130"/>
      <c r="IS299" s="130"/>
      <c r="IT299" s="130"/>
      <c r="IU299" s="130"/>
      <c r="IV299" s="130"/>
    </row>
    <row r="300" spans="1:256" hidden="1">
      <c r="A300" s="824"/>
      <c r="B300" s="827"/>
      <c r="C300" s="157" t="s">
        <v>1</v>
      </c>
      <c r="D300" s="158">
        <f t="shared" si="141"/>
        <v>0</v>
      </c>
      <c r="E300" s="159">
        <f t="shared" si="142"/>
        <v>0</v>
      </c>
      <c r="F300" s="159">
        <f t="shared" si="143"/>
        <v>0</v>
      </c>
      <c r="G300" s="159"/>
      <c r="H300" s="159"/>
      <c r="I300" s="159"/>
      <c r="J300" s="159"/>
      <c r="K300" s="159"/>
      <c r="L300" s="159"/>
      <c r="M300" s="159">
        <f t="shared" si="144"/>
        <v>0</v>
      </c>
      <c r="N300" s="159"/>
      <c r="O300" s="159"/>
      <c r="P300" s="159"/>
      <c r="Q300" s="166"/>
      <c r="R300" s="166"/>
      <c r="S300" s="166"/>
      <c r="T300" s="166"/>
      <c r="U300" s="166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0"/>
      <c r="CC300" s="130"/>
      <c r="CD300" s="130"/>
      <c r="CE300" s="130"/>
      <c r="CF300" s="130"/>
      <c r="CG300" s="130"/>
      <c r="CH300" s="130"/>
      <c r="CI300" s="130"/>
      <c r="CJ300" s="130"/>
      <c r="CK300" s="130"/>
      <c r="CL300" s="130"/>
      <c r="CM300" s="130"/>
      <c r="CN300" s="130"/>
      <c r="CO300" s="130"/>
      <c r="CP300" s="130"/>
      <c r="CQ300" s="130"/>
      <c r="CR300" s="130"/>
      <c r="CS300" s="130"/>
      <c r="CT300" s="130"/>
      <c r="CU300" s="130"/>
      <c r="CV300" s="130"/>
      <c r="CW300" s="130"/>
      <c r="CX300" s="130"/>
      <c r="CY300" s="130"/>
      <c r="CZ300" s="130"/>
      <c r="DA300" s="130"/>
      <c r="DB300" s="130"/>
      <c r="DC300" s="130"/>
      <c r="DD300" s="130"/>
      <c r="DE300" s="130"/>
      <c r="DF300" s="130"/>
      <c r="DG300" s="130"/>
      <c r="DH300" s="130"/>
      <c r="DI300" s="130"/>
      <c r="DJ300" s="130"/>
      <c r="DK300" s="130"/>
      <c r="DL300" s="130"/>
      <c r="DM300" s="130"/>
      <c r="DN300" s="130"/>
      <c r="DO300" s="130"/>
      <c r="DP300" s="130"/>
      <c r="DQ300" s="130"/>
      <c r="DR300" s="130"/>
      <c r="DS300" s="130"/>
      <c r="DT300" s="130"/>
      <c r="DU300" s="130"/>
      <c r="DV300" s="130"/>
      <c r="DW300" s="130"/>
      <c r="DX300" s="130"/>
      <c r="DY300" s="130"/>
      <c r="DZ300" s="130"/>
      <c r="EA300" s="130"/>
      <c r="EB300" s="130"/>
      <c r="EC300" s="130"/>
      <c r="ED300" s="130"/>
      <c r="EE300" s="130"/>
      <c r="EF300" s="130"/>
      <c r="EG300" s="130"/>
      <c r="EH300" s="130"/>
      <c r="EI300" s="130"/>
      <c r="EJ300" s="130"/>
      <c r="EK300" s="130"/>
      <c r="EL300" s="130"/>
      <c r="EM300" s="130"/>
      <c r="EN300" s="130"/>
      <c r="EO300" s="130"/>
      <c r="EP300" s="130"/>
      <c r="EQ300" s="130"/>
      <c r="ER300" s="130"/>
      <c r="ES300" s="130"/>
      <c r="ET300" s="130"/>
      <c r="EU300" s="130"/>
      <c r="EV300" s="130"/>
      <c r="EW300" s="130"/>
      <c r="EX300" s="130"/>
      <c r="EY300" s="130"/>
      <c r="EZ300" s="130"/>
      <c r="FA300" s="130"/>
      <c r="FB300" s="130"/>
      <c r="FC300" s="130"/>
      <c r="FD300" s="130"/>
      <c r="FE300" s="130"/>
      <c r="FF300" s="130"/>
      <c r="FG300" s="130"/>
      <c r="FH300" s="130"/>
      <c r="FI300" s="130"/>
      <c r="FJ300" s="130"/>
      <c r="FK300" s="130"/>
      <c r="FL300" s="130"/>
      <c r="FM300" s="130"/>
      <c r="FN300" s="130"/>
      <c r="FO300" s="130"/>
      <c r="FP300" s="130"/>
      <c r="FQ300" s="130"/>
      <c r="FR300" s="130"/>
      <c r="FS300" s="130"/>
      <c r="FT300" s="130"/>
      <c r="FU300" s="130"/>
      <c r="FV300" s="130"/>
      <c r="FW300" s="130"/>
      <c r="FX300" s="130"/>
      <c r="FY300" s="130"/>
      <c r="FZ300" s="130"/>
      <c r="GA300" s="130"/>
      <c r="GB300" s="130"/>
      <c r="GC300" s="130"/>
      <c r="GD300" s="130"/>
      <c r="GE300" s="130"/>
      <c r="GF300" s="130"/>
      <c r="GG300" s="130"/>
      <c r="GH300" s="130"/>
      <c r="GI300" s="130"/>
      <c r="GJ300" s="130"/>
      <c r="GK300" s="130"/>
      <c r="GL300" s="130"/>
      <c r="GM300" s="130"/>
      <c r="GN300" s="130"/>
      <c r="GO300" s="130"/>
      <c r="GP300" s="130"/>
      <c r="GQ300" s="130"/>
      <c r="GR300" s="130"/>
      <c r="GS300" s="130"/>
      <c r="GT300" s="130"/>
      <c r="GU300" s="130"/>
      <c r="GV300" s="130"/>
      <c r="GW300" s="130"/>
      <c r="GX300" s="130"/>
      <c r="GY300" s="130"/>
      <c r="GZ300" s="130"/>
      <c r="HA300" s="130"/>
      <c r="HB300" s="130"/>
      <c r="HC300" s="130"/>
      <c r="HD300" s="130"/>
      <c r="HE300" s="130"/>
      <c r="HF300" s="130"/>
      <c r="HG300" s="130"/>
      <c r="HH300" s="130"/>
      <c r="HI300" s="130"/>
      <c r="HJ300" s="130"/>
      <c r="HK300" s="130"/>
      <c r="HL300" s="130"/>
      <c r="HM300" s="130"/>
      <c r="HN300" s="130"/>
      <c r="HO300" s="130"/>
      <c r="HP300" s="130"/>
      <c r="HQ300" s="130"/>
      <c r="HR300" s="130"/>
      <c r="HS300" s="130"/>
      <c r="HT300" s="130"/>
      <c r="HU300" s="130"/>
      <c r="HV300" s="130"/>
      <c r="HW300" s="130"/>
      <c r="HX300" s="130"/>
      <c r="HY300" s="130"/>
      <c r="HZ300" s="130"/>
      <c r="IA300" s="130"/>
      <c r="IB300" s="130"/>
      <c r="IC300" s="130"/>
      <c r="ID300" s="130"/>
      <c r="IE300" s="130"/>
      <c r="IF300" s="130"/>
      <c r="IG300" s="130"/>
      <c r="IH300" s="130"/>
      <c r="II300" s="130"/>
      <c r="IJ300" s="130"/>
      <c r="IK300" s="130"/>
      <c r="IL300" s="130"/>
      <c r="IM300" s="130"/>
      <c r="IN300" s="130"/>
      <c r="IO300" s="130"/>
      <c r="IP300" s="130"/>
      <c r="IQ300" s="130"/>
      <c r="IR300" s="130"/>
      <c r="IS300" s="130"/>
      <c r="IT300" s="130"/>
      <c r="IU300" s="130"/>
      <c r="IV300" s="130"/>
    </row>
    <row r="301" spans="1:256" hidden="1">
      <c r="A301" s="825"/>
      <c r="B301" s="828"/>
      <c r="C301" s="157" t="s">
        <v>2</v>
      </c>
      <c r="D301" s="158">
        <f>D300+D299</f>
        <v>2576406</v>
      </c>
      <c r="E301" s="159">
        <f t="shared" ref="E301:P301" si="146">E300+E299</f>
        <v>2576406</v>
      </c>
      <c r="F301" s="159">
        <f t="shared" si="146"/>
        <v>2574476</v>
      </c>
      <c r="G301" s="159">
        <f t="shared" si="146"/>
        <v>2348018</v>
      </c>
      <c r="H301" s="159">
        <f t="shared" si="146"/>
        <v>226458</v>
      </c>
      <c r="I301" s="159">
        <f t="shared" si="146"/>
        <v>0</v>
      </c>
      <c r="J301" s="159">
        <f t="shared" si="146"/>
        <v>1930</v>
      </c>
      <c r="K301" s="159">
        <f t="shared" si="146"/>
        <v>0</v>
      </c>
      <c r="L301" s="159">
        <f t="shared" si="146"/>
        <v>0</v>
      </c>
      <c r="M301" s="159">
        <f t="shared" si="146"/>
        <v>0</v>
      </c>
      <c r="N301" s="159">
        <f t="shared" si="146"/>
        <v>0</v>
      </c>
      <c r="O301" s="159">
        <f t="shared" si="146"/>
        <v>0</v>
      </c>
      <c r="P301" s="159">
        <f t="shared" si="146"/>
        <v>0</v>
      </c>
      <c r="Q301" s="166"/>
      <c r="R301" s="166"/>
      <c r="S301" s="166"/>
      <c r="T301" s="166"/>
      <c r="U301" s="166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0"/>
      <c r="CA301" s="130"/>
      <c r="CB301" s="130"/>
      <c r="CC301" s="130"/>
      <c r="CD301" s="130"/>
      <c r="CE301" s="130"/>
      <c r="CF301" s="130"/>
      <c r="CG301" s="130"/>
      <c r="CH301" s="130"/>
      <c r="CI301" s="130"/>
      <c r="CJ301" s="130"/>
      <c r="CK301" s="130"/>
      <c r="CL301" s="130"/>
      <c r="CM301" s="130"/>
      <c r="CN301" s="130"/>
      <c r="CO301" s="130"/>
      <c r="CP301" s="130"/>
      <c r="CQ301" s="130"/>
      <c r="CR301" s="130"/>
      <c r="CS301" s="130"/>
      <c r="CT301" s="130"/>
      <c r="CU301" s="130"/>
      <c r="CV301" s="130"/>
      <c r="CW301" s="130"/>
      <c r="CX301" s="130"/>
      <c r="CY301" s="130"/>
      <c r="CZ301" s="130"/>
      <c r="DA301" s="130"/>
      <c r="DB301" s="130"/>
      <c r="DC301" s="130"/>
      <c r="DD301" s="130"/>
      <c r="DE301" s="130"/>
      <c r="DF301" s="130"/>
      <c r="DG301" s="130"/>
      <c r="DH301" s="130"/>
      <c r="DI301" s="130"/>
      <c r="DJ301" s="130"/>
      <c r="DK301" s="130"/>
      <c r="DL301" s="130"/>
      <c r="DM301" s="130"/>
      <c r="DN301" s="130"/>
      <c r="DO301" s="130"/>
      <c r="DP301" s="130"/>
      <c r="DQ301" s="130"/>
      <c r="DR301" s="130"/>
      <c r="DS301" s="130"/>
      <c r="DT301" s="130"/>
      <c r="DU301" s="130"/>
      <c r="DV301" s="130"/>
      <c r="DW301" s="130"/>
      <c r="DX301" s="130"/>
      <c r="DY301" s="130"/>
      <c r="DZ301" s="130"/>
      <c r="EA301" s="130"/>
      <c r="EB301" s="130"/>
      <c r="EC301" s="130"/>
      <c r="ED301" s="130"/>
      <c r="EE301" s="130"/>
      <c r="EF301" s="130"/>
      <c r="EG301" s="130"/>
      <c r="EH301" s="130"/>
      <c r="EI301" s="130"/>
      <c r="EJ301" s="130"/>
      <c r="EK301" s="130"/>
      <c r="EL301" s="130"/>
      <c r="EM301" s="130"/>
      <c r="EN301" s="130"/>
      <c r="EO301" s="130"/>
      <c r="EP301" s="130"/>
      <c r="EQ301" s="130"/>
      <c r="ER301" s="130"/>
      <c r="ES301" s="130"/>
      <c r="ET301" s="130"/>
      <c r="EU301" s="130"/>
      <c r="EV301" s="130"/>
      <c r="EW301" s="130"/>
      <c r="EX301" s="130"/>
      <c r="EY301" s="130"/>
      <c r="EZ301" s="130"/>
      <c r="FA301" s="130"/>
      <c r="FB301" s="130"/>
      <c r="FC301" s="130"/>
      <c r="FD301" s="130"/>
      <c r="FE301" s="130"/>
      <c r="FF301" s="130"/>
      <c r="FG301" s="130"/>
      <c r="FH301" s="130"/>
      <c r="FI301" s="130"/>
      <c r="FJ301" s="130"/>
      <c r="FK301" s="130"/>
      <c r="FL301" s="130"/>
      <c r="FM301" s="130"/>
      <c r="FN301" s="130"/>
      <c r="FO301" s="130"/>
      <c r="FP301" s="130"/>
      <c r="FQ301" s="130"/>
      <c r="FR301" s="130"/>
      <c r="FS301" s="130"/>
      <c r="FT301" s="130"/>
      <c r="FU301" s="130"/>
      <c r="FV301" s="130"/>
      <c r="FW301" s="130"/>
      <c r="FX301" s="130"/>
      <c r="FY301" s="130"/>
      <c r="FZ301" s="130"/>
      <c r="GA301" s="130"/>
      <c r="GB301" s="130"/>
      <c r="GC301" s="130"/>
      <c r="GD301" s="130"/>
      <c r="GE301" s="130"/>
      <c r="GF301" s="130"/>
      <c r="GG301" s="130"/>
      <c r="GH301" s="130"/>
      <c r="GI301" s="130"/>
      <c r="GJ301" s="130"/>
      <c r="GK301" s="130"/>
      <c r="GL301" s="130"/>
      <c r="GM301" s="130"/>
      <c r="GN301" s="130"/>
      <c r="GO301" s="130"/>
      <c r="GP301" s="130"/>
      <c r="GQ301" s="130"/>
      <c r="GR301" s="130"/>
      <c r="GS301" s="130"/>
      <c r="GT301" s="130"/>
      <c r="GU301" s="130"/>
      <c r="GV301" s="130"/>
      <c r="GW301" s="130"/>
      <c r="GX301" s="130"/>
      <c r="GY301" s="130"/>
      <c r="GZ301" s="130"/>
      <c r="HA301" s="130"/>
      <c r="HB301" s="130"/>
      <c r="HC301" s="130"/>
      <c r="HD301" s="130"/>
      <c r="HE301" s="130"/>
      <c r="HF301" s="130"/>
      <c r="HG301" s="130"/>
      <c r="HH301" s="130"/>
      <c r="HI301" s="130"/>
      <c r="HJ301" s="130"/>
      <c r="HK301" s="130"/>
      <c r="HL301" s="130"/>
      <c r="HM301" s="130"/>
      <c r="HN301" s="130"/>
      <c r="HO301" s="130"/>
      <c r="HP301" s="130"/>
      <c r="HQ301" s="130"/>
      <c r="HR301" s="130"/>
      <c r="HS301" s="130"/>
      <c r="HT301" s="130"/>
      <c r="HU301" s="130"/>
      <c r="HV301" s="130"/>
      <c r="HW301" s="130"/>
      <c r="HX301" s="130"/>
      <c r="HY301" s="130"/>
      <c r="HZ301" s="130"/>
      <c r="IA301" s="130"/>
      <c r="IB301" s="130"/>
      <c r="IC301" s="130"/>
      <c r="ID301" s="130"/>
      <c r="IE301" s="130"/>
      <c r="IF301" s="130"/>
      <c r="IG301" s="130"/>
      <c r="IH301" s="130"/>
      <c r="II301" s="130"/>
      <c r="IJ301" s="130"/>
      <c r="IK301" s="130"/>
      <c r="IL301" s="130"/>
      <c r="IM301" s="130"/>
      <c r="IN301" s="130"/>
      <c r="IO301" s="130"/>
      <c r="IP301" s="130"/>
      <c r="IQ301" s="130"/>
      <c r="IR301" s="130"/>
      <c r="IS301" s="130"/>
      <c r="IT301" s="130"/>
      <c r="IU301" s="130"/>
      <c r="IV301" s="130"/>
    </row>
    <row r="302" spans="1:256" hidden="1">
      <c r="A302" s="823">
        <v>85410</v>
      </c>
      <c r="B302" s="826" t="s">
        <v>267</v>
      </c>
      <c r="C302" s="157" t="s">
        <v>0</v>
      </c>
      <c r="D302" s="158">
        <f t="shared" si="141"/>
        <v>3718539</v>
      </c>
      <c r="E302" s="159">
        <f t="shared" si="142"/>
        <v>2692350</v>
      </c>
      <c r="F302" s="159">
        <f t="shared" si="143"/>
        <v>2689850</v>
      </c>
      <c r="G302" s="159">
        <v>2359696</v>
      </c>
      <c r="H302" s="159">
        <f>45000+147500+1600+400+35000+1500+82810+15844+500</f>
        <v>330154</v>
      </c>
      <c r="I302" s="159">
        <v>0</v>
      </c>
      <c r="J302" s="159">
        <v>2500</v>
      </c>
      <c r="K302" s="159">
        <v>0</v>
      </c>
      <c r="L302" s="159">
        <v>0</v>
      </c>
      <c r="M302" s="159">
        <f t="shared" si="144"/>
        <v>1026189</v>
      </c>
      <c r="N302" s="159">
        <v>1026189</v>
      </c>
      <c r="O302" s="159">
        <v>0</v>
      </c>
      <c r="P302" s="159">
        <v>0</v>
      </c>
      <c r="Q302" s="166"/>
      <c r="R302" s="166"/>
      <c r="S302" s="166"/>
      <c r="T302" s="166"/>
      <c r="U302" s="166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0"/>
      <c r="BZ302" s="130"/>
      <c r="CA302" s="130"/>
      <c r="CB302" s="130"/>
      <c r="CC302" s="130"/>
      <c r="CD302" s="130"/>
      <c r="CE302" s="130"/>
      <c r="CF302" s="130"/>
      <c r="CG302" s="130"/>
      <c r="CH302" s="130"/>
      <c r="CI302" s="130"/>
      <c r="CJ302" s="130"/>
      <c r="CK302" s="130"/>
      <c r="CL302" s="130"/>
      <c r="CM302" s="130"/>
      <c r="CN302" s="130"/>
      <c r="CO302" s="130"/>
      <c r="CP302" s="130"/>
      <c r="CQ302" s="130"/>
      <c r="CR302" s="130"/>
      <c r="CS302" s="130"/>
      <c r="CT302" s="130"/>
      <c r="CU302" s="130"/>
      <c r="CV302" s="130"/>
      <c r="CW302" s="130"/>
      <c r="CX302" s="130"/>
      <c r="CY302" s="130"/>
      <c r="CZ302" s="130"/>
      <c r="DA302" s="130"/>
      <c r="DB302" s="130"/>
      <c r="DC302" s="130"/>
      <c r="DD302" s="130"/>
      <c r="DE302" s="130"/>
      <c r="DF302" s="130"/>
      <c r="DG302" s="130"/>
      <c r="DH302" s="130"/>
      <c r="DI302" s="130"/>
      <c r="DJ302" s="130"/>
      <c r="DK302" s="130"/>
      <c r="DL302" s="130"/>
      <c r="DM302" s="130"/>
      <c r="DN302" s="130"/>
      <c r="DO302" s="130"/>
      <c r="DP302" s="130"/>
      <c r="DQ302" s="130"/>
      <c r="DR302" s="130"/>
      <c r="DS302" s="130"/>
      <c r="DT302" s="130"/>
      <c r="DU302" s="130"/>
      <c r="DV302" s="130"/>
      <c r="DW302" s="130"/>
      <c r="DX302" s="130"/>
      <c r="DY302" s="130"/>
      <c r="DZ302" s="130"/>
      <c r="EA302" s="130"/>
      <c r="EB302" s="130"/>
      <c r="EC302" s="130"/>
      <c r="ED302" s="130"/>
      <c r="EE302" s="130"/>
      <c r="EF302" s="130"/>
      <c r="EG302" s="130"/>
      <c r="EH302" s="130"/>
      <c r="EI302" s="130"/>
      <c r="EJ302" s="130"/>
      <c r="EK302" s="130"/>
      <c r="EL302" s="130"/>
      <c r="EM302" s="130"/>
      <c r="EN302" s="130"/>
      <c r="EO302" s="130"/>
      <c r="EP302" s="130"/>
      <c r="EQ302" s="130"/>
      <c r="ER302" s="130"/>
      <c r="ES302" s="130"/>
      <c r="ET302" s="130"/>
      <c r="EU302" s="130"/>
      <c r="EV302" s="130"/>
      <c r="EW302" s="130"/>
      <c r="EX302" s="130"/>
      <c r="EY302" s="130"/>
      <c r="EZ302" s="130"/>
      <c r="FA302" s="130"/>
      <c r="FB302" s="130"/>
      <c r="FC302" s="130"/>
      <c r="FD302" s="130"/>
      <c r="FE302" s="130"/>
      <c r="FF302" s="130"/>
      <c r="FG302" s="130"/>
      <c r="FH302" s="130"/>
      <c r="FI302" s="130"/>
      <c r="FJ302" s="130"/>
      <c r="FK302" s="130"/>
      <c r="FL302" s="130"/>
      <c r="FM302" s="130"/>
      <c r="FN302" s="130"/>
      <c r="FO302" s="130"/>
      <c r="FP302" s="130"/>
      <c r="FQ302" s="130"/>
      <c r="FR302" s="130"/>
      <c r="FS302" s="130"/>
      <c r="FT302" s="130"/>
      <c r="FU302" s="130"/>
      <c r="FV302" s="130"/>
      <c r="FW302" s="130"/>
      <c r="FX302" s="130"/>
      <c r="FY302" s="130"/>
      <c r="FZ302" s="130"/>
      <c r="GA302" s="130"/>
      <c r="GB302" s="130"/>
      <c r="GC302" s="130"/>
      <c r="GD302" s="130"/>
      <c r="GE302" s="130"/>
      <c r="GF302" s="130"/>
      <c r="GG302" s="130"/>
      <c r="GH302" s="130"/>
      <c r="GI302" s="130"/>
      <c r="GJ302" s="130"/>
      <c r="GK302" s="130"/>
      <c r="GL302" s="130"/>
      <c r="GM302" s="130"/>
      <c r="GN302" s="130"/>
      <c r="GO302" s="130"/>
      <c r="GP302" s="130"/>
      <c r="GQ302" s="130"/>
      <c r="GR302" s="130"/>
      <c r="GS302" s="130"/>
      <c r="GT302" s="130"/>
      <c r="GU302" s="130"/>
      <c r="GV302" s="130"/>
      <c r="GW302" s="130"/>
      <c r="GX302" s="130"/>
      <c r="GY302" s="130"/>
      <c r="GZ302" s="130"/>
      <c r="HA302" s="130"/>
      <c r="HB302" s="130"/>
      <c r="HC302" s="130"/>
      <c r="HD302" s="130"/>
      <c r="HE302" s="130"/>
      <c r="HF302" s="130"/>
      <c r="HG302" s="130"/>
      <c r="HH302" s="130"/>
      <c r="HI302" s="130"/>
      <c r="HJ302" s="130"/>
      <c r="HK302" s="130"/>
      <c r="HL302" s="130"/>
      <c r="HM302" s="130"/>
      <c r="HN302" s="130"/>
      <c r="HO302" s="130"/>
      <c r="HP302" s="130"/>
      <c r="HQ302" s="130"/>
      <c r="HR302" s="130"/>
      <c r="HS302" s="130"/>
      <c r="HT302" s="130"/>
      <c r="HU302" s="130"/>
      <c r="HV302" s="130"/>
      <c r="HW302" s="130"/>
      <c r="HX302" s="130"/>
      <c r="HY302" s="130"/>
      <c r="HZ302" s="130"/>
      <c r="IA302" s="130"/>
      <c r="IB302" s="130"/>
      <c r="IC302" s="130"/>
      <c r="ID302" s="130"/>
      <c r="IE302" s="130"/>
      <c r="IF302" s="130"/>
      <c r="IG302" s="130"/>
      <c r="IH302" s="130"/>
      <c r="II302" s="130"/>
      <c r="IJ302" s="130"/>
      <c r="IK302" s="130"/>
      <c r="IL302" s="130"/>
      <c r="IM302" s="130"/>
      <c r="IN302" s="130"/>
      <c r="IO302" s="130"/>
      <c r="IP302" s="130"/>
      <c r="IQ302" s="130"/>
      <c r="IR302" s="130"/>
      <c r="IS302" s="130"/>
      <c r="IT302" s="130"/>
      <c r="IU302" s="130"/>
      <c r="IV302" s="130"/>
    </row>
    <row r="303" spans="1:256" hidden="1">
      <c r="A303" s="824"/>
      <c r="B303" s="827"/>
      <c r="C303" s="157" t="s">
        <v>1</v>
      </c>
      <c r="D303" s="158">
        <f t="shared" si="141"/>
        <v>0</v>
      </c>
      <c r="E303" s="159">
        <f t="shared" si="142"/>
        <v>0</v>
      </c>
      <c r="F303" s="159">
        <f t="shared" si="143"/>
        <v>0</v>
      </c>
      <c r="G303" s="159"/>
      <c r="H303" s="159"/>
      <c r="I303" s="159"/>
      <c r="J303" s="159"/>
      <c r="K303" s="159"/>
      <c r="L303" s="159"/>
      <c r="M303" s="159">
        <f t="shared" si="144"/>
        <v>0</v>
      </c>
      <c r="N303" s="159"/>
      <c r="O303" s="159"/>
      <c r="P303" s="159"/>
      <c r="Q303" s="166"/>
      <c r="R303" s="166"/>
      <c r="S303" s="166"/>
      <c r="T303" s="166"/>
      <c r="U303" s="166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0"/>
      <c r="CA303" s="130"/>
      <c r="CB303" s="130"/>
      <c r="CC303" s="130"/>
      <c r="CD303" s="130"/>
      <c r="CE303" s="130"/>
      <c r="CF303" s="130"/>
      <c r="CG303" s="130"/>
      <c r="CH303" s="130"/>
      <c r="CI303" s="130"/>
      <c r="CJ303" s="130"/>
      <c r="CK303" s="130"/>
      <c r="CL303" s="130"/>
      <c r="CM303" s="130"/>
      <c r="CN303" s="130"/>
      <c r="CO303" s="130"/>
      <c r="CP303" s="130"/>
      <c r="CQ303" s="130"/>
      <c r="CR303" s="130"/>
      <c r="CS303" s="130"/>
      <c r="CT303" s="130"/>
      <c r="CU303" s="130"/>
      <c r="CV303" s="130"/>
      <c r="CW303" s="130"/>
      <c r="CX303" s="130"/>
      <c r="CY303" s="130"/>
      <c r="CZ303" s="130"/>
      <c r="DA303" s="130"/>
      <c r="DB303" s="130"/>
      <c r="DC303" s="130"/>
      <c r="DD303" s="130"/>
      <c r="DE303" s="130"/>
      <c r="DF303" s="130"/>
      <c r="DG303" s="130"/>
      <c r="DH303" s="130"/>
      <c r="DI303" s="130"/>
      <c r="DJ303" s="130"/>
      <c r="DK303" s="130"/>
      <c r="DL303" s="130"/>
      <c r="DM303" s="130"/>
      <c r="DN303" s="130"/>
      <c r="DO303" s="130"/>
      <c r="DP303" s="130"/>
      <c r="DQ303" s="130"/>
      <c r="DR303" s="130"/>
      <c r="DS303" s="130"/>
      <c r="DT303" s="130"/>
      <c r="DU303" s="130"/>
      <c r="DV303" s="130"/>
      <c r="DW303" s="130"/>
      <c r="DX303" s="130"/>
      <c r="DY303" s="130"/>
      <c r="DZ303" s="130"/>
      <c r="EA303" s="130"/>
      <c r="EB303" s="130"/>
      <c r="EC303" s="130"/>
      <c r="ED303" s="130"/>
      <c r="EE303" s="130"/>
      <c r="EF303" s="130"/>
      <c r="EG303" s="130"/>
      <c r="EH303" s="130"/>
      <c r="EI303" s="130"/>
      <c r="EJ303" s="130"/>
      <c r="EK303" s="130"/>
      <c r="EL303" s="130"/>
      <c r="EM303" s="130"/>
      <c r="EN303" s="130"/>
      <c r="EO303" s="130"/>
      <c r="EP303" s="130"/>
      <c r="EQ303" s="130"/>
      <c r="ER303" s="130"/>
      <c r="ES303" s="130"/>
      <c r="ET303" s="130"/>
      <c r="EU303" s="130"/>
      <c r="EV303" s="130"/>
      <c r="EW303" s="130"/>
      <c r="EX303" s="130"/>
      <c r="EY303" s="130"/>
      <c r="EZ303" s="130"/>
      <c r="FA303" s="130"/>
      <c r="FB303" s="130"/>
      <c r="FC303" s="130"/>
      <c r="FD303" s="130"/>
      <c r="FE303" s="130"/>
      <c r="FF303" s="130"/>
      <c r="FG303" s="130"/>
      <c r="FH303" s="130"/>
      <c r="FI303" s="130"/>
      <c r="FJ303" s="130"/>
      <c r="FK303" s="130"/>
      <c r="FL303" s="130"/>
      <c r="FM303" s="130"/>
      <c r="FN303" s="130"/>
      <c r="FO303" s="130"/>
      <c r="FP303" s="130"/>
      <c r="FQ303" s="130"/>
      <c r="FR303" s="130"/>
      <c r="FS303" s="130"/>
      <c r="FT303" s="130"/>
      <c r="FU303" s="130"/>
      <c r="FV303" s="130"/>
      <c r="FW303" s="130"/>
      <c r="FX303" s="130"/>
      <c r="FY303" s="130"/>
      <c r="FZ303" s="130"/>
      <c r="GA303" s="130"/>
      <c r="GB303" s="130"/>
      <c r="GC303" s="130"/>
      <c r="GD303" s="130"/>
      <c r="GE303" s="130"/>
      <c r="GF303" s="130"/>
      <c r="GG303" s="130"/>
      <c r="GH303" s="130"/>
      <c r="GI303" s="130"/>
      <c r="GJ303" s="130"/>
      <c r="GK303" s="130"/>
      <c r="GL303" s="130"/>
      <c r="GM303" s="130"/>
      <c r="GN303" s="130"/>
      <c r="GO303" s="130"/>
      <c r="GP303" s="130"/>
      <c r="GQ303" s="130"/>
      <c r="GR303" s="130"/>
      <c r="GS303" s="130"/>
      <c r="GT303" s="130"/>
      <c r="GU303" s="130"/>
      <c r="GV303" s="130"/>
      <c r="GW303" s="130"/>
      <c r="GX303" s="130"/>
      <c r="GY303" s="130"/>
      <c r="GZ303" s="130"/>
      <c r="HA303" s="130"/>
      <c r="HB303" s="130"/>
      <c r="HC303" s="130"/>
      <c r="HD303" s="130"/>
      <c r="HE303" s="130"/>
      <c r="HF303" s="130"/>
      <c r="HG303" s="130"/>
      <c r="HH303" s="130"/>
      <c r="HI303" s="130"/>
      <c r="HJ303" s="130"/>
      <c r="HK303" s="130"/>
      <c r="HL303" s="130"/>
      <c r="HM303" s="130"/>
      <c r="HN303" s="130"/>
      <c r="HO303" s="130"/>
      <c r="HP303" s="130"/>
      <c r="HQ303" s="130"/>
      <c r="HR303" s="130"/>
      <c r="HS303" s="130"/>
      <c r="HT303" s="130"/>
      <c r="HU303" s="130"/>
      <c r="HV303" s="130"/>
      <c r="HW303" s="130"/>
      <c r="HX303" s="130"/>
      <c r="HY303" s="130"/>
      <c r="HZ303" s="130"/>
      <c r="IA303" s="130"/>
      <c r="IB303" s="130"/>
      <c r="IC303" s="130"/>
      <c r="ID303" s="130"/>
      <c r="IE303" s="130"/>
      <c r="IF303" s="130"/>
      <c r="IG303" s="130"/>
      <c r="IH303" s="130"/>
      <c r="II303" s="130"/>
      <c r="IJ303" s="130"/>
      <c r="IK303" s="130"/>
      <c r="IL303" s="130"/>
      <c r="IM303" s="130"/>
      <c r="IN303" s="130"/>
      <c r="IO303" s="130"/>
      <c r="IP303" s="130"/>
      <c r="IQ303" s="130"/>
      <c r="IR303" s="130"/>
      <c r="IS303" s="130"/>
      <c r="IT303" s="130"/>
      <c r="IU303" s="130"/>
      <c r="IV303" s="130"/>
    </row>
    <row r="304" spans="1:256" hidden="1">
      <c r="A304" s="825"/>
      <c r="B304" s="828"/>
      <c r="C304" s="157" t="s">
        <v>2</v>
      </c>
      <c r="D304" s="158">
        <f>D303+D302</f>
        <v>3718539</v>
      </c>
      <c r="E304" s="159">
        <f t="shared" ref="E304:P304" si="147">E303+E302</f>
        <v>2692350</v>
      </c>
      <c r="F304" s="159">
        <f t="shared" si="147"/>
        <v>2689850</v>
      </c>
      <c r="G304" s="159">
        <f t="shared" si="147"/>
        <v>2359696</v>
      </c>
      <c r="H304" s="159">
        <f t="shared" si="147"/>
        <v>330154</v>
      </c>
      <c r="I304" s="159">
        <f t="shared" si="147"/>
        <v>0</v>
      </c>
      <c r="J304" s="159">
        <f t="shared" si="147"/>
        <v>2500</v>
      </c>
      <c r="K304" s="159">
        <f t="shared" si="147"/>
        <v>0</v>
      </c>
      <c r="L304" s="159">
        <f t="shared" si="147"/>
        <v>0</v>
      </c>
      <c r="M304" s="159">
        <f t="shared" si="147"/>
        <v>1026189</v>
      </c>
      <c r="N304" s="159">
        <f t="shared" si="147"/>
        <v>1026189</v>
      </c>
      <c r="O304" s="159">
        <f t="shared" si="147"/>
        <v>0</v>
      </c>
      <c r="P304" s="159">
        <f t="shared" si="147"/>
        <v>0</v>
      </c>
      <c r="Q304" s="166"/>
      <c r="R304" s="166"/>
      <c r="S304" s="166"/>
      <c r="T304" s="166"/>
      <c r="U304" s="166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0"/>
      <c r="BW304" s="130"/>
      <c r="BX304" s="130"/>
      <c r="BY304" s="130"/>
      <c r="BZ304" s="130"/>
      <c r="CA304" s="130"/>
      <c r="CB304" s="130"/>
      <c r="CC304" s="130"/>
      <c r="CD304" s="130"/>
      <c r="CE304" s="130"/>
      <c r="CF304" s="130"/>
      <c r="CG304" s="130"/>
      <c r="CH304" s="130"/>
      <c r="CI304" s="130"/>
      <c r="CJ304" s="130"/>
      <c r="CK304" s="130"/>
      <c r="CL304" s="130"/>
      <c r="CM304" s="130"/>
      <c r="CN304" s="130"/>
      <c r="CO304" s="130"/>
      <c r="CP304" s="130"/>
      <c r="CQ304" s="130"/>
      <c r="CR304" s="130"/>
      <c r="CS304" s="130"/>
      <c r="CT304" s="130"/>
      <c r="CU304" s="130"/>
      <c r="CV304" s="130"/>
      <c r="CW304" s="130"/>
      <c r="CX304" s="130"/>
      <c r="CY304" s="130"/>
      <c r="CZ304" s="130"/>
      <c r="DA304" s="130"/>
      <c r="DB304" s="130"/>
      <c r="DC304" s="130"/>
      <c r="DD304" s="130"/>
      <c r="DE304" s="130"/>
      <c r="DF304" s="130"/>
      <c r="DG304" s="130"/>
      <c r="DH304" s="130"/>
      <c r="DI304" s="130"/>
      <c r="DJ304" s="130"/>
      <c r="DK304" s="130"/>
      <c r="DL304" s="130"/>
      <c r="DM304" s="130"/>
      <c r="DN304" s="130"/>
      <c r="DO304" s="130"/>
      <c r="DP304" s="130"/>
      <c r="DQ304" s="130"/>
      <c r="DR304" s="130"/>
      <c r="DS304" s="130"/>
      <c r="DT304" s="130"/>
      <c r="DU304" s="130"/>
      <c r="DV304" s="130"/>
      <c r="DW304" s="130"/>
      <c r="DX304" s="130"/>
      <c r="DY304" s="130"/>
      <c r="DZ304" s="130"/>
      <c r="EA304" s="130"/>
      <c r="EB304" s="130"/>
      <c r="EC304" s="130"/>
      <c r="ED304" s="130"/>
      <c r="EE304" s="130"/>
      <c r="EF304" s="130"/>
      <c r="EG304" s="130"/>
      <c r="EH304" s="130"/>
      <c r="EI304" s="130"/>
      <c r="EJ304" s="130"/>
      <c r="EK304" s="130"/>
      <c r="EL304" s="130"/>
      <c r="EM304" s="130"/>
      <c r="EN304" s="130"/>
      <c r="EO304" s="130"/>
      <c r="EP304" s="130"/>
      <c r="EQ304" s="130"/>
      <c r="ER304" s="130"/>
      <c r="ES304" s="130"/>
      <c r="ET304" s="130"/>
      <c r="EU304" s="130"/>
      <c r="EV304" s="130"/>
      <c r="EW304" s="130"/>
      <c r="EX304" s="130"/>
      <c r="EY304" s="130"/>
      <c r="EZ304" s="130"/>
      <c r="FA304" s="130"/>
      <c r="FB304" s="130"/>
      <c r="FC304" s="130"/>
      <c r="FD304" s="130"/>
      <c r="FE304" s="130"/>
      <c r="FF304" s="130"/>
      <c r="FG304" s="130"/>
      <c r="FH304" s="130"/>
      <c r="FI304" s="130"/>
      <c r="FJ304" s="130"/>
      <c r="FK304" s="130"/>
      <c r="FL304" s="130"/>
      <c r="FM304" s="130"/>
      <c r="FN304" s="130"/>
      <c r="FO304" s="130"/>
      <c r="FP304" s="130"/>
      <c r="FQ304" s="130"/>
      <c r="FR304" s="130"/>
      <c r="FS304" s="130"/>
      <c r="FT304" s="130"/>
      <c r="FU304" s="130"/>
      <c r="FV304" s="130"/>
      <c r="FW304" s="130"/>
      <c r="FX304" s="130"/>
      <c r="FY304" s="130"/>
      <c r="FZ304" s="130"/>
      <c r="GA304" s="130"/>
      <c r="GB304" s="130"/>
      <c r="GC304" s="130"/>
      <c r="GD304" s="130"/>
      <c r="GE304" s="130"/>
      <c r="GF304" s="130"/>
      <c r="GG304" s="130"/>
      <c r="GH304" s="130"/>
      <c r="GI304" s="130"/>
      <c r="GJ304" s="130"/>
      <c r="GK304" s="130"/>
      <c r="GL304" s="130"/>
      <c r="GM304" s="130"/>
      <c r="GN304" s="130"/>
      <c r="GO304" s="130"/>
      <c r="GP304" s="130"/>
      <c r="GQ304" s="130"/>
      <c r="GR304" s="130"/>
      <c r="GS304" s="130"/>
      <c r="GT304" s="130"/>
      <c r="GU304" s="130"/>
      <c r="GV304" s="130"/>
      <c r="GW304" s="130"/>
      <c r="GX304" s="130"/>
      <c r="GY304" s="130"/>
      <c r="GZ304" s="130"/>
      <c r="HA304" s="130"/>
      <c r="HB304" s="130"/>
      <c r="HC304" s="130"/>
      <c r="HD304" s="130"/>
      <c r="HE304" s="130"/>
      <c r="HF304" s="130"/>
      <c r="HG304" s="130"/>
      <c r="HH304" s="130"/>
      <c r="HI304" s="130"/>
      <c r="HJ304" s="130"/>
      <c r="HK304" s="130"/>
      <c r="HL304" s="130"/>
      <c r="HM304" s="130"/>
      <c r="HN304" s="130"/>
      <c r="HO304" s="130"/>
      <c r="HP304" s="130"/>
      <c r="HQ304" s="130"/>
      <c r="HR304" s="130"/>
      <c r="HS304" s="130"/>
      <c r="HT304" s="130"/>
      <c r="HU304" s="130"/>
      <c r="HV304" s="130"/>
      <c r="HW304" s="130"/>
      <c r="HX304" s="130"/>
      <c r="HY304" s="130"/>
      <c r="HZ304" s="130"/>
      <c r="IA304" s="130"/>
      <c r="IB304" s="130"/>
      <c r="IC304" s="130"/>
      <c r="ID304" s="130"/>
      <c r="IE304" s="130"/>
      <c r="IF304" s="130"/>
      <c r="IG304" s="130"/>
      <c r="IH304" s="130"/>
      <c r="II304" s="130"/>
      <c r="IJ304" s="130"/>
      <c r="IK304" s="130"/>
      <c r="IL304" s="130"/>
      <c r="IM304" s="130"/>
      <c r="IN304" s="130"/>
      <c r="IO304" s="130"/>
      <c r="IP304" s="130"/>
      <c r="IQ304" s="130"/>
      <c r="IR304" s="130"/>
      <c r="IS304" s="130"/>
      <c r="IT304" s="130"/>
      <c r="IU304" s="130"/>
      <c r="IV304" s="130"/>
    </row>
    <row r="305" spans="1:256" hidden="1">
      <c r="A305" s="823">
        <v>85415</v>
      </c>
      <c r="B305" s="826" t="s">
        <v>268</v>
      </c>
      <c r="C305" s="157" t="s">
        <v>0</v>
      </c>
      <c r="D305" s="158">
        <f t="shared" si="141"/>
        <v>298200</v>
      </c>
      <c r="E305" s="159">
        <f t="shared" si="142"/>
        <v>298200</v>
      </c>
      <c r="F305" s="159">
        <f t="shared" si="143"/>
        <v>0</v>
      </c>
      <c r="G305" s="159">
        <v>0</v>
      </c>
      <c r="H305" s="159">
        <v>0</v>
      </c>
      <c r="I305" s="159">
        <v>298200</v>
      </c>
      <c r="J305" s="159">
        <v>0</v>
      </c>
      <c r="K305" s="159">
        <v>0</v>
      </c>
      <c r="L305" s="159">
        <v>0</v>
      </c>
      <c r="M305" s="159">
        <f t="shared" si="144"/>
        <v>0</v>
      </c>
      <c r="N305" s="159">
        <v>0</v>
      </c>
      <c r="O305" s="159">
        <v>0</v>
      </c>
      <c r="P305" s="159">
        <v>0</v>
      </c>
      <c r="Q305" s="160"/>
      <c r="R305" s="160"/>
      <c r="S305" s="160"/>
      <c r="T305" s="160"/>
      <c r="U305" s="160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1"/>
      <c r="BZ305" s="151"/>
      <c r="CA305" s="151"/>
      <c r="CB305" s="151"/>
      <c r="CC305" s="151"/>
      <c r="CD305" s="151"/>
      <c r="CE305" s="151"/>
      <c r="CF305" s="151"/>
      <c r="CG305" s="151"/>
      <c r="CH305" s="151"/>
      <c r="CI305" s="151"/>
      <c r="CJ305" s="151"/>
      <c r="CK305" s="151"/>
      <c r="CL305" s="151"/>
      <c r="CM305" s="151"/>
      <c r="CN305" s="151"/>
      <c r="CO305" s="151"/>
      <c r="CP305" s="151"/>
      <c r="CQ305" s="151"/>
      <c r="CR305" s="151"/>
      <c r="CS305" s="151"/>
      <c r="CT305" s="151"/>
      <c r="CU305" s="151"/>
      <c r="CV305" s="151"/>
      <c r="CW305" s="151"/>
      <c r="CX305" s="151"/>
      <c r="CY305" s="151"/>
      <c r="CZ305" s="151"/>
      <c r="DA305" s="151"/>
      <c r="DB305" s="151"/>
      <c r="DC305" s="151"/>
      <c r="DD305" s="151"/>
      <c r="DE305" s="151"/>
      <c r="DF305" s="151"/>
      <c r="DG305" s="151"/>
      <c r="DH305" s="151"/>
      <c r="DI305" s="151"/>
      <c r="DJ305" s="151"/>
      <c r="DK305" s="151"/>
      <c r="DL305" s="151"/>
      <c r="DM305" s="151"/>
      <c r="DN305" s="151"/>
      <c r="DO305" s="151"/>
      <c r="DP305" s="151"/>
      <c r="DQ305" s="151"/>
      <c r="DR305" s="151"/>
      <c r="DS305" s="151"/>
      <c r="DT305" s="151"/>
      <c r="DU305" s="151"/>
      <c r="DV305" s="151"/>
      <c r="DW305" s="151"/>
      <c r="DX305" s="151"/>
      <c r="DY305" s="151"/>
      <c r="DZ305" s="151"/>
      <c r="EA305" s="151"/>
      <c r="EB305" s="151"/>
      <c r="EC305" s="151"/>
      <c r="ED305" s="151"/>
      <c r="EE305" s="151"/>
      <c r="EF305" s="151"/>
      <c r="EG305" s="151"/>
      <c r="EH305" s="151"/>
      <c r="EI305" s="151"/>
      <c r="EJ305" s="151"/>
      <c r="EK305" s="151"/>
      <c r="EL305" s="151"/>
      <c r="EM305" s="151"/>
      <c r="EN305" s="151"/>
      <c r="EO305" s="151"/>
      <c r="EP305" s="151"/>
      <c r="EQ305" s="151"/>
      <c r="ER305" s="151"/>
      <c r="ES305" s="151"/>
      <c r="ET305" s="151"/>
      <c r="EU305" s="151"/>
      <c r="EV305" s="151"/>
      <c r="EW305" s="151"/>
      <c r="EX305" s="151"/>
      <c r="EY305" s="151"/>
      <c r="EZ305" s="151"/>
      <c r="FA305" s="151"/>
      <c r="FB305" s="151"/>
      <c r="FC305" s="151"/>
      <c r="FD305" s="151"/>
      <c r="FE305" s="151"/>
      <c r="FF305" s="151"/>
      <c r="FG305" s="151"/>
      <c r="FH305" s="151"/>
      <c r="FI305" s="151"/>
      <c r="FJ305" s="151"/>
      <c r="FK305" s="151"/>
      <c r="FL305" s="151"/>
      <c r="FM305" s="151"/>
      <c r="FN305" s="151"/>
      <c r="FO305" s="151"/>
      <c r="FP305" s="151"/>
      <c r="FQ305" s="151"/>
      <c r="FR305" s="151"/>
      <c r="FS305" s="151"/>
      <c r="FT305" s="151"/>
      <c r="FU305" s="151"/>
      <c r="FV305" s="151"/>
      <c r="FW305" s="151"/>
      <c r="FX305" s="151"/>
      <c r="FY305" s="151"/>
      <c r="FZ305" s="151"/>
      <c r="GA305" s="151"/>
      <c r="GB305" s="151"/>
      <c r="GC305" s="151"/>
      <c r="GD305" s="151"/>
      <c r="GE305" s="151"/>
      <c r="GF305" s="151"/>
      <c r="GG305" s="151"/>
      <c r="GH305" s="151"/>
      <c r="GI305" s="151"/>
      <c r="GJ305" s="151"/>
      <c r="GK305" s="151"/>
      <c r="GL305" s="151"/>
      <c r="GM305" s="151"/>
      <c r="GN305" s="151"/>
      <c r="GO305" s="151"/>
      <c r="GP305" s="151"/>
      <c r="GQ305" s="151"/>
      <c r="GR305" s="151"/>
      <c r="GS305" s="151"/>
      <c r="GT305" s="151"/>
      <c r="GU305" s="151"/>
      <c r="GV305" s="151"/>
      <c r="GW305" s="151"/>
      <c r="GX305" s="151"/>
      <c r="GY305" s="151"/>
      <c r="GZ305" s="151"/>
      <c r="HA305" s="151"/>
      <c r="HB305" s="151"/>
      <c r="HC305" s="151"/>
      <c r="HD305" s="151"/>
      <c r="HE305" s="151"/>
      <c r="HF305" s="151"/>
      <c r="HG305" s="151"/>
      <c r="HH305" s="151"/>
      <c r="HI305" s="151"/>
      <c r="HJ305" s="151"/>
      <c r="HK305" s="151"/>
      <c r="HL305" s="151"/>
      <c r="HM305" s="151"/>
      <c r="HN305" s="151"/>
      <c r="HO305" s="151"/>
      <c r="HP305" s="151"/>
      <c r="HQ305" s="151"/>
      <c r="HR305" s="151"/>
      <c r="HS305" s="151"/>
      <c r="HT305" s="151"/>
      <c r="HU305" s="151"/>
      <c r="HV305" s="151"/>
      <c r="HW305" s="151"/>
      <c r="HX305" s="151"/>
      <c r="HY305" s="151"/>
      <c r="HZ305" s="151"/>
      <c r="IA305" s="151"/>
      <c r="IB305" s="151"/>
      <c r="IC305" s="151"/>
      <c r="ID305" s="151"/>
      <c r="IE305" s="151"/>
      <c r="IF305" s="151"/>
      <c r="IG305" s="151"/>
      <c r="IH305" s="151"/>
      <c r="II305" s="151"/>
      <c r="IJ305" s="151"/>
      <c r="IK305" s="151"/>
      <c r="IL305" s="151"/>
      <c r="IM305" s="151"/>
      <c r="IN305" s="151"/>
      <c r="IO305" s="151"/>
      <c r="IP305" s="151"/>
      <c r="IQ305" s="151"/>
      <c r="IR305" s="151"/>
      <c r="IS305" s="151"/>
      <c r="IT305" s="151"/>
      <c r="IU305" s="151"/>
      <c r="IV305" s="151"/>
    </row>
    <row r="306" spans="1:256" hidden="1">
      <c r="A306" s="824"/>
      <c r="B306" s="827"/>
      <c r="C306" s="157" t="s">
        <v>1</v>
      </c>
      <c r="D306" s="158">
        <f t="shared" si="141"/>
        <v>0</v>
      </c>
      <c r="E306" s="159">
        <f t="shared" si="142"/>
        <v>0</v>
      </c>
      <c r="F306" s="159">
        <f t="shared" si="143"/>
        <v>0</v>
      </c>
      <c r="G306" s="159"/>
      <c r="H306" s="159"/>
      <c r="I306" s="159"/>
      <c r="J306" s="159"/>
      <c r="K306" s="159"/>
      <c r="L306" s="159"/>
      <c r="M306" s="159">
        <f t="shared" si="144"/>
        <v>0</v>
      </c>
      <c r="N306" s="159"/>
      <c r="O306" s="159"/>
      <c r="P306" s="159"/>
      <c r="Q306" s="160"/>
      <c r="R306" s="160"/>
      <c r="S306" s="160"/>
      <c r="T306" s="160"/>
      <c r="U306" s="160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  <c r="BI306" s="151"/>
      <c r="BJ306" s="151"/>
      <c r="BK306" s="151"/>
      <c r="BL306" s="151"/>
      <c r="BM306" s="151"/>
      <c r="BN306" s="151"/>
      <c r="BO306" s="151"/>
      <c r="BP306" s="151"/>
      <c r="BQ306" s="151"/>
      <c r="BR306" s="151"/>
      <c r="BS306" s="151"/>
      <c r="BT306" s="151"/>
      <c r="BU306" s="151"/>
      <c r="BV306" s="151"/>
      <c r="BW306" s="151"/>
      <c r="BX306" s="151"/>
      <c r="BY306" s="151"/>
      <c r="BZ306" s="151"/>
      <c r="CA306" s="151"/>
      <c r="CB306" s="151"/>
      <c r="CC306" s="151"/>
      <c r="CD306" s="151"/>
      <c r="CE306" s="151"/>
      <c r="CF306" s="151"/>
      <c r="CG306" s="151"/>
      <c r="CH306" s="151"/>
      <c r="CI306" s="151"/>
      <c r="CJ306" s="151"/>
      <c r="CK306" s="151"/>
      <c r="CL306" s="151"/>
      <c r="CM306" s="151"/>
      <c r="CN306" s="151"/>
      <c r="CO306" s="151"/>
      <c r="CP306" s="151"/>
      <c r="CQ306" s="151"/>
      <c r="CR306" s="151"/>
      <c r="CS306" s="151"/>
      <c r="CT306" s="151"/>
      <c r="CU306" s="151"/>
      <c r="CV306" s="151"/>
      <c r="CW306" s="151"/>
      <c r="CX306" s="151"/>
      <c r="CY306" s="151"/>
      <c r="CZ306" s="151"/>
      <c r="DA306" s="151"/>
      <c r="DB306" s="151"/>
      <c r="DC306" s="151"/>
      <c r="DD306" s="151"/>
      <c r="DE306" s="151"/>
      <c r="DF306" s="151"/>
      <c r="DG306" s="151"/>
      <c r="DH306" s="151"/>
      <c r="DI306" s="151"/>
      <c r="DJ306" s="151"/>
      <c r="DK306" s="151"/>
      <c r="DL306" s="151"/>
      <c r="DM306" s="151"/>
      <c r="DN306" s="151"/>
      <c r="DO306" s="151"/>
      <c r="DP306" s="151"/>
      <c r="DQ306" s="151"/>
      <c r="DR306" s="151"/>
      <c r="DS306" s="151"/>
      <c r="DT306" s="151"/>
      <c r="DU306" s="151"/>
      <c r="DV306" s="151"/>
      <c r="DW306" s="151"/>
      <c r="DX306" s="151"/>
      <c r="DY306" s="151"/>
      <c r="DZ306" s="151"/>
      <c r="EA306" s="151"/>
      <c r="EB306" s="151"/>
      <c r="EC306" s="151"/>
      <c r="ED306" s="151"/>
      <c r="EE306" s="151"/>
      <c r="EF306" s="151"/>
      <c r="EG306" s="151"/>
      <c r="EH306" s="151"/>
      <c r="EI306" s="151"/>
      <c r="EJ306" s="151"/>
      <c r="EK306" s="151"/>
      <c r="EL306" s="151"/>
      <c r="EM306" s="151"/>
      <c r="EN306" s="151"/>
      <c r="EO306" s="151"/>
      <c r="EP306" s="151"/>
      <c r="EQ306" s="151"/>
      <c r="ER306" s="151"/>
      <c r="ES306" s="151"/>
      <c r="ET306" s="151"/>
      <c r="EU306" s="151"/>
      <c r="EV306" s="151"/>
      <c r="EW306" s="151"/>
      <c r="EX306" s="151"/>
      <c r="EY306" s="151"/>
      <c r="EZ306" s="151"/>
      <c r="FA306" s="151"/>
      <c r="FB306" s="151"/>
      <c r="FC306" s="151"/>
      <c r="FD306" s="151"/>
      <c r="FE306" s="151"/>
      <c r="FF306" s="151"/>
      <c r="FG306" s="151"/>
      <c r="FH306" s="151"/>
      <c r="FI306" s="151"/>
      <c r="FJ306" s="151"/>
      <c r="FK306" s="151"/>
      <c r="FL306" s="151"/>
      <c r="FM306" s="151"/>
      <c r="FN306" s="151"/>
      <c r="FO306" s="151"/>
      <c r="FP306" s="151"/>
      <c r="FQ306" s="151"/>
      <c r="FR306" s="151"/>
      <c r="FS306" s="151"/>
      <c r="FT306" s="151"/>
      <c r="FU306" s="151"/>
      <c r="FV306" s="151"/>
      <c r="FW306" s="151"/>
      <c r="FX306" s="151"/>
      <c r="FY306" s="151"/>
      <c r="FZ306" s="151"/>
      <c r="GA306" s="151"/>
      <c r="GB306" s="151"/>
      <c r="GC306" s="151"/>
      <c r="GD306" s="151"/>
      <c r="GE306" s="151"/>
      <c r="GF306" s="151"/>
      <c r="GG306" s="151"/>
      <c r="GH306" s="151"/>
      <c r="GI306" s="151"/>
      <c r="GJ306" s="151"/>
      <c r="GK306" s="151"/>
      <c r="GL306" s="151"/>
      <c r="GM306" s="151"/>
      <c r="GN306" s="151"/>
      <c r="GO306" s="151"/>
      <c r="GP306" s="151"/>
      <c r="GQ306" s="151"/>
      <c r="GR306" s="151"/>
      <c r="GS306" s="151"/>
      <c r="GT306" s="151"/>
      <c r="GU306" s="151"/>
      <c r="GV306" s="151"/>
      <c r="GW306" s="151"/>
      <c r="GX306" s="151"/>
      <c r="GY306" s="151"/>
      <c r="GZ306" s="151"/>
      <c r="HA306" s="151"/>
      <c r="HB306" s="151"/>
      <c r="HC306" s="151"/>
      <c r="HD306" s="151"/>
      <c r="HE306" s="151"/>
      <c r="HF306" s="151"/>
      <c r="HG306" s="151"/>
      <c r="HH306" s="151"/>
      <c r="HI306" s="151"/>
      <c r="HJ306" s="151"/>
      <c r="HK306" s="151"/>
      <c r="HL306" s="151"/>
      <c r="HM306" s="151"/>
      <c r="HN306" s="151"/>
      <c r="HO306" s="151"/>
      <c r="HP306" s="151"/>
      <c r="HQ306" s="151"/>
      <c r="HR306" s="151"/>
      <c r="HS306" s="151"/>
      <c r="HT306" s="151"/>
      <c r="HU306" s="151"/>
      <c r="HV306" s="151"/>
      <c r="HW306" s="151"/>
      <c r="HX306" s="151"/>
      <c r="HY306" s="151"/>
      <c r="HZ306" s="151"/>
      <c r="IA306" s="151"/>
      <c r="IB306" s="151"/>
      <c r="IC306" s="151"/>
      <c r="ID306" s="151"/>
      <c r="IE306" s="151"/>
      <c r="IF306" s="151"/>
      <c r="IG306" s="151"/>
      <c r="IH306" s="151"/>
      <c r="II306" s="151"/>
      <c r="IJ306" s="151"/>
      <c r="IK306" s="151"/>
      <c r="IL306" s="151"/>
      <c r="IM306" s="151"/>
      <c r="IN306" s="151"/>
      <c r="IO306" s="151"/>
      <c r="IP306" s="151"/>
      <c r="IQ306" s="151"/>
      <c r="IR306" s="151"/>
      <c r="IS306" s="151"/>
      <c r="IT306" s="151"/>
      <c r="IU306" s="151"/>
      <c r="IV306" s="151"/>
    </row>
    <row r="307" spans="1:256" hidden="1">
      <c r="A307" s="825"/>
      <c r="B307" s="828"/>
      <c r="C307" s="157" t="s">
        <v>2</v>
      </c>
      <c r="D307" s="158">
        <f>D306+D305</f>
        <v>298200</v>
      </c>
      <c r="E307" s="159">
        <f t="shared" ref="E307:P307" si="148">E306+E305</f>
        <v>298200</v>
      </c>
      <c r="F307" s="159">
        <f t="shared" si="148"/>
        <v>0</v>
      </c>
      <c r="G307" s="159">
        <f t="shared" si="148"/>
        <v>0</v>
      </c>
      <c r="H307" s="159">
        <f t="shared" si="148"/>
        <v>0</v>
      </c>
      <c r="I307" s="159">
        <f t="shared" si="148"/>
        <v>298200</v>
      </c>
      <c r="J307" s="159">
        <f t="shared" si="148"/>
        <v>0</v>
      </c>
      <c r="K307" s="159">
        <f t="shared" si="148"/>
        <v>0</v>
      </c>
      <c r="L307" s="159">
        <f t="shared" si="148"/>
        <v>0</v>
      </c>
      <c r="M307" s="159">
        <f t="shared" si="148"/>
        <v>0</v>
      </c>
      <c r="N307" s="159">
        <f t="shared" si="148"/>
        <v>0</v>
      </c>
      <c r="O307" s="159">
        <f t="shared" si="148"/>
        <v>0</v>
      </c>
      <c r="P307" s="159">
        <f t="shared" si="148"/>
        <v>0</v>
      </c>
      <c r="Q307" s="160"/>
      <c r="R307" s="160"/>
      <c r="S307" s="160"/>
      <c r="T307" s="160"/>
      <c r="U307" s="160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  <c r="BI307" s="151"/>
      <c r="BJ307" s="151"/>
      <c r="BK307" s="151"/>
      <c r="BL307" s="151"/>
      <c r="BM307" s="151"/>
      <c r="BN307" s="151"/>
      <c r="BO307" s="151"/>
      <c r="BP307" s="151"/>
      <c r="BQ307" s="151"/>
      <c r="BR307" s="151"/>
      <c r="BS307" s="151"/>
      <c r="BT307" s="151"/>
      <c r="BU307" s="151"/>
      <c r="BV307" s="151"/>
      <c r="BW307" s="151"/>
      <c r="BX307" s="151"/>
      <c r="BY307" s="151"/>
      <c r="BZ307" s="151"/>
      <c r="CA307" s="151"/>
      <c r="CB307" s="151"/>
      <c r="CC307" s="151"/>
      <c r="CD307" s="151"/>
      <c r="CE307" s="151"/>
      <c r="CF307" s="151"/>
      <c r="CG307" s="151"/>
      <c r="CH307" s="151"/>
      <c r="CI307" s="151"/>
      <c r="CJ307" s="151"/>
      <c r="CK307" s="151"/>
      <c r="CL307" s="151"/>
      <c r="CM307" s="151"/>
      <c r="CN307" s="151"/>
      <c r="CO307" s="151"/>
      <c r="CP307" s="151"/>
      <c r="CQ307" s="151"/>
      <c r="CR307" s="151"/>
      <c r="CS307" s="151"/>
      <c r="CT307" s="151"/>
      <c r="CU307" s="151"/>
      <c r="CV307" s="151"/>
      <c r="CW307" s="151"/>
      <c r="CX307" s="151"/>
      <c r="CY307" s="151"/>
      <c r="CZ307" s="151"/>
      <c r="DA307" s="151"/>
      <c r="DB307" s="151"/>
      <c r="DC307" s="151"/>
      <c r="DD307" s="151"/>
      <c r="DE307" s="151"/>
      <c r="DF307" s="151"/>
      <c r="DG307" s="151"/>
      <c r="DH307" s="151"/>
      <c r="DI307" s="151"/>
      <c r="DJ307" s="151"/>
      <c r="DK307" s="151"/>
      <c r="DL307" s="151"/>
      <c r="DM307" s="151"/>
      <c r="DN307" s="151"/>
      <c r="DO307" s="151"/>
      <c r="DP307" s="151"/>
      <c r="DQ307" s="151"/>
      <c r="DR307" s="151"/>
      <c r="DS307" s="151"/>
      <c r="DT307" s="151"/>
      <c r="DU307" s="151"/>
      <c r="DV307" s="151"/>
      <c r="DW307" s="151"/>
      <c r="DX307" s="151"/>
      <c r="DY307" s="151"/>
      <c r="DZ307" s="151"/>
      <c r="EA307" s="151"/>
      <c r="EB307" s="151"/>
      <c r="EC307" s="151"/>
      <c r="ED307" s="151"/>
      <c r="EE307" s="151"/>
      <c r="EF307" s="151"/>
      <c r="EG307" s="151"/>
      <c r="EH307" s="151"/>
      <c r="EI307" s="151"/>
      <c r="EJ307" s="151"/>
      <c r="EK307" s="151"/>
      <c r="EL307" s="151"/>
      <c r="EM307" s="151"/>
      <c r="EN307" s="151"/>
      <c r="EO307" s="151"/>
      <c r="EP307" s="151"/>
      <c r="EQ307" s="151"/>
      <c r="ER307" s="151"/>
      <c r="ES307" s="151"/>
      <c r="ET307" s="151"/>
      <c r="EU307" s="151"/>
      <c r="EV307" s="151"/>
      <c r="EW307" s="151"/>
      <c r="EX307" s="151"/>
      <c r="EY307" s="151"/>
      <c r="EZ307" s="151"/>
      <c r="FA307" s="151"/>
      <c r="FB307" s="151"/>
      <c r="FC307" s="151"/>
      <c r="FD307" s="151"/>
      <c r="FE307" s="151"/>
      <c r="FF307" s="151"/>
      <c r="FG307" s="151"/>
      <c r="FH307" s="151"/>
      <c r="FI307" s="151"/>
      <c r="FJ307" s="151"/>
      <c r="FK307" s="151"/>
      <c r="FL307" s="151"/>
      <c r="FM307" s="151"/>
      <c r="FN307" s="151"/>
      <c r="FO307" s="151"/>
      <c r="FP307" s="151"/>
      <c r="FQ307" s="151"/>
      <c r="FR307" s="151"/>
      <c r="FS307" s="151"/>
      <c r="FT307" s="151"/>
      <c r="FU307" s="151"/>
      <c r="FV307" s="151"/>
      <c r="FW307" s="151"/>
      <c r="FX307" s="151"/>
      <c r="FY307" s="151"/>
      <c r="FZ307" s="151"/>
      <c r="GA307" s="151"/>
      <c r="GB307" s="151"/>
      <c r="GC307" s="151"/>
      <c r="GD307" s="151"/>
      <c r="GE307" s="151"/>
      <c r="GF307" s="151"/>
      <c r="GG307" s="151"/>
      <c r="GH307" s="151"/>
      <c r="GI307" s="151"/>
      <c r="GJ307" s="151"/>
      <c r="GK307" s="151"/>
      <c r="GL307" s="151"/>
      <c r="GM307" s="151"/>
      <c r="GN307" s="151"/>
      <c r="GO307" s="151"/>
      <c r="GP307" s="151"/>
      <c r="GQ307" s="151"/>
      <c r="GR307" s="151"/>
      <c r="GS307" s="151"/>
      <c r="GT307" s="151"/>
      <c r="GU307" s="151"/>
      <c r="GV307" s="151"/>
      <c r="GW307" s="151"/>
      <c r="GX307" s="151"/>
      <c r="GY307" s="151"/>
      <c r="GZ307" s="151"/>
      <c r="HA307" s="151"/>
      <c r="HB307" s="151"/>
      <c r="HC307" s="151"/>
      <c r="HD307" s="151"/>
      <c r="HE307" s="151"/>
      <c r="HF307" s="151"/>
      <c r="HG307" s="151"/>
      <c r="HH307" s="151"/>
      <c r="HI307" s="151"/>
      <c r="HJ307" s="151"/>
      <c r="HK307" s="151"/>
      <c r="HL307" s="151"/>
      <c r="HM307" s="151"/>
      <c r="HN307" s="151"/>
      <c r="HO307" s="151"/>
      <c r="HP307" s="151"/>
      <c r="HQ307" s="151"/>
      <c r="HR307" s="151"/>
      <c r="HS307" s="151"/>
      <c r="HT307" s="151"/>
      <c r="HU307" s="151"/>
      <c r="HV307" s="151"/>
      <c r="HW307" s="151"/>
      <c r="HX307" s="151"/>
      <c r="HY307" s="151"/>
      <c r="HZ307" s="151"/>
      <c r="IA307" s="151"/>
      <c r="IB307" s="151"/>
      <c r="IC307" s="151"/>
      <c r="ID307" s="151"/>
      <c r="IE307" s="151"/>
      <c r="IF307" s="151"/>
      <c r="IG307" s="151"/>
      <c r="IH307" s="151"/>
      <c r="II307" s="151"/>
      <c r="IJ307" s="151"/>
      <c r="IK307" s="151"/>
      <c r="IL307" s="151"/>
      <c r="IM307" s="151"/>
      <c r="IN307" s="151"/>
      <c r="IO307" s="151"/>
      <c r="IP307" s="151"/>
      <c r="IQ307" s="151"/>
      <c r="IR307" s="151"/>
      <c r="IS307" s="151"/>
      <c r="IT307" s="151"/>
      <c r="IU307" s="151"/>
      <c r="IV307" s="151"/>
    </row>
    <row r="308" spans="1:256">
      <c r="A308" s="823">
        <v>85416</v>
      </c>
      <c r="B308" s="826" t="s">
        <v>269</v>
      </c>
      <c r="C308" s="157" t="s">
        <v>0</v>
      </c>
      <c r="D308" s="158">
        <f t="shared" si="141"/>
        <v>7624280</v>
      </c>
      <c r="E308" s="159">
        <f t="shared" si="142"/>
        <v>7624280</v>
      </c>
      <c r="F308" s="159">
        <f t="shared" si="143"/>
        <v>0</v>
      </c>
      <c r="G308" s="159">
        <v>0</v>
      </c>
      <c r="H308" s="159">
        <v>0</v>
      </c>
      <c r="I308" s="159">
        <v>0</v>
      </c>
      <c r="J308" s="159">
        <v>600000</v>
      </c>
      <c r="K308" s="159">
        <f>5970638+1053642</f>
        <v>7024280</v>
      </c>
      <c r="L308" s="159">
        <v>0</v>
      </c>
      <c r="M308" s="159">
        <f t="shared" si="144"/>
        <v>0</v>
      </c>
      <c r="N308" s="159">
        <v>0</v>
      </c>
      <c r="O308" s="159">
        <v>0</v>
      </c>
      <c r="P308" s="159">
        <v>0</v>
      </c>
      <c r="Q308" s="160"/>
      <c r="R308" s="160"/>
      <c r="S308" s="160"/>
      <c r="T308" s="160"/>
      <c r="U308" s="160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  <c r="BI308" s="151"/>
      <c r="BJ308" s="151"/>
      <c r="BK308" s="151"/>
      <c r="BL308" s="151"/>
      <c r="BM308" s="151"/>
      <c r="BN308" s="151"/>
      <c r="BO308" s="151"/>
      <c r="BP308" s="151"/>
      <c r="BQ308" s="151"/>
      <c r="BR308" s="151"/>
      <c r="BS308" s="151"/>
      <c r="BT308" s="151"/>
      <c r="BU308" s="151"/>
      <c r="BV308" s="151"/>
      <c r="BW308" s="151"/>
      <c r="BX308" s="151"/>
      <c r="BY308" s="151"/>
      <c r="BZ308" s="151"/>
      <c r="CA308" s="151"/>
      <c r="CB308" s="151"/>
      <c r="CC308" s="151"/>
      <c r="CD308" s="151"/>
      <c r="CE308" s="151"/>
      <c r="CF308" s="151"/>
      <c r="CG308" s="151"/>
      <c r="CH308" s="151"/>
      <c r="CI308" s="151"/>
      <c r="CJ308" s="151"/>
      <c r="CK308" s="151"/>
      <c r="CL308" s="151"/>
      <c r="CM308" s="151"/>
      <c r="CN308" s="151"/>
      <c r="CO308" s="151"/>
      <c r="CP308" s="151"/>
      <c r="CQ308" s="151"/>
      <c r="CR308" s="151"/>
      <c r="CS308" s="151"/>
      <c r="CT308" s="151"/>
      <c r="CU308" s="151"/>
      <c r="CV308" s="151"/>
      <c r="CW308" s="151"/>
      <c r="CX308" s="151"/>
      <c r="CY308" s="151"/>
      <c r="CZ308" s="151"/>
      <c r="DA308" s="151"/>
      <c r="DB308" s="151"/>
      <c r="DC308" s="151"/>
      <c r="DD308" s="151"/>
      <c r="DE308" s="151"/>
      <c r="DF308" s="151"/>
      <c r="DG308" s="151"/>
      <c r="DH308" s="151"/>
      <c r="DI308" s="151"/>
      <c r="DJ308" s="151"/>
      <c r="DK308" s="151"/>
      <c r="DL308" s="151"/>
      <c r="DM308" s="151"/>
      <c r="DN308" s="151"/>
      <c r="DO308" s="151"/>
      <c r="DP308" s="151"/>
      <c r="DQ308" s="151"/>
      <c r="DR308" s="151"/>
      <c r="DS308" s="151"/>
      <c r="DT308" s="151"/>
      <c r="DU308" s="151"/>
      <c r="DV308" s="151"/>
      <c r="DW308" s="151"/>
      <c r="DX308" s="151"/>
      <c r="DY308" s="151"/>
      <c r="DZ308" s="151"/>
      <c r="EA308" s="151"/>
      <c r="EB308" s="151"/>
      <c r="EC308" s="151"/>
      <c r="ED308" s="151"/>
      <c r="EE308" s="151"/>
      <c r="EF308" s="151"/>
      <c r="EG308" s="151"/>
      <c r="EH308" s="151"/>
      <c r="EI308" s="151"/>
      <c r="EJ308" s="151"/>
      <c r="EK308" s="151"/>
      <c r="EL308" s="151"/>
      <c r="EM308" s="151"/>
      <c r="EN308" s="151"/>
      <c r="EO308" s="151"/>
      <c r="EP308" s="151"/>
      <c r="EQ308" s="151"/>
      <c r="ER308" s="151"/>
      <c r="ES308" s="151"/>
      <c r="ET308" s="151"/>
      <c r="EU308" s="151"/>
      <c r="EV308" s="151"/>
      <c r="EW308" s="151"/>
      <c r="EX308" s="151"/>
      <c r="EY308" s="151"/>
      <c r="EZ308" s="151"/>
      <c r="FA308" s="151"/>
      <c r="FB308" s="151"/>
      <c r="FC308" s="151"/>
      <c r="FD308" s="151"/>
      <c r="FE308" s="151"/>
      <c r="FF308" s="151"/>
      <c r="FG308" s="151"/>
      <c r="FH308" s="151"/>
      <c r="FI308" s="151"/>
      <c r="FJ308" s="151"/>
      <c r="FK308" s="151"/>
      <c r="FL308" s="151"/>
      <c r="FM308" s="151"/>
      <c r="FN308" s="151"/>
      <c r="FO308" s="151"/>
      <c r="FP308" s="151"/>
      <c r="FQ308" s="151"/>
      <c r="FR308" s="151"/>
      <c r="FS308" s="151"/>
      <c r="FT308" s="151"/>
      <c r="FU308" s="151"/>
      <c r="FV308" s="151"/>
      <c r="FW308" s="151"/>
      <c r="FX308" s="151"/>
      <c r="FY308" s="151"/>
      <c r="FZ308" s="151"/>
      <c r="GA308" s="151"/>
      <c r="GB308" s="151"/>
      <c r="GC308" s="151"/>
      <c r="GD308" s="151"/>
      <c r="GE308" s="151"/>
      <c r="GF308" s="151"/>
      <c r="GG308" s="151"/>
      <c r="GH308" s="151"/>
      <c r="GI308" s="151"/>
      <c r="GJ308" s="151"/>
      <c r="GK308" s="151"/>
      <c r="GL308" s="151"/>
      <c r="GM308" s="151"/>
      <c r="GN308" s="151"/>
      <c r="GO308" s="151"/>
      <c r="GP308" s="151"/>
      <c r="GQ308" s="151"/>
      <c r="GR308" s="151"/>
      <c r="GS308" s="151"/>
      <c r="GT308" s="151"/>
      <c r="GU308" s="151"/>
      <c r="GV308" s="151"/>
      <c r="GW308" s="151"/>
      <c r="GX308" s="151"/>
      <c r="GY308" s="151"/>
      <c r="GZ308" s="151"/>
      <c r="HA308" s="151"/>
      <c r="HB308" s="151"/>
      <c r="HC308" s="151"/>
      <c r="HD308" s="151"/>
      <c r="HE308" s="151"/>
      <c r="HF308" s="151"/>
      <c r="HG308" s="151"/>
      <c r="HH308" s="151"/>
      <c r="HI308" s="151"/>
      <c r="HJ308" s="151"/>
      <c r="HK308" s="151"/>
      <c r="HL308" s="151"/>
      <c r="HM308" s="151"/>
      <c r="HN308" s="151"/>
      <c r="HO308" s="151"/>
      <c r="HP308" s="151"/>
      <c r="HQ308" s="151"/>
      <c r="HR308" s="151"/>
      <c r="HS308" s="151"/>
      <c r="HT308" s="151"/>
      <c r="HU308" s="151"/>
      <c r="HV308" s="151"/>
      <c r="HW308" s="151"/>
      <c r="HX308" s="151"/>
      <c r="HY308" s="151"/>
      <c r="HZ308" s="151"/>
      <c r="IA308" s="151"/>
      <c r="IB308" s="151"/>
      <c r="IC308" s="151"/>
      <c r="ID308" s="151"/>
      <c r="IE308" s="151"/>
      <c r="IF308" s="151"/>
      <c r="IG308" s="151"/>
      <c r="IH308" s="151"/>
      <c r="II308" s="151"/>
      <c r="IJ308" s="151"/>
      <c r="IK308" s="151"/>
      <c r="IL308" s="151"/>
      <c r="IM308" s="151"/>
      <c r="IN308" s="151"/>
      <c r="IO308" s="151"/>
      <c r="IP308" s="151"/>
      <c r="IQ308" s="151"/>
      <c r="IR308" s="151"/>
      <c r="IS308" s="151"/>
      <c r="IT308" s="151"/>
      <c r="IU308" s="151"/>
      <c r="IV308" s="151"/>
    </row>
    <row r="309" spans="1:256">
      <c r="A309" s="824"/>
      <c r="B309" s="827"/>
      <c r="C309" s="157" t="s">
        <v>1</v>
      </c>
      <c r="D309" s="158">
        <f t="shared" si="141"/>
        <v>287943</v>
      </c>
      <c r="E309" s="159">
        <f t="shared" si="142"/>
        <v>287943</v>
      </c>
      <c r="F309" s="159">
        <f t="shared" si="143"/>
        <v>0</v>
      </c>
      <c r="G309" s="159"/>
      <c r="H309" s="159"/>
      <c r="I309" s="159"/>
      <c r="J309" s="159">
        <v>100000</v>
      </c>
      <c r="K309" s="159">
        <f>96002+16941+63750+11250</f>
        <v>187943</v>
      </c>
      <c r="L309" s="159"/>
      <c r="M309" s="159">
        <f t="shared" si="144"/>
        <v>0</v>
      </c>
      <c r="N309" s="159"/>
      <c r="O309" s="159"/>
      <c r="P309" s="159"/>
      <c r="Q309" s="160"/>
      <c r="R309" s="160"/>
      <c r="S309" s="160"/>
      <c r="T309" s="160"/>
      <c r="U309" s="160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  <c r="BI309" s="151"/>
      <c r="BJ309" s="151"/>
      <c r="BK309" s="151"/>
      <c r="BL309" s="151"/>
      <c r="BM309" s="151"/>
      <c r="BN309" s="151"/>
      <c r="BO309" s="151"/>
      <c r="BP309" s="151"/>
      <c r="BQ309" s="151"/>
      <c r="BR309" s="151"/>
      <c r="BS309" s="151"/>
      <c r="BT309" s="151"/>
      <c r="BU309" s="151"/>
      <c r="BV309" s="151"/>
      <c r="BW309" s="151"/>
      <c r="BX309" s="151"/>
      <c r="BY309" s="151"/>
      <c r="BZ309" s="151"/>
      <c r="CA309" s="151"/>
      <c r="CB309" s="151"/>
      <c r="CC309" s="151"/>
      <c r="CD309" s="151"/>
      <c r="CE309" s="151"/>
      <c r="CF309" s="151"/>
      <c r="CG309" s="151"/>
      <c r="CH309" s="151"/>
      <c r="CI309" s="151"/>
      <c r="CJ309" s="151"/>
      <c r="CK309" s="151"/>
      <c r="CL309" s="151"/>
      <c r="CM309" s="151"/>
      <c r="CN309" s="151"/>
      <c r="CO309" s="151"/>
      <c r="CP309" s="151"/>
      <c r="CQ309" s="151"/>
      <c r="CR309" s="151"/>
      <c r="CS309" s="151"/>
      <c r="CT309" s="151"/>
      <c r="CU309" s="151"/>
      <c r="CV309" s="151"/>
      <c r="CW309" s="151"/>
      <c r="CX309" s="151"/>
      <c r="CY309" s="151"/>
      <c r="CZ309" s="151"/>
      <c r="DA309" s="151"/>
      <c r="DB309" s="151"/>
      <c r="DC309" s="151"/>
      <c r="DD309" s="151"/>
      <c r="DE309" s="151"/>
      <c r="DF309" s="151"/>
      <c r="DG309" s="151"/>
      <c r="DH309" s="151"/>
      <c r="DI309" s="151"/>
      <c r="DJ309" s="151"/>
      <c r="DK309" s="151"/>
      <c r="DL309" s="151"/>
      <c r="DM309" s="151"/>
      <c r="DN309" s="151"/>
      <c r="DO309" s="151"/>
      <c r="DP309" s="151"/>
      <c r="DQ309" s="151"/>
      <c r="DR309" s="151"/>
      <c r="DS309" s="151"/>
      <c r="DT309" s="151"/>
      <c r="DU309" s="151"/>
      <c r="DV309" s="151"/>
      <c r="DW309" s="151"/>
      <c r="DX309" s="151"/>
      <c r="DY309" s="151"/>
      <c r="DZ309" s="151"/>
      <c r="EA309" s="151"/>
      <c r="EB309" s="151"/>
      <c r="EC309" s="151"/>
      <c r="ED309" s="151"/>
      <c r="EE309" s="151"/>
      <c r="EF309" s="151"/>
      <c r="EG309" s="151"/>
      <c r="EH309" s="151"/>
      <c r="EI309" s="151"/>
      <c r="EJ309" s="151"/>
      <c r="EK309" s="151"/>
      <c r="EL309" s="151"/>
      <c r="EM309" s="151"/>
      <c r="EN309" s="151"/>
      <c r="EO309" s="151"/>
      <c r="EP309" s="151"/>
      <c r="EQ309" s="151"/>
      <c r="ER309" s="151"/>
      <c r="ES309" s="151"/>
      <c r="ET309" s="151"/>
      <c r="EU309" s="151"/>
      <c r="EV309" s="151"/>
      <c r="EW309" s="151"/>
      <c r="EX309" s="151"/>
      <c r="EY309" s="151"/>
      <c r="EZ309" s="151"/>
      <c r="FA309" s="151"/>
      <c r="FB309" s="151"/>
      <c r="FC309" s="151"/>
      <c r="FD309" s="151"/>
      <c r="FE309" s="151"/>
      <c r="FF309" s="151"/>
      <c r="FG309" s="151"/>
      <c r="FH309" s="151"/>
      <c r="FI309" s="151"/>
      <c r="FJ309" s="151"/>
      <c r="FK309" s="151"/>
      <c r="FL309" s="151"/>
      <c r="FM309" s="151"/>
      <c r="FN309" s="151"/>
      <c r="FO309" s="151"/>
      <c r="FP309" s="151"/>
      <c r="FQ309" s="151"/>
      <c r="FR309" s="151"/>
      <c r="FS309" s="151"/>
      <c r="FT309" s="151"/>
      <c r="FU309" s="151"/>
      <c r="FV309" s="151"/>
      <c r="FW309" s="151"/>
      <c r="FX309" s="151"/>
      <c r="FY309" s="151"/>
      <c r="FZ309" s="151"/>
      <c r="GA309" s="151"/>
      <c r="GB309" s="151"/>
      <c r="GC309" s="151"/>
      <c r="GD309" s="151"/>
      <c r="GE309" s="151"/>
      <c r="GF309" s="151"/>
      <c r="GG309" s="151"/>
      <c r="GH309" s="151"/>
      <c r="GI309" s="151"/>
      <c r="GJ309" s="151"/>
      <c r="GK309" s="151"/>
      <c r="GL309" s="151"/>
      <c r="GM309" s="151"/>
      <c r="GN309" s="151"/>
      <c r="GO309" s="151"/>
      <c r="GP309" s="151"/>
      <c r="GQ309" s="151"/>
      <c r="GR309" s="151"/>
      <c r="GS309" s="151"/>
      <c r="GT309" s="151"/>
      <c r="GU309" s="151"/>
      <c r="GV309" s="151"/>
      <c r="GW309" s="151"/>
      <c r="GX309" s="151"/>
      <c r="GY309" s="151"/>
      <c r="GZ309" s="151"/>
      <c r="HA309" s="151"/>
      <c r="HB309" s="151"/>
      <c r="HC309" s="151"/>
      <c r="HD309" s="151"/>
      <c r="HE309" s="151"/>
      <c r="HF309" s="151"/>
      <c r="HG309" s="151"/>
      <c r="HH309" s="151"/>
      <c r="HI309" s="151"/>
      <c r="HJ309" s="151"/>
      <c r="HK309" s="151"/>
      <c r="HL309" s="151"/>
      <c r="HM309" s="151"/>
      <c r="HN309" s="151"/>
      <c r="HO309" s="151"/>
      <c r="HP309" s="151"/>
      <c r="HQ309" s="151"/>
      <c r="HR309" s="151"/>
      <c r="HS309" s="151"/>
      <c r="HT309" s="151"/>
      <c r="HU309" s="151"/>
      <c r="HV309" s="151"/>
      <c r="HW309" s="151"/>
      <c r="HX309" s="151"/>
      <c r="HY309" s="151"/>
      <c r="HZ309" s="151"/>
      <c r="IA309" s="151"/>
      <c r="IB309" s="151"/>
      <c r="IC309" s="151"/>
      <c r="ID309" s="151"/>
      <c r="IE309" s="151"/>
      <c r="IF309" s="151"/>
      <c r="IG309" s="151"/>
      <c r="IH309" s="151"/>
      <c r="II309" s="151"/>
      <c r="IJ309" s="151"/>
      <c r="IK309" s="151"/>
      <c r="IL309" s="151"/>
      <c r="IM309" s="151"/>
      <c r="IN309" s="151"/>
      <c r="IO309" s="151"/>
      <c r="IP309" s="151"/>
      <c r="IQ309" s="151"/>
      <c r="IR309" s="151"/>
      <c r="IS309" s="151"/>
      <c r="IT309" s="151"/>
      <c r="IU309" s="151"/>
      <c r="IV309" s="151"/>
    </row>
    <row r="310" spans="1:256">
      <c r="A310" s="825"/>
      <c r="B310" s="828"/>
      <c r="C310" s="157" t="s">
        <v>2</v>
      </c>
      <c r="D310" s="158">
        <f>D309+D308</f>
        <v>7912223</v>
      </c>
      <c r="E310" s="159">
        <f t="shared" ref="E310:P310" si="149">E309+E308</f>
        <v>7912223</v>
      </c>
      <c r="F310" s="159">
        <f t="shared" si="149"/>
        <v>0</v>
      </c>
      <c r="G310" s="159">
        <f t="shared" si="149"/>
        <v>0</v>
      </c>
      <c r="H310" s="159">
        <f t="shared" si="149"/>
        <v>0</v>
      </c>
      <c r="I310" s="159">
        <f t="shared" si="149"/>
        <v>0</v>
      </c>
      <c r="J310" s="159">
        <f t="shared" si="149"/>
        <v>700000</v>
      </c>
      <c r="K310" s="159">
        <f t="shared" si="149"/>
        <v>7212223</v>
      </c>
      <c r="L310" s="159">
        <f t="shared" si="149"/>
        <v>0</v>
      </c>
      <c r="M310" s="159">
        <f t="shared" si="149"/>
        <v>0</v>
      </c>
      <c r="N310" s="159">
        <f t="shared" si="149"/>
        <v>0</v>
      </c>
      <c r="O310" s="159">
        <f t="shared" si="149"/>
        <v>0</v>
      </c>
      <c r="P310" s="159">
        <f t="shared" si="149"/>
        <v>0</v>
      </c>
      <c r="Q310" s="160"/>
      <c r="R310" s="160"/>
      <c r="S310" s="160"/>
      <c r="T310" s="160"/>
      <c r="U310" s="160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1"/>
      <c r="BT310" s="151"/>
      <c r="BU310" s="151"/>
      <c r="BV310" s="151"/>
      <c r="BW310" s="151"/>
      <c r="BX310" s="151"/>
      <c r="BY310" s="151"/>
      <c r="BZ310" s="151"/>
      <c r="CA310" s="151"/>
      <c r="CB310" s="151"/>
      <c r="CC310" s="151"/>
      <c r="CD310" s="151"/>
      <c r="CE310" s="151"/>
      <c r="CF310" s="151"/>
      <c r="CG310" s="151"/>
      <c r="CH310" s="151"/>
      <c r="CI310" s="151"/>
      <c r="CJ310" s="151"/>
      <c r="CK310" s="151"/>
      <c r="CL310" s="151"/>
      <c r="CM310" s="151"/>
      <c r="CN310" s="151"/>
      <c r="CO310" s="151"/>
      <c r="CP310" s="151"/>
      <c r="CQ310" s="151"/>
      <c r="CR310" s="151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1"/>
      <c r="DD310" s="151"/>
      <c r="DE310" s="151"/>
      <c r="DF310" s="151"/>
      <c r="DG310" s="151"/>
      <c r="DH310" s="151"/>
      <c r="DI310" s="151"/>
      <c r="DJ310" s="151"/>
      <c r="DK310" s="151"/>
      <c r="DL310" s="151"/>
      <c r="DM310" s="151"/>
      <c r="DN310" s="151"/>
      <c r="DO310" s="151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  <c r="EB310" s="151"/>
      <c r="EC310" s="151"/>
      <c r="ED310" s="151"/>
      <c r="EE310" s="151"/>
      <c r="EF310" s="151"/>
      <c r="EG310" s="151"/>
      <c r="EH310" s="151"/>
      <c r="EI310" s="151"/>
      <c r="EJ310" s="151"/>
      <c r="EK310" s="151"/>
      <c r="EL310" s="151"/>
      <c r="EM310" s="151"/>
      <c r="EN310" s="151"/>
      <c r="EO310" s="151"/>
      <c r="EP310" s="151"/>
      <c r="EQ310" s="151"/>
      <c r="ER310" s="151"/>
      <c r="ES310" s="151"/>
      <c r="ET310" s="151"/>
      <c r="EU310" s="151"/>
      <c r="EV310" s="151"/>
      <c r="EW310" s="151"/>
      <c r="EX310" s="151"/>
      <c r="EY310" s="151"/>
      <c r="EZ310" s="151"/>
      <c r="FA310" s="151"/>
      <c r="FB310" s="151"/>
      <c r="FC310" s="151"/>
      <c r="FD310" s="151"/>
      <c r="FE310" s="151"/>
      <c r="FF310" s="151"/>
      <c r="FG310" s="151"/>
      <c r="FH310" s="151"/>
      <c r="FI310" s="151"/>
      <c r="FJ310" s="151"/>
      <c r="FK310" s="151"/>
      <c r="FL310" s="151"/>
      <c r="FM310" s="151"/>
      <c r="FN310" s="151"/>
      <c r="FO310" s="151"/>
      <c r="FP310" s="151"/>
      <c r="FQ310" s="151"/>
      <c r="FR310" s="151"/>
      <c r="FS310" s="151"/>
      <c r="FT310" s="151"/>
      <c r="FU310" s="151"/>
      <c r="FV310" s="151"/>
      <c r="FW310" s="151"/>
      <c r="FX310" s="151"/>
      <c r="FY310" s="151"/>
      <c r="FZ310" s="151"/>
      <c r="GA310" s="151"/>
      <c r="GB310" s="151"/>
      <c r="GC310" s="151"/>
      <c r="GD310" s="151"/>
      <c r="GE310" s="151"/>
      <c r="GF310" s="151"/>
      <c r="GG310" s="151"/>
      <c r="GH310" s="151"/>
      <c r="GI310" s="151"/>
      <c r="GJ310" s="151"/>
      <c r="GK310" s="151"/>
      <c r="GL310" s="151"/>
      <c r="GM310" s="151"/>
      <c r="GN310" s="151"/>
      <c r="GO310" s="151"/>
      <c r="GP310" s="151"/>
      <c r="GQ310" s="151"/>
      <c r="GR310" s="151"/>
      <c r="GS310" s="151"/>
      <c r="GT310" s="151"/>
      <c r="GU310" s="151"/>
      <c r="GV310" s="151"/>
      <c r="GW310" s="151"/>
      <c r="GX310" s="151"/>
      <c r="GY310" s="151"/>
      <c r="GZ310" s="151"/>
      <c r="HA310" s="151"/>
      <c r="HB310" s="151"/>
      <c r="HC310" s="151"/>
      <c r="HD310" s="151"/>
      <c r="HE310" s="151"/>
      <c r="HF310" s="151"/>
      <c r="HG310" s="151"/>
      <c r="HH310" s="151"/>
      <c r="HI310" s="151"/>
      <c r="HJ310" s="151"/>
      <c r="HK310" s="151"/>
      <c r="HL310" s="151"/>
      <c r="HM310" s="151"/>
      <c r="HN310" s="151"/>
      <c r="HO310" s="151"/>
      <c r="HP310" s="151"/>
      <c r="HQ310" s="151"/>
      <c r="HR310" s="151"/>
      <c r="HS310" s="151"/>
      <c r="HT310" s="151"/>
      <c r="HU310" s="151"/>
      <c r="HV310" s="151"/>
      <c r="HW310" s="151"/>
      <c r="HX310" s="151"/>
      <c r="HY310" s="151"/>
      <c r="HZ310" s="151"/>
      <c r="IA310" s="151"/>
      <c r="IB310" s="151"/>
      <c r="IC310" s="151"/>
      <c r="ID310" s="151"/>
      <c r="IE310" s="151"/>
      <c r="IF310" s="151"/>
      <c r="IG310" s="151"/>
      <c r="IH310" s="151"/>
      <c r="II310" s="151"/>
      <c r="IJ310" s="151"/>
      <c r="IK310" s="151"/>
      <c r="IL310" s="151"/>
      <c r="IM310" s="151"/>
      <c r="IN310" s="151"/>
      <c r="IO310" s="151"/>
      <c r="IP310" s="151"/>
      <c r="IQ310" s="151"/>
      <c r="IR310" s="151"/>
      <c r="IS310" s="151"/>
      <c r="IT310" s="151"/>
      <c r="IU310" s="151"/>
      <c r="IV310" s="151"/>
    </row>
    <row r="311" spans="1:256" hidden="1">
      <c r="A311" s="823">
        <v>85446</v>
      </c>
      <c r="B311" s="826" t="s">
        <v>240</v>
      </c>
      <c r="C311" s="157" t="s">
        <v>0</v>
      </c>
      <c r="D311" s="158">
        <f t="shared" si="141"/>
        <v>150000</v>
      </c>
      <c r="E311" s="159">
        <f t="shared" si="142"/>
        <v>150000</v>
      </c>
      <c r="F311" s="159">
        <f t="shared" si="143"/>
        <v>150000</v>
      </c>
      <c r="G311" s="159">
        <v>0</v>
      </c>
      <c r="H311" s="159">
        <v>150000</v>
      </c>
      <c r="I311" s="159">
        <v>0</v>
      </c>
      <c r="J311" s="159">
        <v>0</v>
      </c>
      <c r="K311" s="159">
        <v>0</v>
      </c>
      <c r="L311" s="159">
        <v>0</v>
      </c>
      <c r="M311" s="159">
        <f t="shared" si="144"/>
        <v>0</v>
      </c>
      <c r="N311" s="159">
        <v>0</v>
      </c>
      <c r="O311" s="159">
        <v>0</v>
      </c>
      <c r="P311" s="159">
        <v>0</v>
      </c>
      <c r="Q311" s="166"/>
      <c r="R311" s="166"/>
      <c r="S311" s="166"/>
      <c r="T311" s="166"/>
      <c r="U311" s="166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0"/>
      <c r="CC311" s="130"/>
      <c r="CD311" s="130"/>
      <c r="CE311" s="130"/>
      <c r="CF311" s="130"/>
      <c r="CG311" s="130"/>
      <c r="CH311" s="130"/>
      <c r="CI311" s="130"/>
      <c r="CJ311" s="130"/>
      <c r="CK311" s="130"/>
      <c r="CL311" s="130"/>
      <c r="CM311" s="130"/>
      <c r="CN311" s="130"/>
      <c r="CO311" s="130"/>
      <c r="CP311" s="130"/>
      <c r="CQ311" s="130"/>
      <c r="CR311" s="130"/>
      <c r="CS311" s="130"/>
      <c r="CT311" s="130"/>
      <c r="CU311" s="130"/>
      <c r="CV311" s="130"/>
      <c r="CW311" s="130"/>
      <c r="CX311" s="130"/>
      <c r="CY311" s="130"/>
      <c r="CZ311" s="130"/>
      <c r="DA311" s="130"/>
      <c r="DB311" s="130"/>
      <c r="DC311" s="130"/>
      <c r="DD311" s="130"/>
      <c r="DE311" s="130"/>
      <c r="DF311" s="130"/>
      <c r="DG311" s="130"/>
      <c r="DH311" s="130"/>
      <c r="DI311" s="130"/>
      <c r="DJ311" s="130"/>
      <c r="DK311" s="130"/>
      <c r="DL311" s="130"/>
      <c r="DM311" s="130"/>
      <c r="DN311" s="130"/>
      <c r="DO311" s="130"/>
      <c r="DP311" s="130"/>
      <c r="DQ311" s="130"/>
      <c r="DR311" s="130"/>
      <c r="DS311" s="130"/>
      <c r="DT311" s="130"/>
      <c r="DU311" s="130"/>
      <c r="DV311" s="130"/>
      <c r="DW311" s="130"/>
      <c r="DX311" s="130"/>
      <c r="DY311" s="130"/>
      <c r="DZ311" s="130"/>
      <c r="EA311" s="130"/>
      <c r="EB311" s="130"/>
      <c r="EC311" s="130"/>
      <c r="ED311" s="130"/>
      <c r="EE311" s="130"/>
      <c r="EF311" s="130"/>
      <c r="EG311" s="130"/>
      <c r="EH311" s="130"/>
      <c r="EI311" s="130"/>
      <c r="EJ311" s="130"/>
      <c r="EK311" s="130"/>
      <c r="EL311" s="130"/>
      <c r="EM311" s="130"/>
      <c r="EN311" s="130"/>
      <c r="EO311" s="130"/>
      <c r="EP311" s="130"/>
      <c r="EQ311" s="130"/>
      <c r="ER311" s="130"/>
      <c r="ES311" s="130"/>
      <c r="ET311" s="130"/>
      <c r="EU311" s="130"/>
      <c r="EV311" s="130"/>
      <c r="EW311" s="130"/>
      <c r="EX311" s="130"/>
      <c r="EY311" s="130"/>
      <c r="EZ311" s="130"/>
      <c r="FA311" s="130"/>
      <c r="FB311" s="130"/>
      <c r="FC311" s="130"/>
      <c r="FD311" s="130"/>
      <c r="FE311" s="130"/>
      <c r="FF311" s="130"/>
      <c r="FG311" s="130"/>
      <c r="FH311" s="130"/>
      <c r="FI311" s="130"/>
      <c r="FJ311" s="130"/>
      <c r="FK311" s="130"/>
      <c r="FL311" s="130"/>
      <c r="FM311" s="130"/>
      <c r="FN311" s="130"/>
      <c r="FO311" s="130"/>
      <c r="FP311" s="130"/>
      <c r="FQ311" s="130"/>
      <c r="FR311" s="130"/>
      <c r="FS311" s="130"/>
      <c r="FT311" s="130"/>
      <c r="FU311" s="130"/>
      <c r="FV311" s="130"/>
      <c r="FW311" s="130"/>
      <c r="FX311" s="130"/>
      <c r="FY311" s="130"/>
      <c r="FZ311" s="130"/>
      <c r="GA311" s="130"/>
      <c r="GB311" s="130"/>
      <c r="GC311" s="130"/>
      <c r="GD311" s="130"/>
      <c r="GE311" s="130"/>
      <c r="GF311" s="130"/>
      <c r="GG311" s="130"/>
      <c r="GH311" s="130"/>
      <c r="GI311" s="130"/>
      <c r="GJ311" s="130"/>
      <c r="GK311" s="130"/>
      <c r="GL311" s="130"/>
      <c r="GM311" s="130"/>
      <c r="GN311" s="130"/>
      <c r="GO311" s="130"/>
      <c r="GP311" s="130"/>
      <c r="GQ311" s="130"/>
      <c r="GR311" s="130"/>
      <c r="GS311" s="130"/>
      <c r="GT311" s="130"/>
      <c r="GU311" s="130"/>
      <c r="GV311" s="130"/>
      <c r="GW311" s="130"/>
      <c r="GX311" s="130"/>
      <c r="GY311" s="130"/>
      <c r="GZ311" s="130"/>
      <c r="HA311" s="130"/>
      <c r="HB311" s="130"/>
      <c r="HC311" s="130"/>
      <c r="HD311" s="130"/>
      <c r="HE311" s="130"/>
      <c r="HF311" s="130"/>
      <c r="HG311" s="130"/>
      <c r="HH311" s="130"/>
      <c r="HI311" s="130"/>
      <c r="HJ311" s="130"/>
      <c r="HK311" s="130"/>
      <c r="HL311" s="130"/>
      <c r="HM311" s="130"/>
      <c r="HN311" s="130"/>
      <c r="HO311" s="130"/>
      <c r="HP311" s="130"/>
      <c r="HQ311" s="130"/>
      <c r="HR311" s="130"/>
      <c r="HS311" s="130"/>
      <c r="HT311" s="130"/>
      <c r="HU311" s="130"/>
      <c r="HV311" s="130"/>
      <c r="HW311" s="130"/>
      <c r="HX311" s="130"/>
      <c r="HY311" s="130"/>
      <c r="HZ311" s="130"/>
      <c r="IA311" s="130"/>
      <c r="IB311" s="130"/>
      <c r="IC311" s="130"/>
      <c r="ID311" s="130"/>
      <c r="IE311" s="130"/>
      <c r="IF311" s="130"/>
      <c r="IG311" s="130"/>
      <c r="IH311" s="130"/>
      <c r="II311" s="130"/>
      <c r="IJ311" s="130"/>
      <c r="IK311" s="130"/>
      <c r="IL311" s="130"/>
      <c r="IM311" s="130"/>
      <c r="IN311" s="130"/>
      <c r="IO311" s="130"/>
      <c r="IP311" s="130"/>
      <c r="IQ311" s="130"/>
      <c r="IR311" s="130"/>
      <c r="IS311" s="130"/>
      <c r="IT311" s="130"/>
      <c r="IU311" s="130"/>
      <c r="IV311" s="130"/>
    </row>
    <row r="312" spans="1:256" hidden="1">
      <c r="A312" s="824"/>
      <c r="B312" s="827"/>
      <c r="C312" s="157" t="s">
        <v>1</v>
      </c>
      <c r="D312" s="158">
        <f t="shared" si="141"/>
        <v>0</v>
      </c>
      <c r="E312" s="159">
        <f t="shared" si="142"/>
        <v>0</v>
      </c>
      <c r="F312" s="159">
        <f t="shared" si="143"/>
        <v>0</v>
      </c>
      <c r="G312" s="159"/>
      <c r="H312" s="159"/>
      <c r="I312" s="159"/>
      <c r="J312" s="159"/>
      <c r="K312" s="159"/>
      <c r="L312" s="159"/>
      <c r="M312" s="159">
        <f t="shared" si="144"/>
        <v>0</v>
      </c>
      <c r="N312" s="159"/>
      <c r="O312" s="159"/>
      <c r="P312" s="159"/>
      <c r="Q312" s="166"/>
      <c r="R312" s="166"/>
      <c r="S312" s="166"/>
      <c r="T312" s="166"/>
      <c r="U312" s="166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130"/>
      <c r="DN312" s="130"/>
      <c r="DO312" s="130"/>
      <c r="DP312" s="130"/>
      <c r="DQ312" s="130"/>
      <c r="DR312" s="130"/>
      <c r="DS312" s="130"/>
      <c r="DT312" s="130"/>
      <c r="DU312" s="130"/>
      <c r="DV312" s="130"/>
      <c r="DW312" s="130"/>
      <c r="DX312" s="130"/>
      <c r="DY312" s="130"/>
      <c r="DZ312" s="130"/>
      <c r="EA312" s="130"/>
      <c r="EB312" s="130"/>
      <c r="EC312" s="130"/>
      <c r="ED312" s="130"/>
      <c r="EE312" s="130"/>
      <c r="EF312" s="130"/>
      <c r="EG312" s="130"/>
      <c r="EH312" s="130"/>
      <c r="EI312" s="130"/>
      <c r="EJ312" s="130"/>
      <c r="EK312" s="130"/>
      <c r="EL312" s="130"/>
      <c r="EM312" s="130"/>
      <c r="EN312" s="130"/>
      <c r="EO312" s="130"/>
      <c r="EP312" s="130"/>
      <c r="EQ312" s="130"/>
      <c r="ER312" s="130"/>
      <c r="ES312" s="130"/>
      <c r="ET312" s="130"/>
      <c r="EU312" s="130"/>
      <c r="EV312" s="130"/>
      <c r="EW312" s="130"/>
      <c r="EX312" s="130"/>
      <c r="EY312" s="130"/>
      <c r="EZ312" s="130"/>
      <c r="FA312" s="130"/>
      <c r="FB312" s="130"/>
      <c r="FC312" s="130"/>
      <c r="FD312" s="130"/>
      <c r="FE312" s="130"/>
      <c r="FF312" s="130"/>
      <c r="FG312" s="130"/>
      <c r="FH312" s="130"/>
      <c r="FI312" s="130"/>
      <c r="FJ312" s="130"/>
      <c r="FK312" s="130"/>
      <c r="FL312" s="130"/>
      <c r="FM312" s="130"/>
      <c r="FN312" s="130"/>
      <c r="FO312" s="130"/>
      <c r="FP312" s="130"/>
      <c r="FQ312" s="130"/>
      <c r="FR312" s="130"/>
      <c r="FS312" s="130"/>
      <c r="FT312" s="130"/>
      <c r="FU312" s="130"/>
      <c r="FV312" s="130"/>
      <c r="FW312" s="130"/>
      <c r="FX312" s="130"/>
      <c r="FY312" s="130"/>
      <c r="FZ312" s="130"/>
      <c r="GA312" s="130"/>
      <c r="GB312" s="130"/>
      <c r="GC312" s="130"/>
      <c r="GD312" s="130"/>
      <c r="GE312" s="130"/>
      <c r="GF312" s="130"/>
      <c r="GG312" s="130"/>
      <c r="GH312" s="130"/>
      <c r="GI312" s="130"/>
      <c r="GJ312" s="130"/>
      <c r="GK312" s="130"/>
      <c r="GL312" s="130"/>
      <c r="GM312" s="130"/>
      <c r="GN312" s="130"/>
      <c r="GO312" s="130"/>
      <c r="GP312" s="130"/>
      <c r="GQ312" s="130"/>
      <c r="GR312" s="130"/>
      <c r="GS312" s="130"/>
      <c r="GT312" s="130"/>
      <c r="GU312" s="130"/>
      <c r="GV312" s="130"/>
      <c r="GW312" s="130"/>
      <c r="GX312" s="130"/>
      <c r="GY312" s="130"/>
      <c r="GZ312" s="130"/>
      <c r="HA312" s="130"/>
      <c r="HB312" s="130"/>
      <c r="HC312" s="130"/>
      <c r="HD312" s="130"/>
      <c r="HE312" s="130"/>
      <c r="HF312" s="130"/>
      <c r="HG312" s="130"/>
      <c r="HH312" s="130"/>
      <c r="HI312" s="130"/>
      <c r="HJ312" s="130"/>
      <c r="HK312" s="130"/>
      <c r="HL312" s="130"/>
      <c r="HM312" s="130"/>
      <c r="HN312" s="130"/>
      <c r="HO312" s="130"/>
      <c r="HP312" s="130"/>
      <c r="HQ312" s="130"/>
      <c r="HR312" s="130"/>
      <c r="HS312" s="130"/>
      <c r="HT312" s="130"/>
      <c r="HU312" s="130"/>
      <c r="HV312" s="130"/>
      <c r="HW312" s="130"/>
      <c r="HX312" s="130"/>
      <c r="HY312" s="130"/>
      <c r="HZ312" s="130"/>
      <c r="IA312" s="130"/>
      <c r="IB312" s="130"/>
      <c r="IC312" s="130"/>
      <c r="ID312" s="130"/>
      <c r="IE312" s="130"/>
      <c r="IF312" s="130"/>
      <c r="IG312" s="130"/>
      <c r="IH312" s="130"/>
      <c r="II312" s="130"/>
      <c r="IJ312" s="130"/>
      <c r="IK312" s="130"/>
      <c r="IL312" s="130"/>
      <c r="IM312" s="130"/>
      <c r="IN312" s="130"/>
      <c r="IO312" s="130"/>
      <c r="IP312" s="130"/>
      <c r="IQ312" s="130"/>
      <c r="IR312" s="130"/>
      <c r="IS312" s="130"/>
      <c r="IT312" s="130"/>
      <c r="IU312" s="130"/>
      <c r="IV312" s="130"/>
    </row>
    <row r="313" spans="1:256" hidden="1">
      <c r="A313" s="825"/>
      <c r="B313" s="828"/>
      <c r="C313" s="157" t="s">
        <v>2</v>
      </c>
      <c r="D313" s="158">
        <f>D312+D311</f>
        <v>150000</v>
      </c>
      <c r="E313" s="159">
        <f t="shared" ref="E313:P313" si="150">E312+E311</f>
        <v>150000</v>
      </c>
      <c r="F313" s="159">
        <f t="shared" si="150"/>
        <v>150000</v>
      </c>
      <c r="G313" s="159">
        <f t="shared" si="150"/>
        <v>0</v>
      </c>
      <c r="H313" s="159">
        <f t="shared" si="150"/>
        <v>150000</v>
      </c>
      <c r="I313" s="159">
        <f t="shared" si="150"/>
        <v>0</v>
      </c>
      <c r="J313" s="159">
        <f t="shared" si="150"/>
        <v>0</v>
      </c>
      <c r="K313" s="159">
        <f t="shared" si="150"/>
        <v>0</v>
      </c>
      <c r="L313" s="159">
        <f t="shared" si="150"/>
        <v>0</v>
      </c>
      <c r="M313" s="159">
        <f t="shared" si="150"/>
        <v>0</v>
      </c>
      <c r="N313" s="159">
        <f t="shared" si="150"/>
        <v>0</v>
      </c>
      <c r="O313" s="159">
        <f t="shared" si="150"/>
        <v>0</v>
      </c>
      <c r="P313" s="159">
        <f t="shared" si="150"/>
        <v>0</v>
      </c>
      <c r="Q313" s="166"/>
      <c r="R313" s="166"/>
      <c r="S313" s="166"/>
      <c r="T313" s="166"/>
      <c r="U313" s="166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130"/>
      <c r="DN313" s="130"/>
      <c r="DO313" s="130"/>
      <c r="DP313" s="130"/>
      <c r="DQ313" s="130"/>
      <c r="DR313" s="130"/>
      <c r="DS313" s="130"/>
      <c r="DT313" s="130"/>
      <c r="DU313" s="130"/>
      <c r="DV313" s="130"/>
      <c r="DW313" s="130"/>
      <c r="DX313" s="130"/>
      <c r="DY313" s="130"/>
      <c r="DZ313" s="130"/>
      <c r="EA313" s="130"/>
      <c r="EB313" s="130"/>
      <c r="EC313" s="130"/>
      <c r="ED313" s="130"/>
      <c r="EE313" s="130"/>
      <c r="EF313" s="130"/>
      <c r="EG313" s="130"/>
      <c r="EH313" s="130"/>
      <c r="EI313" s="130"/>
      <c r="EJ313" s="130"/>
      <c r="EK313" s="130"/>
      <c r="EL313" s="130"/>
      <c r="EM313" s="130"/>
      <c r="EN313" s="130"/>
      <c r="EO313" s="130"/>
      <c r="EP313" s="130"/>
      <c r="EQ313" s="130"/>
      <c r="ER313" s="130"/>
      <c r="ES313" s="130"/>
      <c r="ET313" s="130"/>
      <c r="EU313" s="130"/>
      <c r="EV313" s="130"/>
      <c r="EW313" s="130"/>
      <c r="EX313" s="130"/>
      <c r="EY313" s="130"/>
      <c r="EZ313" s="130"/>
      <c r="FA313" s="130"/>
      <c r="FB313" s="130"/>
      <c r="FC313" s="130"/>
      <c r="FD313" s="130"/>
      <c r="FE313" s="130"/>
      <c r="FF313" s="130"/>
      <c r="FG313" s="130"/>
      <c r="FH313" s="130"/>
      <c r="FI313" s="130"/>
      <c r="FJ313" s="130"/>
      <c r="FK313" s="130"/>
      <c r="FL313" s="130"/>
      <c r="FM313" s="130"/>
      <c r="FN313" s="130"/>
      <c r="FO313" s="130"/>
      <c r="FP313" s="130"/>
      <c r="FQ313" s="130"/>
      <c r="FR313" s="130"/>
      <c r="FS313" s="130"/>
      <c r="FT313" s="130"/>
      <c r="FU313" s="130"/>
      <c r="FV313" s="130"/>
      <c r="FW313" s="130"/>
      <c r="FX313" s="130"/>
      <c r="FY313" s="130"/>
      <c r="FZ313" s="130"/>
      <c r="GA313" s="130"/>
      <c r="GB313" s="130"/>
      <c r="GC313" s="130"/>
      <c r="GD313" s="130"/>
      <c r="GE313" s="130"/>
      <c r="GF313" s="130"/>
      <c r="GG313" s="130"/>
      <c r="GH313" s="130"/>
      <c r="GI313" s="130"/>
      <c r="GJ313" s="130"/>
      <c r="GK313" s="130"/>
      <c r="GL313" s="130"/>
      <c r="GM313" s="130"/>
      <c r="GN313" s="130"/>
      <c r="GO313" s="130"/>
      <c r="GP313" s="130"/>
      <c r="GQ313" s="130"/>
      <c r="GR313" s="130"/>
      <c r="GS313" s="130"/>
      <c r="GT313" s="130"/>
      <c r="GU313" s="130"/>
      <c r="GV313" s="130"/>
      <c r="GW313" s="130"/>
      <c r="GX313" s="130"/>
      <c r="GY313" s="130"/>
      <c r="GZ313" s="130"/>
      <c r="HA313" s="130"/>
      <c r="HB313" s="130"/>
      <c r="HC313" s="130"/>
      <c r="HD313" s="130"/>
      <c r="HE313" s="130"/>
      <c r="HF313" s="130"/>
      <c r="HG313" s="130"/>
      <c r="HH313" s="130"/>
      <c r="HI313" s="130"/>
      <c r="HJ313" s="130"/>
      <c r="HK313" s="130"/>
      <c r="HL313" s="130"/>
      <c r="HM313" s="130"/>
      <c r="HN313" s="130"/>
      <c r="HO313" s="130"/>
      <c r="HP313" s="130"/>
      <c r="HQ313" s="130"/>
      <c r="HR313" s="130"/>
      <c r="HS313" s="130"/>
      <c r="HT313" s="130"/>
      <c r="HU313" s="130"/>
      <c r="HV313" s="130"/>
      <c r="HW313" s="130"/>
      <c r="HX313" s="130"/>
      <c r="HY313" s="130"/>
      <c r="HZ313" s="130"/>
      <c r="IA313" s="130"/>
      <c r="IB313" s="130"/>
      <c r="IC313" s="130"/>
      <c r="ID313" s="130"/>
      <c r="IE313" s="130"/>
      <c r="IF313" s="130"/>
      <c r="IG313" s="130"/>
      <c r="IH313" s="130"/>
      <c r="II313" s="130"/>
      <c r="IJ313" s="130"/>
      <c r="IK313" s="130"/>
      <c r="IL313" s="130"/>
      <c r="IM313" s="130"/>
      <c r="IN313" s="130"/>
      <c r="IO313" s="130"/>
      <c r="IP313" s="130"/>
      <c r="IQ313" s="130"/>
      <c r="IR313" s="130"/>
      <c r="IS313" s="130"/>
      <c r="IT313" s="130"/>
      <c r="IU313" s="130"/>
      <c r="IV313" s="130"/>
    </row>
    <row r="314" spans="1:256">
      <c r="A314" s="823">
        <v>85495</v>
      </c>
      <c r="B314" s="826" t="s">
        <v>103</v>
      </c>
      <c r="C314" s="157" t="s">
        <v>0</v>
      </c>
      <c r="D314" s="158">
        <f t="shared" si="141"/>
        <v>742591</v>
      </c>
      <c r="E314" s="159">
        <f t="shared" si="142"/>
        <v>742591</v>
      </c>
      <c r="F314" s="159">
        <f t="shared" si="143"/>
        <v>698591</v>
      </c>
      <c r="G314" s="159">
        <v>0</v>
      </c>
      <c r="H314" s="159">
        <f>10000+40000+450000+198591</f>
        <v>698591</v>
      </c>
      <c r="I314" s="159">
        <v>0</v>
      </c>
      <c r="J314" s="159">
        <v>44000</v>
      </c>
      <c r="K314" s="159">
        <v>0</v>
      </c>
      <c r="L314" s="159">
        <v>0</v>
      </c>
      <c r="M314" s="159">
        <f t="shared" si="144"/>
        <v>0</v>
      </c>
      <c r="N314" s="159">
        <v>0</v>
      </c>
      <c r="O314" s="159">
        <v>0</v>
      </c>
      <c r="P314" s="159">
        <v>0</v>
      </c>
      <c r="Q314" s="166"/>
      <c r="R314" s="166"/>
      <c r="S314" s="166"/>
      <c r="T314" s="166"/>
      <c r="U314" s="166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130"/>
      <c r="DN314" s="130"/>
      <c r="DO314" s="130"/>
      <c r="DP314" s="130"/>
      <c r="DQ314" s="130"/>
      <c r="DR314" s="130"/>
      <c r="DS314" s="130"/>
      <c r="DT314" s="130"/>
      <c r="DU314" s="130"/>
      <c r="DV314" s="130"/>
      <c r="DW314" s="130"/>
      <c r="DX314" s="130"/>
      <c r="DY314" s="130"/>
      <c r="DZ314" s="130"/>
      <c r="EA314" s="130"/>
      <c r="EB314" s="130"/>
      <c r="EC314" s="130"/>
      <c r="ED314" s="130"/>
      <c r="EE314" s="130"/>
      <c r="EF314" s="130"/>
      <c r="EG314" s="130"/>
      <c r="EH314" s="130"/>
      <c r="EI314" s="130"/>
      <c r="EJ314" s="130"/>
      <c r="EK314" s="130"/>
      <c r="EL314" s="130"/>
      <c r="EM314" s="130"/>
      <c r="EN314" s="130"/>
      <c r="EO314" s="130"/>
      <c r="EP314" s="130"/>
      <c r="EQ314" s="130"/>
      <c r="ER314" s="130"/>
      <c r="ES314" s="130"/>
      <c r="ET314" s="130"/>
      <c r="EU314" s="130"/>
      <c r="EV314" s="130"/>
      <c r="EW314" s="130"/>
      <c r="EX314" s="130"/>
      <c r="EY314" s="130"/>
      <c r="EZ314" s="130"/>
      <c r="FA314" s="130"/>
      <c r="FB314" s="130"/>
      <c r="FC314" s="130"/>
      <c r="FD314" s="130"/>
      <c r="FE314" s="130"/>
      <c r="FF314" s="130"/>
      <c r="FG314" s="130"/>
      <c r="FH314" s="130"/>
      <c r="FI314" s="130"/>
      <c r="FJ314" s="130"/>
      <c r="FK314" s="130"/>
      <c r="FL314" s="130"/>
      <c r="FM314" s="130"/>
      <c r="FN314" s="130"/>
      <c r="FO314" s="130"/>
      <c r="FP314" s="130"/>
      <c r="FQ314" s="130"/>
      <c r="FR314" s="130"/>
      <c r="FS314" s="130"/>
      <c r="FT314" s="130"/>
      <c r="FU314" s="130"/>
      <c r="FV314" s="130"/>
      <c r="FW314" s="130"/>
      <c r="FX314" s="130"/>
      <c r="FY314" s="130"/>
      <c r="FZ314" s="130"/>
      <c r="GA314" s="130"/>
      <c r="GB314" s="130"/>
      <c r="GC314" s="130"/>
      <c r="GD314" s="130"/>
      <c r="GE314" s="130"/>
      <c r="GF314" s="130"/>
      <c r="GG314" s="130"/>
      <c r="GH314" s="130"/>
      <c r="GI314" s="130"/>
      <c r="GJ314" s="130"/>
      <c r="GK314" s="130"/>
      <c r="GL314" s="130"/>
      <c r="GM314" s="130"/>
      <c r="GN314" s="130"/>
      <c r="GO314" s="130"/>
      <c r="GP314" s="130"/>
      <c r="GQ314" s="130"/>
      <c r="GR314" s="130"/>
      <c r="GS314" s="130"/>
      <c r="GT314" s="130"/>
      <c r="GU314" s="130"/>
      <c r="GV314" s="130"/>
      <c r="GW314" s="130"/>
      <c r="GX314" s="130"/>
      <c r="GY314" s="130"/>
      <c r="GZ314" s="130"/>
      <c r="HA314" s="130"/>
      <c r="HB314" s="130"/>
      <c r="HC314" s="130"/>
      <c r="HD314" s="130"/>
      <c r="HE314" s="130"/>
      <c r="HF314" s="130"/>
      <c r="HG314" s="130"/>
      <c r="HH314" s="130"/>
      <c r="HI314" s="130"/>
      <c r="HJ314" s="130"/>
      <c r="HK314" s="130"/>
      <c r="HL314" s="130"/>
      <c r="HM314" s="130"/>
      <c r="HN314" s="130"/>
      <c r="HO314" s="130"/>
      <c r="HP314" s="130"/>
      <c r="HQ314" s="130"/>
      <c r="HR314" s="130"/>
      <c r="HS314" s="130"/>
      <c r="HT314" s="130"/>
      <c r="HU314" s="130"/>
      <c r="HV314" s="130"/>
      <c r="HW314" s="130"/>
      <c r="HX314" s="130"/>
      <c r="HY314" s="130"/>
      <c r="HZ314" s="130"/>
      <c r="IA314" s="130"/>
      <c r="IB314" s="130"/>
      <c r="IC314" s="130"/>
      <c r="ID314" s="130"/>
      <c r="IE314" s="130"/>
      <c r="IF314" s="130"/>
      <c r="IG314" s="130"/>
      <c r="IH314" s="130"/>
      <c r="II314" s="130"/>
      <c r="IJ314" s="130"/>
      <c r="IK314" s="130"/>
      <c r="IL314" s="130"/>
      <c r="IM314" s="130"/>
      <c r="IN314" s="130"/>
      <c r="IO314" s="130"/>
      <c r="IP314" s="130"/>
      <c r="IQ314" s="130"/>
      <c r="IR314" s="130"/>
      <c r="IS314" s="130"/>
      <c r="IT314" s="130"/>
      <c r="IU314" s="130"/>
      <c r="IV314" s="130"/>
    </row>
    <row r="315" spans="1:256">
      <c r="A315" s="824"/>
      <c r="B315" s="827"/>
      <c r="C315" s="157" t="s">
        <v>1</v>
      </c>
      <c r="D315" s="158">
        <f t="shared" si="141"/>
        <v>275000</v>
      </c>
      <c r="E315" s="159">
        <f t="shared" si="142"/>
        <v>275000</v>
      </c>
      <c r="F315" s="159">
        <f t="shared" si="143"/>
        <v>0</v>
      </c>
      <c r="G315" s="159"/>
      <c r="H315" s="159"/>
      <c r="I315" s="159">
        <v>275000</v>
      </c>
      <c r="J315" s="159"/>
      <c r="K315" s="159"/>
      <c r="L315" s="159"/>
      <c r="M315" s="159">
        <f t="shared" si="144"/>
        <v>0</v>
      </c>
      <c r="N315" s="159"/>
      <c r="O315" s="159"/>
      <c r="P315" s="159"/>
      <c r="Q315" s="166"/>
      <c r="R315" s="166"/>
      <c r="S315" s="166"/>
      <c r="T315" s="166"/>
      <c r="U315" s="166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130"/>
      <c r="DN315" s="130"/>
      <c r="DO315" s="130"/>
      <c r="DP315" s="130"/>
      <c r="DQ315" s="130"/>
      <c r="DR315" s="130"/>
      <c r="DS315" s="130"/>
      <c r="DT315" s="130"/>
      <c r="DU315" s="130"/>
      <c r="DV315" s="130"/>
      <c r="DW315" s="130"/>
      <c r="DX315" s="130"/>
      <c r="DY315" s="130"/>
      <c r="DZ315" s="130"/>
      <c r="EA315" s="130"/>
      <c r="EB315" s="130"/>
      <c r="EC315" s="130"/>
      <c r="ED315" s="130"/>
      <c r="EE315" s="130"/>
      <c r="EF315" s="130"/>
      <c r="EG315" s="130"/>
      <c r="EH315" s="130"/>
      <c r="EI315" s="130"/>
      <c r="EJ315" s="130"/>
      <c r="EK315" s="130"/>
      <c r="EL315" s="130"/>
      <c r="EM315" s="130"/>
      <c r="EN315" s="130"/>
      <c r="EO315" s="130"/>
      <c r="EP315" s="130"/>
      <c r="EQ315" s="130"/>
      <c r="ER315" s="130"/>
      <c r="ES315" s="130"/>
      <c r="ET315" s="130"/>
      <c r="EU315" s="130"/>
      <c r="EV315" s="130"/>
      <c r="EW315" s="130"/>
      <c r="EX315" s="130"/>
      <c r="EY315" s="130"/>
      <c r="EZ315" s="130"/>
      <c r="FA315" s="130"/>
      <c r="FB315" s="130"/>
      <c r="FC315" s="130"/>
      <c r="FD315" s="130"/>
      <c r="FE315" s="130"/>
      <c r="FF315" s="130"/>
      <c r="FG315" s="130"/>
      <c r="FH315" s="130"/>
      <c r="FI315" s="130"/>
      <c r="FJ315" s="130"/>
      <c r="FK315" s="130"/>
      <c r="FL315" s="130"/>
      <c r="FM315" s="130"/>
      <c r="FN315" s="130"/>
      <c r="FO315" s="130"/>
      <c r="FP315" s="130"/>
      <c r="FQ315" s="130"/>
      <c r="FR315" s="130"/>
      <c r="FS315" s="130"/>
      <c r="FT315" s="130"/>
      <c r="FU315" s="130"/>
      <c r="FV315" s="130"/>
      <c r="FW315" s="130"/>
      <c r="FX315" s="130"/>
      <c r="FY315" s="130"/>
      <c r="FZ315" s="130"/>
      <c r="GA315" s="130"/>
      <c r="GB315" s="130"/>
      <c r="GC315" s="130"/>
      <c r="GD315" s="130"/>
      <c r="GE315" s="130"/>
      <c r="GF315" s="130"/>
      <c r="GG315" s="130"/>
      <c r="GH315" s="130"/>
      <c r="GI315" s="130"/>
      <c r="GJ315" s="130"/>
      <c r="GK315" s="130"/>
      <c r="GL315" s="130"/>
      <c r="GM315" s="130"/>
      <c r="GN315" s="130"/>
      <c r="GO315" s="130"/>
      <c r="GP315" s="130"/>
      <c r="GQ315" s="130"/>
      <c r="GR315" s="130"/>
      <c r="GS315" s="130"/>
      <c r="GT315" s="130"/>
      <c r="GU315" s="130"/>
      <c r="GV315" s="130"/>
      <c r="GW315" s="130"/>
      <c r="GX315" s="130"/>
      <c r="GY315" s="130"/>
      <c r="GZ315" s="130"/>
      <c r="HA315" s="130"/>
      <c r="HB315" s="130"/>
      <c r="HC315" s="130"/>
      <c r="HD315" s="130"/>
      <c r="HE315" s="130"/>
      <c r="HF315" s="130"/>
      <c r="HG315" s="130"/>
      <c r="HH315" s="130"/>
      <c r="HI315" s="130"/>
      <c r="HJ315" s="130"/>
      <c r="HK315" s="130"/>
      <c r="HL315" s="130"/>
      <c r="HM315" s="130"/>
      <c r="HN315" s="130"/>
      <c r="HO315" s="130"/>
      <c r="HP315" s="130"/>
      <c r="HQ315" s="130"/>
      <c r="HR315" s="130"/>
      <c r="HS315" s="130"/>
      <c r="HT315" s="130"/>
      <c r="HU315" s="130"/>
      <c r="HV315" s="130"/>
      <c r="HW315" s="130"/>
      <c r="HX315" s="130"/>
      <c r="HY315" s="130"/>
      <c r="HZ315" s="130"/>
      <c r="IA315" s="130"/>
      <c r="IB315" s="130"/>
      <c r="IC315" s="130"/>
      <c r="ID315" s="130"/>
      <c r="IE315" s="130"/>
      <c r="IF315" s="130"/>
      <c r="IG315" s="130"/>
      <c r="IH315" s="130"/>
      <c r="II315" s="130"/>
      <c r="IJ315" s="130"/>
      <c r="IK315" s="130"/>
      <c r="IL315" s="130"/>
      <c r="IM315" s="130"/>
      <c r="IN315" s="130"/>
      <c r="IO315" s="130"/>
      <c r="IP315" s="130"/>
      <c r="IQ315" s="130"/>
      <c r="IR315" s="130"/>
      <c r="IS315" s="130"/>
      <c r="IT315" s="130"/>
      <c r="IU315" s="130"/>
      <c r="IV315" s="130"/>
    </row>
    <row r="316" spans="1:256">
      <c r="A316" s="825"/>
      <c r="B316" s="828"/>
      <c r="C316" s="157" t="s">
        <v>2</v>
      </c>
      <c r="D316" s="158">
        <f>D315+D314</f>
        <v>1017591</v>
      </c>
      <c r="E316" s="159">
        <f t="shared" ref="E316:P316" si="151">E315+E314</f>
        <v>1017591</v>
      </c>
      <c r="F316" s="159">
        <f t="shared" si="151"/>
        <v>698591</v>
      </c>
      <c r="G316" s="159">
        <f t="shared" si="151"/>
        <v>0</v>
      </c>
      <c r="H316" s="159">
        <f t="shared" si="151"/>
        <v>698591</v>
      </c>
      <c r="I316" s="159">
        <f t="shared" si="151"/>
        <v>275000</v>
      </c>
      <c r="J316" s="159">
        <f t="shared" si="151"/>
        <v>44000</v>
      </c>
      <c r="K316" s="159">
        <f t="shared" si="151"/>
        <v>0</v>
      </c>
      <c r="L316" s="159">
        <f t="shared" si="151"/>
        <v>0</v>
      </c>
      <c r="M316" s="159">
        <f t="shared" si="151"/>
        <v>0</v>
      </c>
      <c r="N316" s="159">
        <f t="shared" si="151"/>
        <v>0</v>
      </c>
      <c r="O316" s="159">
        <f t="shared" si="151"/>
        <v>0</v>
      </c>
      <c r="P316" s="159">
        <f t="shared" si="151"/>
        <v>0</v>
      </c>
      <c r="Q316" s="166"/>
      <c r="R316" s="166"/>
      <c r="S316" s="166"/>
      <c r="T316" s="166"/>
      <c r="U316" s="166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130"/>
      <c r="DN316" s="130"/>
      <c r="DO316" s="130"/>
      <c r="DP316" s="130"/>
      <c r="DQ316" s="130"/>
      <c r="DR316" s="130"/>
      <c r="DS316" s="130"/>
      <c r="DT316" s="130"/>
      <c r="DU316" s="130"/>
      <c r="DV316" s="130"/>
      <c r="DW316" s="130"/>
      <c r="DX316" s="130"/>
      <c r="DY316" s="130"/>
      <c r="DZ316" s="130"/>
      <c r="EA316" s="130"/>
      <c r="EB316" s="130"/>
      <c r="EC316" s="130"/>
      <c r="ED316" s="130"/>
      <c r="EE316" s="130"/>
      <c r="EF316" s="130"/>
      <c r="EG316" s="130"/>
      <c r="EH316" s="130"/>
      <c r="EI316" s="130"/>
      <c r="EJ316" s="130"/>
      <c r="EK316" s="130"/>
      <c r="EL316" s="130"/>
      <c r="EM316" s="130"/>
      <c r="EN316" s="130"/>
      <c r="EO316" s="130"/>
      <c r="EP316" s="130"/>
      <c r="EQ316" s="130"/>
      <c r="ER316" s="130"/>
      <c r="ES316" s="130"/>
      <c r="ET316" s="130"/>
      <c r="EU316" s="130"/>
      <c r="EV316" s="130"/>
      <c r="EW316" s="130"/>
      <c r="EX316" s="130"/>
      <c r="EY316" s="130"/>
      <c r="EZ316" s="130"/>
      <c r="FA316" s="130"/>
      <c r="FB316" s="130"/>
      <c r="FC316" s="130"/>
      <c r="FD316" s="130"/>
      <c r="FE316" s="130"/>
      <c r="FF316" s="130"/>
      <c r="FG316" s="130"/>
      <c r="FH316" s="130"/>
      <c r="FI316" s="130"/>
      <c r="FJ316" s="130"/>
      <c r="FK316" s="130"/>
      <c r="FL316" s="130"/>
      <c r="FM316" s="130"/>
      <c r="FN316" s="130"/>
      <c r="FO316" s="130"/>
      <c r="FP316" s="130"/>
      <c r="FQ316" s="130"/>
      <c r="FR316" s="130"/>
      <c r="FS316" s="130"/>
      <c r="FT316" s="130"/>
      <c r="FU316" s="130"/>
      <c r="FV316" s="130"/>
      <c r="FW316" s="130"/>
      <c r="FX316" s="130"/>
      <c r="FY316" s="130"/>
      <c r="FZ316" s="130"/>
      <c r="GA316" s="130"/>
      <c r="GB316" s="130"/>
      <c r="GC316" s="130"/>
      <c r="GD316" s="130"/>
      <c r="GE316" s="130"/>
      <c r="GF316" s="130"/>
      <c r="GG316" s="130"/>
      <c r="GH316" s="130"/>
      <c r="GI316" s="130"/>
      <c r="GJ316" s="130"/>
      <c r="GK316" s="130"/>
      <c r="GL316" s="130"/>
      <c r="GM316" s="130"/>
      <c r="GN316" s="130"/>
      <c r="GO316" s="130"/>
      <c r="GP316" s="130"/>
      <c r="GQ316" s="130"/>
      <c r="GR316" s="130"/>
      <c r="GS316" s="130"/>
      <c r="GT316" s="130"/>
      <c r="GU316" s="130"/>
      <c r="GV316" s="130"/>
      <c r="GW316" s="130"/>
      <c r="GX316" s="130"/>
      <c r="GY316" s="130"/>
      <c r="GZ316" s="130"/>
      <c r="HA316" s="130"/>
      <c r="HB316" s="130"/>
      <c r="HC316" s="130"/>
      <c r="HD316" s="130"/>
      <c r="HE316" s="130"/>
      <c r="HF316" s="130"/>
      <c r="HG316" s="130"/>
      <c r="HH316" s="130"/>
      <c r="HI316" s="130"/>
      <c r="HJ316" s="130"/>
      <c r="HK316" s="130"/>
      <c r="HL316" s="130"/>
      <c r="HM316" s="130"/>
      <c r="HN316" s="130"/>
      <c r="HO316" s="130"/>
      <c r="HP316" s="130"/>
      <c r="HQ316" s="130"/>
      <c r="HR316" s="130"/>
      <c r="HS316" s="130"/>
      <c r="HT316" s="130"/>
      <c r="HU316" s="130"/>
      <c r="HV316" s="130"/>
      <c r="HW316" s="130"/>
      <c r="HX316" s="130"/>
      <c r="HY316" s="130"/>
      <c r="HZ316" s="130"/>
      <c r="IA316" s="130"/>
      <c r="IB316" s="130"/>
      <c r="IC316" s="130"/>
      <c r="ID316" s="130"/>
      <c r="IE316" s="130"/>
      <c r="IF316" s="130"/>
      <c r="IG316" s="130"/>
      <c r="IH316" s="130"/>
      <c r="II316" s="130"/>
      <c r="IJ316" s="130"/>
      <c r="IK316" s="130"/>
      <c r="IL316" s="130"/>
      <c r="IM316" s="130"/>
      <c r="IN316" s="130"/>
      <c r="IO316" s="130"/>
      <c r="IP316" s="130"/>
      <c r="IQ316" s="130"/>
      <c r="IR316" s="130"/>
      <c r="IS316" s="130"/>
      <c r="IT316" s="130"/>
      <c r="IU316" s="130"/>
      <c r="IV316" s="130"/>
    </row>
    <row r="317" spans="1:256" ht="15">
      <c r="A317" s="835">
        <v>855</v>
      </c>
      <c r="B317" s="838" t="s">
        <v>83</v>
      </c>
      <c r="C317" s="161" t="s">
        <v>0</v>
      </c>
      <c r="D317" s="162">
        <f t="shared" ref="D317:P318" si="152">D320+D323</f>
        <v>22408777.399999999</v>
      </c>
      <c r="E317" s="163">
        <f t="shared" si="152"/>
        <v>22408777.399999999</v>
      </c>
      <c r="F317" s="163">
        <f t="shared" si="152"/>
        <v>4681413</v>
      </c>
      <c r="G317" s="163">
        <f t="shared" si="152"/>
        <v>3918867</v>
      </c>
      <c r="H317" s="163">
        <f t="shared" si="152"/>
        <v>762546</v>
      </c>
      <c r="I317" s="163">
        <f t="shared" si="152"/>
        <v>1675839.4</v>
      </c>
      <c r="J317" s="163">
        <f t="shared" si="152"/>
        <v>8250</v>
      </c>
      <c r="K317" s="163">
        <f t="shared" si="152"/>
        <v>16043275</v>
      </c>
      <c r="L317" s="163">
        <f t="shared" si="152"/>
        <v>0</v>
      </c>
      <c r="M317" s="163">
        <f t="shared" si="152"/>
        <v>0</v>
      </c>
      <c r="N317" s="163">
        <f t="shared" si="152"/>
        <v>0</v>
      </c>
      <c r="O317" s="163">
        <f t="shared" si="152"/>
        <v>0</v>
      </c>
      <c r="P317" s="163">
        <f t="shared" si="152"/>
        <v>0</v>
      </c>
      <c r="Q317" s="171"/>
      <c r="R317" s="171"/>
      <c r="S317" s="171"/>
      <c r="T317" s="171"/>
      <c r="U317" s="171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2"/>
      <c r="BR317" s="172"/>
      <c r="BS317" s="172"/>
      <c r="BT317" s="172"/>
      <c r="BU317" s="172"/>
      <c r="BV317" s="172"/>
      <c r="BW317" s="172"/>
      <c r="BX317" s="172"/>
      <c r="BY317" s="172"/>
      <c r="BZ317" s="172"/>
      <c r="CA317" s="172"/>
      <c r="CB317" s="172"/>
      <c r="CC317" s="172"/>
      <c r="CD317" s="172"/>
      <c r="CE317" s="172"/>
      <c r="CF317" s="172"/>
      <c r="CG317" s="172"/>
      <c r="CH317" s="172"/>
      <c r="CI317" s="172"/>
      <c r="CJ317" s="172"/>
      <c r="CK317" s="172"/>
      <c r="CL317" s="172"/>
      <c r="CM317" s="172"/>
      <c r="CN317" s="172"/>
      <c r="CO317" s="172"/>
      <c r="CP317" s="172"/>
      <c r="CQ317" s="172"/>
      <c r="CR317" s="172"/>
      <c r="CS317" s="172"/>
      <c r="CT317" s="172"/>
      <c r="CU317" s="172"/>
      <c r="CV317" s="172"/>
      <c r="CW317" s="172"/>
      <c r="CX317" s="172"/>
      <c r="CY317" s="172"/>
      <c r="CZ317" s="172"/>
      <c r="DA317" s="172"/>
      <c r="DB317" s="172"/>
      <c r="DC317" s="172"/>
      <c r="DD317" s="172"/>
      <c r="DE317" s="172"/>
      <c r="DF317" s="172"/>
      <c r="DG317" s="172"/>
      <c r="DH317" s="172"/>
      <c r="DI317" s="172"/>
      <c r="DJ317" s="172"/>
      <c r="DK317" s="172"/>
      <c r="DL317" s="172"/>
      <c r="DM317" s="172"/>
      <c r="DN317" s="172"/>
      <c r="DO317" s="172"/>
      <c r="DP317" s="172"/>
      <c r="DQ317" s="172"/>
      <c r="DR317" s="172"/>
      <c r="DS317" s="172"/>
      <c r="DT317" s="172"/>
      <c r="DU317" s="172"/>
      <c r="DV317" s="172"/>
      <c r="DW317" s="172"/>
      <c r="DX317" s="172"/>
      <c r="DY317" s="172"/>
      <c r="DZ317" s="172"/>
      <c r="EA317" s="172"/>
      <c r="EB317" s="172"/>
      <c r="EC317" s="172"/>
      <c r="ED317" s="172"/>
      <c r="EE317" s="172"/>
      <c r="EF317" s="172"/>
      <c r="EG317" s="172"/>
      <c r="EH317" s="172"/>
      <c r="EI317" s="172"/>
      <c r="EJ317" s="172"/>
      <c r="EK317" s="172"/>
      <c r="EL317" s="172"/>
      <c r="EM317" s="172"/>
      <c r="EN317" s="172"/>
      <c r="EO317" s="172"/>
      <c r="EP317" s="172"/>
      <c r="EQ317" s="172"/>
      <c r="ER317" s="172"/>
      <c r="ES317" s="172"/>
      <c r="ET317" s="172"/>
      <c r="EU317" s="172"/>
      <c r="EV317" s="172"/>
      <c r="EW317" s="172"/>
      <c r="EX317" s="172"/>
      <c r="EY317" s="172"/>
      <c r="EZ317" s="172"/>
      <c r="FA317" s="172"/>
      <c r="FB317" s="172"/>
      <c r="FC317" s="172"/>
      <c r="FD317" s="172"/>
      <c r="FE317" s="172"/>
      <c r="FF317" s="172"/>
      <c r="FG317" s="172"/>
      <c r="FH317" s="172"/>
      <c r="FI317" s="172"/>
      <c r="FJ317" s="172"/>
      <c r="FK317" s="172"/>
      <c r="FL317" s="172"/>
      <c r="FM317" s="172"/>
      <c r="FN317" s="172"/>
      <c r="FO317" s="172"/>
      <c r="FP317" s="172"/>
      <c r="FQ317" s="172"/>
      <c r="FR317" s="172"/>
      <c r="FS317" s="172"/>
      <c r="FT317" s="172"/>
      <c r="FU317" s="172"/>
      <c r="FV317" s="172"/>
      <c r="FW317" s="172"/>
      <c r="FX317" s="172"/>
      <c r="FY317" s="172"/>
      <c r="FZ317" s="172"/>
      <c r="GA317" s="172"/>
      <c r="GB317" s="172"/>
      <c r="GC317" s="172"/>
      <c r="GD317" s="172"/>
      <c r="GE317" s="172"/>
      <c r="GF317" s="172"/>
      <c r="GG317" s="172"/>
      <c r="GH317" s="172"/>
      <c r="GI317" s="172"/>
      <c r="GJ317" s="172"/>
      <c r="GK317" s="172"/>
      <c r="GL317" s="172"/>
      <c r="GM317" s="172"/>
      <c r="GN317" s="172"/>
      <c r="GO317" s="172"/>
      <c r="GP317" s="172"/>
      <c r="GQ317" s="172"/>
      <c r="GR317" s="172"/>
      <c r="GS317" s="172"/>
      <c r="GT317" s="172"/>
      <c r="GU317" s="172"/>
      <c r="GV317" s="172"/>
      <c r="GW317" s="172"/>
      <c r="GX317" s="172"/>
      <c r="GY317" s="172"/>
      <c r="GZ317" s="172"/>
      <c r="HA317" s="172"/>
      <c r="HB317" s="172"/>
      <c r="HC317" s="172"/>
      <c r="HD317" s="172"/>
      <c r="HE317" s="172"/>
      <c r="HF317" s="172"/>
      <c r="HG317" s="172"/>
      <c r="HH317" s="172"/>
      <c r="HI317" s="172"/>
      <c r="HJ317" s="172"/>
      <c r="HK317" s="172"/>
      <c r="HL317" s="172"/>
      <c r="HM317" s="172"/>
      <c r="HN317" s="172"/>
      <c r="HO317" s="172"/>
      <c r="HP317" s="172"/>
      <c r="HQ317" s="172"/>
      <c r="HR317" s="172"/>
      <c r="HS317" s="172"/>
      <c r="HT317" s="172"/>
      <c r="HU317" s="172"/>
      <c r="HV317" s="172"/>
      <c r="HW317" s="172"/>
      <c r="HX317" s="172"/>
      <c r="HY317" s="172"/>
      <c r="HZ317" s="172"/>
      <c r="IA317" s="172"/>
      <c r="IB317" s="172"/>
      <c r="IC317" s="172"/>
      <c r="ID317" s="172"/>
      <c r="IE317" s="172"/>
      <c r="IF317" s="172"/>
      <c r="IG317" s="172"/>
      <c r="IH317" s="172"/>
      <c r="II317" s="172"/>
      <c r="IJ317" s="172"/>
      <c r="IK317" s="172"/>
      <c r="IL317" s="172"/>
      <c r="IM317" s="172"/>
      <c r="IN317" s="172"/>
      <c r="IO317" s="172"/>
      <c r="IP317" s="172"/>
      <c r="IQ317" s="172"/>
      <c r="IR317" s="172"/>
      <c r="IS317" s="172"/>
      <c r="IT317" s="172"/>
      <c r="IU317" s="172"/>
      <c r="IV317" s="172"/>
    </row>
    <row r="318" spans="1:256" ht="15">
      <c r="A318" s="836"/>
      <c r="B318" s="839"/>
      <c r="C318" s="161" t="s">
        <v>1</v>
      </c>
      <c r="D318" s="162">
        <f t="shared" si="152"/>
        <v>10000</v>
      </c>
      <c r="E318" s="163">
        <f t="shared" si="152"/>
        <v>10000</v>
      </c>
      <c r="F318" s="163">
        <f t="shared" si="152"/>
        <v>8500</v>
      </c>
      <c r="G318" s="163">
        <f t="shared" si="152"/>
        <v>0</v>
      </c>
      <c r="H318" s="163">
        <f t="shared" si="152"/>
        <v>8500</v>
      </c>
      <c r="I318" s="163">
        <f t="shared" si="152"/>
        <v>0</v>
      </c>
      <c r="J318" s="163">
        <f t="shared" si="152"/>
        <v>1500</v>
      </c>
      <c r="K318" s="163">
        <f t="shared" si="152"/>
        <v>0</v>
      </c>
      <c r="L318" s="163">
        <f t="shared" si="152"/>
        <v>0</v>
      </c>
      <c r="M318" s="163">
        <f t="shared" si="152"/>
        <v>0</v>
      </c>
      <c r="N318" s="163">
        <f t="shared" si="152"/>
        <v>0</v>
      </c>
      <c r="O318" s="163">
        <f t="shared" si="152"/>
        <v>0</v>
      </c>
      <c r="P318" s="163">
        <f t="shared" si="152"/>
        <v>0</v>
      </c>
      <c r="Q318" s="171"/>
      <c r="R318" s="171"/>
      <c r="S318" s="171"/>
      <c r="T318" s="171"/>
      <c r="U318" s="171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172"/>
      <c r="BN318" s="172"/>
      <c r="BO318" s="172"/>
      <c r="BP318" s="172"/>
      <c r="BQ318" s="172"/>
      <c r="BR318" s="172"/>
      <c r="BS318" s="172"/>
      <c r="BT318" s="172"/>
      <c r="BU318" s="172"/>
      <c r="BV318" s="172"/>
      <c r="BW318" s="172"/>
      <c r="BX318" s="172"/>
      <c r="BY318" s="172"/>
      <c r="BZ318" s="172"/>
      <c r="CA318" s="172"/>
      <c r="CB318" s="172"/>
      <c r="CC318" s="172"/>
      <c r="CD318" s="172"/>
      <c r="CE318" s="172"/>
      <c r="CF318" s="172"/>
      <c r="CG318" s="172"/>
      <c r="CH318" s="172"/>
      <c r="CI318" s="172"/>
      <c r="CJ318" s="172"/>
      <c r="CK318" s="172"/>
      <c r="CL318" s="172"/>
      <c r="CM318" s="172"/>
      <c r="CN318" s="172"/>
      <c r="CO318" s="172"/>
      <c r="CP318" s="172"/>
      <c r="CQ318" s="172"/>
      <c r="CR318" s="172"/>
      <c r="CS318" s="172"/>
      <c r="CT318" s="172"/>
      <c r="CU318" s="172"/>
      <c r="CV318" s="172"/>
      <c r="CW318" s="172"/>
      <c r="CX318" s="172"/>
      <c r="CY318" s="172"/>
      <c r="CZ318" s="172"/>
      <c r="DA318" s="172"/>
      <c r="DB318" s="172"/>
      <c r="DC318" s="172"/>
      <c r="DD318" s="172"/>
      <c r="DE318" s="172"/>
      <c r="DF318" s="172"/>
      <c r="DG318" s="172"/>
      <c r="DH318" s="172"/>
      <c r="DI318" s="172"/>
      <c r="DJ318" s="172"/>
      <c r="DK318" s="172"/>
      <c r="DL318" s="172"/>
      <c r="DM318" s="172"/>
      <c r="DN318" s="172"/>
      <c r="DO318" s="172"/>
      <c r="DP318" s="172"/>
      <c r="DQ318" s="172"/>
      <c r="DR318" s="172"/>
      <c r="DS318" s="172"/>
      <c r="DT318" s="172"/>
      <c r="DU318" s="172"/>
      <c r="DV318" s="172"/>
      <c r="DW318" s="172"/>
      <c r="DX318" s="172"/>
      <c r="DY318" s="172"/>
      <c r="DZ318" s="172"/>
      <c r="EA318" s="172"/>
      <c r="EB318" s="172"/>
      <c r="EC318" s="172"/>
      <c r="ED318" s="172"/>
      <c r="EE318" s="172"/>
      <c r="EF318" s="172"/>
      <c r="EG318" s="172"/>
      <c r="EH318" s="172"/>
      <c r="EI318" s="172"/>
      <c r="EJ318" s="172"/>
      <c r="EK318" s="172"/>
      <c r="EL318" s="172"/>
      <c r="EM318" s="172"/>
      <c r="EN318" s="172"/>
      <c r="EO318" s="172"/>
      <c r="EP318" s="172"/>
      <c r="EQ318" s="172"/>
      <c r="ER318" s="172"/>
      <c r="ES318" s="172"/>
      <c r="ET318" s="172"/>
      <c r="EU318" s="172"/>
      <c r="EV318" s="172"/>
      <c r="EW318" s="172"/>
      <c r="EX318" s="172"/>
      <c r="EY318" s="172"/>
      <c r="EZ318" s="172"/>
      <c r="FA318" s="172"/>
      <c r="FB318" s="172"/>
      <c r="FC318" s="172"/>
      <c r="FD318" s="172"/>
      <c r="FE318" s="172"/>
      <c r="FF318" s="172"/>
      <c r="FG318" s="172"/>
      <c r="FH318" s="172"/>
      <c r="FI318" s="172"/>
      <c r="FJ318" s="172"/>
      <c r="FK318" s="172"/>
      <c r="FL318" s="172"/>
      <c r="FM318" s="172"/>
      <c r="FN318" s="172"/>
      <c r="FO318" s="172"/>
      <c r="FP318" s="172"/>
      <c r="FQ318" s="172"/>
      <c r="FR318" s="172"/>
      <c r="FS318" s="172"/>
      <c r="FT318" s="172"/>
      <c r="FU318" s="172"/>
      <c r="FV318" s="172"/>
      <c r="FW318" s="172"/>
      <c r="FX318" s="172"/>
      <c r="FY318" s="172"/>
      <c r="FZ318" s="172"/>
      <c r="GA318" s="172"/>
      <c r="GB318" s="172"/>
      <c r="GC318" s="172"/>
      <c r="GD318" s="172"/>
      <c r="GE318" s="172"/>
      <c r="GF318" s="172"/>
      <c r="GG318" s="172"/>
      <c r="GH318" s="172"/>
      <c r="GI318" s="172"/>
      <c r="GJ318" s="172"/>
      <c r="GK318" s="172"/>
      <c r="GL318" s="172"/>
      <c r="GM318" s="172"/>
      <c r="GN318" s="172"/>
      <c r="GO318" s="172"/>
      <c r="GP318" s="172"/>
      <c r="GQ318" s="172"/>
      <c r="GR318" s="172"/>
      <c r="GS318" s="172"/>
      <c r="GT318" s="172"/>
      <c r="GU318" s="172"/>
      <c r="GV318" s="172"/>
      <c r="GW318" s="172"/>
      <c r="GX318" s="172"/>
      <c r="GY318" s="172"/>
      <c r="GZ318" s="172"/>
      <c r="HA318" s="172"/>
      <c r="HB318" s="172"/>
      <c r="HC318" s="172"/>
      <c r="HD318" s="172"/>
      <c r="HE318" s="172"/>
      <c r="HF318" s="172"/>
      <c r="HG318" s="172"/>
      <c r="HH318" s="172"/>
      <c r="HI318" s="172"/>
      <c r="HJ318" s="172"/>
      <c r="HK318" s="172"/>
      <c r="HL318" s="172"/>
      <c r="HM318" s="172"/>
      <c r="HN318" s="172"/>
      <c r="HO318" s="172"/>
      <c r="HP318" s="172"/>
      <c r="HQ318" s="172"/>
      <c r="HR318" s="172"/>
      <c r="HS318" s="172"/>
      <c r="HT318" s="172"/>
      <c r="HU318" s="172"/>
      <c r="HV318" s="172"/>
      <c r="HW318" s="172"/>
      <c r="HX318" s="172"/>
      <c r="HY318" s="172"/>
      <c r="HZ318" s="172"/>
      <c r="IA318" s="172"/>
      <c r="IB318" s="172"/>
      <c r="IC318" s="172"/>
      <c r="ID318" s="172"/>
      <c r="IE318" s="172"/>
      <c r="IF318" s="172"/>
      <c r="IG318" s="172"/>
      <c r="IH318" s="172"/>
      <c r="II318" s="172"/>
      <c r="IJ318" s="172"/>
      <c r="IK318" s="172"/>
      <c r="IL318" s="172"/>
      <c r="IM318" s="172"/>
      <c r="IN318" s="172"/>
      <c r="IO318" s="172"/>
      <c r="IP318" s="172"/>
      <c r="IQ318" s="172"/>
      <c r="IR318" s="172"/>
      <c r="IS318" s="172"/>
      <c r="IT318" s="172"/>
      <c r="IU318" s="172"/>
      <c r="IV318" s="172"/>
    </row>
    <row r="319" spans="1:256" ht="15">
      <c r="A319" s="837"/>
      <c r="B319" s="840"/>
      <c r="C319" s="161" t="s">
        <v>2</v>
      </c>
      <c r="D319" s="162">
        <f>D318+D317</f>
        <v>22418777.399999999</v>
      </c>
      <c r="E319" s="163">
        <f t="shared" ref="E319:P319" si="153">E318+E317</f>
        <v>22418777.399999999</v>
      </c>
      <c r="F319" s="163">
        <f t="shared" si="153"/>
        <v>4689913</v>
      </c>
      <c r="G319" s="163">
        <f t="shared" si="153"/>
        <v>3918867</v>
      </c>
      <c r="H319" s="163">
        <f t="shared" si="153"/>
        <v>771046</v>
      </c>
      <c r="I319" s="163">
        <f t="shared" si="153"/>
        <v>1675839.4</v>
      </c>
      <c r="J319" s="163">
        <f t="shared" si="153"/>
        <v>9750</v>
      </c>
      <c r="K319" s="163">
        <f t="shared" si="153"/>
        <v>16043275</v>
      </c>
      <c r="L319" s="163">
        <f t="shared" si="153"/>
        <v>0</v>
      </c>
      <c r="M319" s="163">
        <f t="shared" si="153"/>
        <v>0</v>
      </c>
      <c r="N319" s="163">
        <f t="shared" si="153"/>
        <v>0</v>
      </c>
      <c r="O319" s="163">
        <f t="shared" si="153"/>
        <v>0</v>
      </c>
      <c r="P319" s="163">
        <f t="shared" si="153"/>
        <v>0</v>
      </c>
      <c r="Q319" s="171"/>
      <c r="R319" s="171"/>
      <c r="S319" s="171"/>
      <c r="T319" s="171"/>
      <c r="U319" s="171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172"/>
      <c r="BN319" s="172"/>
      <c r="BO319" s="172"/>
      <c r="BP319" s="172"/>
      <c r="BQ319" s="172"/>
      <c r="BR319" s="172"/>
      <c r="BS319" s="172"/>
      <c r="BT319" s="172"/>
      <c r="BU319" s="172"/>
      <c r="BV319" s="172"/>
      <c r="BW319" s="172"/>
      <c r="BX319" s="172"/>
      <c r="BY319" s="172"/>
      <c r="BZ319" s="172"/>
      <c r="CA319" s="172"/>
      <c r="CB319" s="172"/>
      <c r="CC319" s="172"/>
      <c r="CD319" s="172"/>
      <c r="CE319" s="172"/>
      <c r="CF319" s="172"/>
      <c r="CG319" s="172"/>
      <c r="CH319" s="172"/>
      <c r="CI319" s="172"/>
      <c r="CJ319" s="172"/>
      <c r="CK319" s="172"/>
      <c r="CL319" s="172"/>
      <c r="CM319" s="172"/>
      <c r="CN319" s="172"/>
      <c r="CO319" s="172"/>
      <c r="CP319" s="172"/>
      <c r="CQ319" s="172"/>
      <c r="CR319" s="172"/>
      <c r="CS319" s="172"/>
      <c r="CT319" s="172"/>
      <c r="CU319" s="172"/>
      <c r="CV319" s="172"/>
      <c r="CW319" s="172"/>
      <c r="CX319" s="172"/>
      <c r="CY319" s="172"/>
      <c r="CZ319" s="172"/>
      <c r="DA319" s="172"/>
      <c r="DB319" s="172"/>
      <c r="DC319" s="172"/>
      <c r="DD319" s="172"/>
      <c r="DE319" s="172"/>
      <c r="DF319" s="172"/>
      <c r="DG319" s="172"/>
      <c r="DH319" s="172"/>
      <c r="DI319" s="172"/>
      <c r="DJ319" s="172"/>
      <c r="DK319" s="172"/>
      <c r="DL319" s="172"/>
      <c r="DM319" s="172"/>
      <c r="DN319" s="172"/>
      <c r="DO319" s="172"/>
      <c r="DP319" s="172"/>
      <c r="DQ319" s="172"/>
      <c r="DR319" s="172"/>
      <c r="DS319" s="172"/>
      <c r="DT319" s="172"/>
      <c r="DU319" s="172"/>
      <c r="DV319" s="172"/>
      <c r="DW319" s="172"/>
      <c r="DX319" s="172"/>
      <c r="DY319" s="172"/>
      <c r="DZ319" s="172"/>
      <c r="EA319" s="172"/>
      <c r="EB319" s="172"/>
      <c r="EC319" s="172"/>
      <c r="ED319" s="172"/>
      <c r="EE319" s="172"/>
      <c r="EF319" s="172"/>
      <c r="EG319" s="172"/>
      <c r="EH319" s="172"/>
      <c r="EI319" s="172"/>
      <c r="EJ319" s="172"/>
      <c r="EK319" s="172"/>
      <c r="EL319" s="172"/>
      <c r="EM319" s="172"/>
      <c r="EN319" s="172"/>
      <c r="EO319" s="172"/>
      <c r="EP319" s="172"/>
      <c r="EQ319" s="172"/>
      <c r="ER319" s="172"/>
      <c r="ES319" s="172"/>
      <c r="ET319" s="172"/>
      <c r="EU319" s="172"/>
      <c r="EV319" s="172"/>
      <c r="EW319" s="172"/>
      <c r="EX319" s="172"/>
      <c r="EY319" s="172"/>
      <c r="EZ319" s="172"/>
      <c r="FA319" s="172"/>
      <c r="FB319" s="172"/>
      <c r="FC319" s="172"/>
      <c r="FD319" s="172"/>
      <c r="FE319" s="172"/>
      <c r="FF319" s="172"/>
      <c r="FG319" s="172"/>
      <c r="FH319" s="172"/>
      <c r="FI319" s="172"/>
      <c r="FJ319" s="172"/>
      <c r="FK319" s="172"/>
      <c r="FL319" s="172"/>
      <c r="FM319" s="172"/>
      <c r="FN319" s="172"/>
      <c r="FO319" s="172"/>
      <c r="FP319" s="172"/>
      <c r="FQ319" s="172"/>
      <c r="FR319" s="172"/>
      <c r="FS319" s="172"/>
      <c r="FT319" s="172"/>
      <c r="FU319" s="172"/>
      <c r="FV319" s="172"/>
      <c r="FW319" s="172"/>
      <c r="FX319" s="172"/>
      <c r="FY319" s="172"/>
      <c r="FZ319" s="172"/>
      <c r="GA319" s="172"/>
      <c r="GB319" s="172"/>
      <c r="GC319" s="172"/>
      <c r="GD319" s="172"/>
      <c r="GE319" s="172"/>
      <c r="GF319" s="172"/>
      <c r="GG319" s="172"/>
      <c r="GH319" s="172"/>
      <c r="GI319" s="172"/>
      <c r="GJ319" s="172"/>
      <c r="GK319" s="172"/>
      <c r="GL319" s="172"/>
      <c r="GM319" s="172"/>
      <c r="GN319" s="172"/>
      <c r="GO319" s="172"/>
      <c r="GP319" s="172"/>
      <c r="GQ319" s="172"/>
      <c r="GR319" s="172"/>
      <c r="GS319" s="172"/>
      <c r="GT319" s="172"/>
      <c r="GU319" s="172"/>
      <c r="GV319" s="172"/>
      <c r="GW319" s="172"/>
      <c r="GX319" s="172"/>
      <c r="GY319" s="172"/>
      <c r="GZ319" s="172"/>
      <c r="HA319" s="172"/>
      <c r="HB319" s="172"/>
      <c r="HC319" s="172"/>
      <c r="HD319" s="172"/>
      <c r="HE319" s="172"/>
      <c r="HF319" s="172"/>
      <c r="HG319" s="172"/>
      <c r="HH319" s="172"/>
      <c r="HI319" s="172"/>
      <c r="HJ319" s="172"/>
      <c r="HK319" s="172"/>
      <c r="HL319" s="172"/>
      <c r="HM319" s="172"/>
      <c r="HN319" s="172"/>
      <c r="HO319" s="172"/>
      <c r="HP319" s="172"/>
      <c r="HQ319" s="172"/>
      <c r="HR319" s="172"/>
      <c r="HS319" s="172"/>
      <c r="HT319" s="172"/>
      <c r="HU319" s="172"/>
      <c r="HV319" s="172"/>
      <c r="HW319" s="172"/>
      <c r="HX319" s="172"/>
      <c r="HY319" s="172"/>
      <c r="HZ319" s="172"/>
      <c r="IA319" s="172"/>
      <c r="IB319" s="172"/>
      <c r="IC319" s="172"/>
      <c r="ID319" s="172"/>
      <c r="IE319" s="172"/>
      <c r="IF319" s="172"/>
      <c r="IG319" s="172"/>
      <c r="IH319" s="172"/>
      <c r="II319" s="172"/>
      <c r="IJ319" s="172"/>
      <c r="IK319" s="172"/>
      <c r="IL319" s="172"/>
      <c r="IM319" s="172"/>
      <c r="IN319" s="172"/>
      <c r="IO319" s="172"/>
      <c r="IP319" s="172"/>
      <c r="IQ319" s="172"/>
      <c r="IR319" s="172"/>
      <c r="IS319" s="172"/>
      <c r="IT319" s="172"/>
      <c r="IU319" s="172"/>
      <c r="IV319" s="172"/>
    </row>
    <row r="320" spans="1:256" hidden="1">
      <c r="A320" s="823">
        <v>85509</v>
      </c>
      <c r="B320" s="826" t="s">
        <v>270</v>
      </c>
      <c r="C320" s="157" t="s">
        <v>0</v>
      </c>
      <c r="D320" s="158">
        <f>E320+M320</f>
        <v>4860502.4000000004</v>
      </c>
      <c r="E320" s="159">
        <f>F320+I320+J320+K320+L320</f>
        <v>4860502.4000000004</v>
      </c>
      <c r="F320" s="159">
        <f>G320+H320</f>
        <v>4478913</v>
      </c>
      <c r="G320" s="159">
        <v>3916867</v>
      </c>
      <c r="H320" s="159">
        <v>562046</v>
      </c>
      <c r="I320" s="159">
        <v>375839.4</v>
      </c>
      <c r="J320" s="159">
        <v>5750</v>
      </c>
      <c r="K320" s="159">
        <v>0</v>
      </c>
      <c r="L320" s="159">
        <v>0</v>
      </c>
      <c r="M320" s="159">
        <f>N320+P320</f>
        <v>0</v>
      </c>
      <c r="N320" s="159">
        <v>0</v>
      </c>
      <c r="O320" s="159">
        <v>0</v>
      </c>
      <c r="P320" s="159">
        <v>0</v>
      </c>
      <c r="Q320" s="166"/>
      <c r="R320" s="166"/>
      <c r="S320" s="166"/>
      <c r="T320" s="166"/>
      <c r="U320" s="166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130"/>
      <c r="DN320" s="130"/>
      <c r="DO320" s="130"/>
      <c r="DP320" s="130"/>
      <c r="DQ320" s="130"/>
      <c r="DR320" s="130"/>
      <c r="DS320" s="130"/>
      <c r="DT320" s="130"/>
      <c r="DU320" s="130"/>
      <c r="DV320" s="130"/>
      <c r="DW320" s="130"/>
      <c r="DX320" s="130"/>
      <c r="DY320" s="130"/>
      <c r="DZ320" s="130"/>
      <c r="EA320" s="130"/>
      <c r="EB320" s="130"/>
      <c r="EC320" s="130"/>
      <c r="ED320" s="130"/>
      <c r="EE320" s="130"/>
      <c r="EF320" s="130"/>
      <c r="EG320" s="130"/>
      <c r="EH320" s="130"/>
      <c r="EI320" s="130"/>
      <c r="EJ320" s="130"/>
      <c r="EK320" s="130"/>
      <c r="EL320" s="130"/>
      <c r="EM320" s="130"/>
      <c r="EN320" s="130"/>
      <c r="EO320" s="130"/>
      <c r="EP320" s="130"/>
      <c r="EQ320" s="130"/>
      <c r="ER320" s="130"/>
      <c r="ES320" s="130"/>
      <c r="ET320" s="130"/>
      <c r="EU320" s="130"/>
      <c r="EV320" s="130"/>
      <c r="EW320" s="130"/>
      <c r="EX320" s="130"/>
      <c r="EY320" s="130"/>
      <c r="EZ320" s="130"/>
      <c r="FA320" s="130"/>
      <c r="FB320" s="130"/>
      <c r="FC320" s="130"/>
      <c r="FD320" s="130"/>
      <c r="FE320" s="130"/>
      <c r="FF320" s="130"/>
      <c r="FG320" s="130"/>
      <c r="FH320" s="130"/>
      <c r="FI320" s="130"/>
      <c r="FJ320" s="130"/>
      <c r="FK320" s="130"/>
      <c r="FL320" s="130"/>
      <c r="FM320" s="130"/>
      <c r="FN320" s="130"/>
      <c r="FO320" s="130"/>
      <c r="FP320" s="130"/>
      <c r="FQ320" s="130"/>
      <c r="FR320" s="130"/>
      <c r="FS320" s="130"/>
      <c r="FT320" s="130"/>
      <c r="FU320" s="130"/>
      <c r="FV320" s="130"/>
      <c r="FW320" s="130"/>
      <c r="FX320" s="130"/>
      <c r="FY320" s="130"/>
      <c r="FZ320" s="130"/>
      <c r="GA320" s="130"/>
      <c r="GB320" s="130"/>
      <c r="GC320" s="130"/>
      <c r="GD320" s="130"/>
      <c r="GE320" s="130"/>
      <c r="GF320" s="130"/>
      <c r="GG320" s="130"/>
      <c r="GH320" s="130"/>
      <c r="GI320" s="130"/>
      <c r="GJ320" s="130"/>
      <c r="GK320" s="130"/>
      <c r="GL320" s="130"/>
      <c r="GM320" s="130"/>
      <c r="GN320" s="130"/>
      <c r="GO320" s="130"/>
      <c r="GP320" s="130"/>
      <c r="GQ320" s="130"/>
      <c r="GR320" s="130"/>
      <c r="GS320" s="130"/>
      <c r="GT320" s="130"/>
      <c r="GU320" s="130"/>
      <c r="GV320" s="130"/>
      <c r="GW320" s="130"/>
      <c r="GX320" s="130"/>
      <c r="GY320" s="130"/>
      <c r="GZ320" s="130"/>
      <c r="HA320" s="130"/>
      <c r="HB320" s="130"/>
      <c r="HC320" s="130"/>
      <c r="HD320" s="130"/>
      <c r="HE320" s="130"/>
      <c r="HF320" s="130"/>
      <c r="HG320" s="130"/>
      <c r="HH320" s="130"/>
      <c r="HI320" s="130"/>
      <c r="HJ320" s="130"/>
      <c r="HK320" s="130"/>
      <c r="HL320" s="130"/>
      <c r="HM320" s="130"/>
      <c r="HN320" s="130"/>
      <c r="HO320" s="130"/>
      <c r="HP320" s="130"/>
      <c r="HQ320" s="130"/>
      <c r="HR320" s="130"/>
      <c r="HS320" s="130"/>
      <c r="HT320" s="130"/>
      <c r="HU320" s="130"/>
      <c r="HV320" s="130"/>
      <c r="HW320" s="130"/>
      <c r="HX320" s="130"/>
      <c r="HY320" s="130"/>
      <c r="HZ320" s="130"/>
      <c r="IA320" s="130"/>
      <c r="IB320" s="130"/>
      <c r="IC320" s="130"/>
      <c r="ID320" s="130"/>
      <c r="IE320" s="130"/>
      <c r="IF320" s="130"/>
      <c r="IG320" s="130"/>
      <c r="IH320" s="130"/>
      <c r="II320" s="130"/>
      <c r="IJ320" s="130"/>
      <c r="IK320" s="130"/>
      <c r="IL320" s="130"/>
      <c r="IM320" s="130"/>
      <c r="IN320" s="130"/>
      <c r="IO320" s="130"/>
      <c r="IP320" s="130"/>
      <c r="IQ320" s="130"/>
      <c r="IR320" s="130"/>
      <c r="IS320" s="130"/>
      <c r="IT320" s="130"/>
      <c r="IU320" s="130"/>
      <c r="IV320" s="130"/>
    </row>
    <row r="321" spans="1:256" hidden="1">
      <c r="A321" s="824"/>
      <c r="B321" s="827"/>
      <c r="C321" s="157" t="s">
        <v>1</v>
      </c>
      <c r="D321" s="158">
        <f>E321+M321</f>
        <v>0</v>
      </c>
      <c r="E321" s="159">
        <f>F321+I321+J321+K321+L321</f>
        <v>0</v>
      </c>
      <c r="F321" s="159">
        <f>G321+H321</f>
        <v>0</v>
      </c>
      <c r="G321" s="159"/>
      <c r="H321" s="159"/>
      <c r="I321" s="159"/>
      <c r="J321" s="159"/>
      <c r="K321" s="159"/>
      <c r="L321" s="159"/>
      <c r="M321" s="159">
        <f>N321+P321</f>
        <v>0</v>
      </c>
      <c r="N321" s="159"/>
      <c r="O321" s="159"/>
      <c r="P321" s="159"/>
      <c r="Q321" s="166"/>
      <c r="R321" s="166"/>
      <c r="S321" s="166"/>
      <c r="T321" s="166"/>
      <c r="U321" s="166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130"/>
      <c r="DN321" s="130"/>
      <c r="DO321" s="130"/>
      <c r="DP321" s="130"/>
      <c r="DQ321" s="130"/>
      <c r="DR321" s="130"/>
      <c r="DS321" s="130"/>
      <c r="DT321" s="130"/>
      <c r="DU321" s="130"/>
      <c r="DV321" s="130"/>
      <c r="DW321" s="130"/>
      <c r="DX321" s="130"/>
      <c r="DY321" s="130"/>
      <c r="DZ321" s="130"/>
      <c r="EA321" s="130"/>
      <c r="EB321" s="130"/>
      <c r="EC321" s="130"/>
      <c r="ED321" s="130"/>
      <c r="EE321" s="130"/>
      <c r="EF321" s="130"/>
      <c r="EG321" s="130"/>
      <c r="EH321" s="130"/>
      <c r="EI321" s="130"/>
      <c r="EJ321" s="130"/>
      <c r="EK321" s="130"/>
      <c r="EL321" s="130"/>
      <c r="EM321" s="130"/>
      <c r="EN321" s="130"/>
      <c r="EO321" s="130"/>
      <c r="EP321" s="130"/>
      <c r="EQ321" s="130"/>
      <c r="ER321" s="130"/>
      <c r="ES321" s="130"/>
      <c r="ET321" s="130"/>
      <c r="EU321" s="130"/>
      <c r="EV321" s="130"/>
      <c r="EW321" s="130"/>
      <c r="EX321" s="130"/>
      <c r="EY321" s="130"/>
      <c r="EZ321" s="130"/>
      <c r="FA321" s="130"/>
      <c r="FB321" s="130"/>
      <c r="FC321" s="130"/>
      <c r="FD321" s="130"/>
      <c r="FE321" s="130"/>
      <c r="FF321" s="130"/>
      <c r="FG321" s="130"/>
      <c r="FH321" s="130"/>
      <c r="FI321" s="130"/>
      <c r="FJ321" s="130"/>
      <c r="FK321" s="130"/>
      <c r="FL321" s="130"/>
      <c r="FM321" s="130"/>
      <c r="FN321" s="130"/>
      <c r="FO321" s="130"/>
      <c r="FP321" s="130"/>
      <c r="FQ321" s="130"/>
      <c r="FR321" s="130"/>
      <c r="FS321" s="130"/>
      <c r="FT321" s="130"/>
      <c r="FU321" s="130"/>
      <c r="FV321" s="130"/>
      <c r="FW321" s="130"/>
      <c r="FX321" s="130"/>
      <c r="FY321" s="130"/>
      <c r="FZ321" s="130"/>
      <c r="GA321" s="130"/>
      <c r="GB321" s="130"/>
      <c r="GC321" s="130"/>
      <c r="GD321" s="130"/>
      <c r="GE321" s="130"/>
      <c r="GF321" s="130"/>
      <c r="GG321" s="130"/>
      <c r="GH321" s="130"/>
      <c r="GI321" s="130"/>
      <c r="GJ321" s="130"/>
      <c r="GK321" s="130"/>
      <c r="GL321" s="130"/>
      <c r="GM321" s="130"/>
      <c r="GN321" s="130"/>
      <c r="GO321" s="130"/>
      <c r="GP321" s="130"/>
      <c r="GQ321" s="130"/>
      <c r="GR321" s="130"/>
      <c r="GS321" s="130"/>
      <c r="GT321" s="130"/>
      <c r="GU321" s="130"/>
      <c r="GV321" s="130"/>
      <c r="GW321" s="130"/>
      <c r="GX321" s="130"/>
      <c r="GY321" s="130"/>
      <c r="GZ321" s="130"/>
      <c r="HA321" s="130"/>
      <c r="HB321" s="130"/>
      <c r="HC321" s="130"/>
      <c r="HD321" s="130"/>
      <c r="HE321" s="130"/>
      <c r="HF321" s="130"/>
      <c r="HG321" s="130"/>
      <c r="HH321" s="130"/>
      <c r="HI321" s="130"/>
      <c r="HJ321" s="130"/>
      <c r="HK321" s="130"/>
      <c r="HL321" s="130"/>
      <c r="HM321" s="130"/>
      <c r="HN321" s="130"/>
      <c r="HO321" s="130"/>
      <c r="HP321" s="130"/>
      <c r="HQ321" s="130"/>
      <c r="HR321" s="130"/>
      <c r="HS321" s="130"/>
      <c r="HT321" s="130"/>
      <c r="HU321" s="130"/>
      <c r="HV321" s="130"/>
      <c r="HW321" s="130"/>
      <c r="HX321" s="130"/>
      <c r="HY321" s="130"/>
      <c r="HZ321" s="130"/>
      <c r="IA321" s="130"/>
      <c r="IB321" s="130"/>
      <c r="IC321" s="130"/>
      <c r="ID321" s="130"/>
      <c r="IE321" s="130"/>
      <c r="IF321" s="130"/>
      <c r="IG321" s="130"/>
      <c r="IH321" s="130"/>
      <c r="II321" s="130"/>
      <c r="IJ321" s="130"/>
      <c r="IK321" s="130"/>
      <c r="IL321" s="130"/>
      <c r="IM321" s="130"/>
      <c r="IN321" s="130"/>
      <c r="IO321" s="130"/>
      <c r="IP321" s="130"/>
      <c r="IQ321" s="130"/>
      <c r="IR321" s="130"/>
      <c r="IS321" s="130"/>
      <c r="IT321" s="130"/>
      <c r="IU321" s="130"/>
      <c r="IV321" s="130"/>
    </row>
    <row r="322" spans="1:256" hidden="1">
      <c r="A322" s="825"/>
      <c r="B322" s="828"/>
      <c r="C322" s="157" t="s">
        <v>2</v>
      </c>
      <c r="D322" s="158">
        <f>D321+D320</f>
        <v>4860502.4000000004</v>
      </c>
      <c r="E322" s="159">
        <f t="shared" ref="E322:P322" si="154">E321+E320</f>
        <v>4860502.4000000004</v>
      </c>
      <c r="F322" s="159">
        <f t="shared" si="154"/>
        <v>4478913</v>
      </c>
      <c r="G322" s="159">
        <f t="shared" si="154"/>
        <v>3916867</v>
      </c>
      <c r="H322" s="159">
        <f t="shared" si="154"/>
        <v>562046</v>
      </c>
      <c r="I322" s="159">
        <f t="shared" si="154"/>
        <v>375839.4</v>
      </c>
      <c r="J322" s="159">
        <f t="shared" si="154"/>
        <v>5750</v>
      </c>
      <c r="K322" s="159">
        <f t="shared" si="154"/>
        <v>0</v>
      </c>
      <c r="L322" s="159">
        <f t="shared" si="154"/>
        <v>0</v>
      </c>
      <c r="M322" s="159">
        <f t="shared" si="154"/>
        <v>0</v>
      </c>
      <c r="N322" s="159">
        <f t="shared" si="154"/>
        <v>0</v>
      </c>
      <c r="O322" s="159">
        <f t="shared" si="154"/>
        <v>0</v>
      </c>
      <c r="P322" s="159">
        <f t="shared" si="154"/>
        <v>0</v>
      </c>
      <c r="Q322" s="166"/>
      <c r="R322" s="166"/>
      <c r="S322" s="166"/>
      <c r="T322" s="166"/>
      <c r="U322" s="166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130"/>
      <c r="DN322" s="130"/>
      <c r="DO322" s="130"/>
      <c r="DP322" s="130"/>
      <c r="DQ322" s="130"/>
      <c r="DR322" s="130"/>
      <c r="DS322" s="130"/>
      <c r="DT322" s="130"/>
      <c r="DU322" s="130"/>
      <c r="DV322" s="130"/>
      <c r="DW322" s="130"/>
      <c r="DX322" s="130"/>
      <c r="DY322" s="130"/>
      <c r="DZ322" s="130"/>
      <c r="EA322" s="130"/>
      <c r="EB322" s="130"/>
      <c r="EC322" s="130"/>
      <c r="ED322" s="130"/>
      <c r="EE322" s="130"/>
      <c r="EF322" s="130"/>
      <c r="EG322" s="130"/>
      <c r="EH322" s="130"/>
      <c r="EI322" s="130"/>
      <c r="EJ322" s="130"/>
      <c r="EK322" s="130"/>
      <c r="EL322" s="130"/>
      <c r="EM322" s="130"/>
      <c r="EN322" s="130"/>
      <c r="EO322" s="130"/>
      <c r="EP322" s="130"/>
      <c r="EQ322" s="130"/>
      <c r="ER322" s="130"/>
      <c r="ES322" s="130"/>
      <c r="ET322" s="130"/>
      <c r="EU322" s="130"/>
      <c r="EV322" s="130"/>
      <c r="EW322" s="130"/>
      <c r="EX322" s="130"/>
      <c r="EY322" s="130"/>
      <c r="EZ322" s="130"/>
      <c r="FA322" s="130"/>
      <c r="FB322" s="130"/>
      <c r="FC322" s="130"/>
      <c r="FD322" s="130"/>
      <c r="FE322" s="130"/>
      <c r="FF322" s="130"/>
      <c r="FG322" s="130"/>
      <c r="FH322" s="130"/>
      <c r="FI322" s="130"/>
      <c r="FJ322" s="130"/>
      <c r="FK322" s="130"/>
      <c r="FL322" s="130"/>
      <c r="FM322" s="130"/>
      <c r="FN322" s="130"/>
      <c r="FO322" s="130"/>
      <c r="FP322" s="130"/>
      <c r="FQ322" s="130"/>
      <c r="FR322" s="130"/>
      <c r="FS322" s="130"/>
      <c r="FT322" s="130"/>
      <c r="FU322" s="130"/>
      <c r="FV322" s="130"/>
      <c r="FW322" s="130"/>
      <c r="FX322" s="130"/>
      <c r="FY322" s="130"/>
      <c r="FZ322" s="130"/>
      <c r="GA322" s="130"/>
      <c r="GB322" s="130"/>
      <c r="GC322" s="130"/>
      <c r="GD322" s="130"/>
      <c r="GE322" s="130"/>
      <c r="GF322" s="130"/>
      <c r="GG322" s="130"/>
      <c r="GH322" s="130"/>
      <c r="GI322" s="130"/>
      <c r="GJ322" s="130"/>
      <c r="GK322" s="130"/>
      <c r="GL322" s="130"/>
      <c r="GM322" s="130"/>
      <c r="GN322" s="130"/>
      <c r="GO322" s="130"/>
      <c r="GP322" s="130"/>
      <c r="GQ322" s="130"/>
      <c r="GR322" s="130"/>
      <c r="GS322" s="130"/>
      <c r="GT322" s="130"/>
      <c r="GU322" s="130"/>
      <c r="GV322" s="130"/>
      <c r="GW322" s="130"/>
      <c r="GX322" s="130"/>
      <c r="GY322" s="130"/>
      <c r="GZ322" s="130"/>
      <c r="HA322" s="130"/>
      <c r="HB322" s="130"/>
      <c r="HC322" s="130"/>
      <c r="HD322" s="130"/>
      <c r="HE322" s="130"/>
      <c r="HF322" s="130"/>
      <c r="HG322" s="130"/>
      <c r="HH322" s="130"/>
      <c r="HI322" s="130"/>
      <c r="HJ322" s="130"/>
      <c r="HK322" s="130"/>
      <c r="HL322" s="130"/>
      <c r="HM322" s="130"/>
      <c r="HN322" s="130"/>
      <c r="HO322" s="130"/>
      <c r="HP322" s="130"/>
      <c r="HQ322" s="130"/>
      <c r="HR322" s="130"/>
      <c r="HS322" s="130"/>
      <c r="HT322" s="130"/>
      <c r="HU322" s="130"/>
      <c r="HV322" s="130"/>
      <c r="HW322" s="130"/>
      <c r="HX322" s="130"/>
      <c r="HY322" s="130"/>
      <c r="HZ322" s="130"/>
      <c r="IA322" s="130"/>
      <c r="IB322" s="130"/>
      <c r="IC322" s="130"/>
      <c r="ID322" s="130"/>
      <c r="IE322" s="130"/>
      <c r="IF322" s="130"/>
      <c r="IG322" s="130"/>
      <c r="IH322" s="130"/>
      <c r="II322" s="130"/>
      <c r="IJ322" s="130"/>
      <c r="IK322" s="130"/>
      <c r="IL322" s="130"/>
      <c r="IM322" s="130"/>
      <c r="IN322" s="130"/>
      <c r="IO322" s="130"/>
      <c r="IP322" s="130"/>
      <c r="IQ322" s="130"/>
      <c r="IR322" s="130"/>
      <c r="IS322" s="130"/>
      <c r="IT322" s="130"/>
      <c r="IU322" s="130"/>
      <c r="IV322" s="130"/>
    </row>
    <row r="323" spans="1:256">
      <c r="A323" s="823">
        <v>85595</v>
      </c>
      <c r="B323" s="826" t="s">
        <v>103</v>
      </c>
      <c r="C323" s="157" t="s">
        <v>0</v>
      </c>
      <c r="D323" s="158">
        <f>E323+M323</f>
        <v>17548275</v>
      </c>
      <c r="E323" s="159">
        <f>F323+I323+J323+K323+L323</f>
        <v>17548275</v>
      </c>
      <c r="F323" s="159">
        <f>G323+H323</f>
        <v>202500</v>
      </c>
      <c r="G323" s="159">
        <v>2000</v>
      </c>
      <c r="H323" s="159">
        <f>5200+2400+1100+191800</f>
        <v>200500</v>
      </c>
      <c r="I323" s="159">
        <v>1300000</v>
      </c>
      <c r="J323" s="159">
        <v>2500</v>
      </c>
      <c r="K323" s="159">
        <f>14354509+1688766</f>
        <v>16043275</v>
      </c>
      <c r="L323" s="159">
        <v>0</v>
      </c>
      <c r="M323" s="159">
        <f>N323+P323</f>
        <v>0</v>
      </c>
      <c r="N323" s="159">
        <v>0</v>
      </c>
      <c r="O323" s="159">
        <v>0</v>
      </c>
      <c r="P323" s="159">
        <v>0</v>
      </c>
      <c r="Q323" s="166"/>
      <c r="R323" s="166"/>
      <c r="S323" s="166"/>
      <c r="T323" s="166"/>
      <c r="U323" s="166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130"/>
      <c r="DN323" s="130"/>
      <c r="DO323" s="130"/>
      <c r="DP323" s="130"/>
      <c r="DQ323" s="130"/>
      <c r="DR323" s="130"/>
      <c r="DS323" s="130"/>
      <c r="DT323" s="130"/>
      <c r="DU323" s="130"/>
      <c r="DV323" s="130"/>
      <c r="DW323" s="130"/>
      <c r="DX323" s="130"/>
      <c r="DY323" s="130"/>
      <c r="DZ323" s="130"/>
      <c r="EA323" s="130"/>
      <c r="EB323" s="130"/>
      <c r="EC323" s="130"/>
      <c r="ED323" s="130"/>
      <c r="EE323" s="130"/>
      <c r="EF323" s="130"/>
      <c r="EG323" s="130"/>
      <c r="EH323" s="130"/>
      <c r="EI323" s="130"/>
      <c r="EJ323" s="130"/>
      <c r="EK323" s="130"/>
      <c r="EL323" s="130"/>
      <c r="EM323" s="130"/>
      <c r="EN323" s="130"/>
      <c r="EO323" s="130"/>
      <c r="EP323" s="130"/>
      <c r="EQ323" s="130"/>
      <c r="ER323" s="130"/>
      <c r="ES323" s="130"/>
      <c r="ET323" s="130"/>
      <c r="EU323" s="130"/>
      <c r="EV323" s="130"/>
      <c r="EW323" s="130"/>
      <c r="EX323" s="130"/>
      <c r="EY323" s="130"/>
      <c r="EZ323" s="130"/>
      <c r="FA323" s="130"/>
      <c r="FB323" s="130"/>
      <c r="FC323" s="130"/>
      <c r="FD323" s="130"/>
      <c r="FE323" s="130"/>
      <c r="FF323" s="130"/>
      <c r="FG323" s="130"/>
      <c r="FH323" s="130"/>
      <c r="FI323" s="130"/>
      <c r="FJ323" s="130"/>
      <c r="FK323" s="130"/>
      <c r="FL323" s="130"/>
      <c r="FM323" s="130"/>
      <c r="FN323" s="130"/>
      <c r="FO323" s="130"/>
      <c r="FP323" s="130"/>
      <c r="FQ323" s="130"/>
      <c r="FR323" s="130"/>
      <c r="FS323" s="130"/>
      <c r="FT323" s="130"/>
      <c r="FU323" s="130"/>
      <c r="FV323" s="130"/>
      <c r="FW323" s="130"/>
      <c r="FX323" s="130"/>
      <c r="FY323" s="130"/>
      <c r="FZ323" s="130"/>
      <c r="GA323" s="130"/>
      <c r="GB323" s="130"/>
      <c r="GC323" s="130"/>
      <c r="GD323" s="130"/>
      <c r="GE323" s="130"/>
      <c r="GF323" s="130"/>
      <c r="GG323" s="130"/>
      <c r="GH323" s="130"/>
      <c r="GI323" s="130"/>
      <c r="GJ323" s="130"/>
      <c r="GK323" s="130"/>
      <c r="GL323" s="130"/>
      <c r="GM323" s="130"/>
      <c r="GN323" s="130"/>
      <c r="GO323" s="130"/>
      <c r="GP323" s="130"/>
      <c r="GQ323" s="130"/>
      <c r="GR323" s="130"/>
      <c r="GS323" s="130"/>
      <c r="GT323" s="130"/>
      <c r="GU323" s="130"/>
      <c r="GV323" s="130"/>
      <c r="GW323" s="130"/>
      <c r="GX323" s="130"/>
      <c r="GY323" s="130"/>
      <c r="GZ323" s="130"/>
      <c r="HA323" s="130"/>
      <c r="HB323" s="130"/>
      <c r="HC323" s="130"/>
      <c r="HD323" s="130"/>
      <c r="HE323" s="130"/>
      <c r="HF323" s="130"/>
      <c r="HG323" s="130"/>
      <c r="HH323" s="130"/>
      <c r="HI323" s="130"/>
      <c r="HJ323" s="130"/>
      <c r="HK323" s="130"/>
      <c r="HL323" s="130"/>
      <c r="HM323" s="130"/>
      <c r="HN323" s="130"/>
      <c r="HO323" s="130"/>
      <c r="HP323" s="130"/>
      <c r="HQ323" s="130"/>
      <c r="HR323" s="130"/>
      <c r="HS323" s="130"/>
      <c r="HT323" s="130"/>
      <c r="HU323" s="130"/>
      <c r="HV323" s="130"/>
      <c r="HW323" s="130"/>
      <c r="HX323" s="130"/>
      <c r="HY323" s="130"/>
      <c r="HZ323" s="130"/>
      <c r="IA323" s="130"/>
      <c r="IB323" s="130"/>
      <c r="IC323" s="130"/>
      <c r="ID323" s="130"/>
      <c r="IE323" s="130"/>
      <c r="IF323" s="130"/>
      <c r="IG323" s="130"/>
      <c r="IH323" s="130"/>
      <c r="II323" s="130"/>
      <c r="IJ323" s="130"/>
      <c r="IK323" s="130"/>
      <c r="IL323" s="130"/>
      <c r="IM323" s="130"/>
      <c r="IN323" s="130"/>
      <c r="IO323" s="130"/>
      <c r="IP323" s="130"/>
      <c r="IQ323" s="130"/>
      <c r="IR323" s="130"/>
      <c r="IS323" s="130"/>
      <c r="IT323" s="130"/>
      <c r="IU323" s="130"/>
      <c r="IV323" s="130"/>
    </row>
    <row r="324" spans="1:256">
      <c r="A324" s="824"/>
      <c r="B324" s="827"/>
      <c r="C324" s="157" t="s">
        <v>1</v>
      </c>
      <c r="D324" s="158">
        <f>E324+M324</f>
        <v>10000</v>
      </c>
      <c r="E324" s="159">
        <f>F324+I324+J324+K324+L324</f>
        <v>10000</v>
      </c>
      <c r="F324" s="159">
        <f>G324+H324</f>
        <v>8500</v>
      </c>
      <c r="G324" s="159"/>
      <c r="H324" s="159">
        <v>8500</v>
      </c>
      <c r="I324" s="159"/>
      <c r="J324" s="159">
        <v>1500</v>
      </c>
      <c r="K324" s="159"/>
      <c r="L324" s="159"/>
      <c r="M324" s="159">
        <f>N324+P324</f>
        <v>0</v>
      </c>
      <c r="N324" s="159"/>
      <c r="O324" s="159"/>
      <c r="P324" s="159"/>
      <c r="Q324" s="166"/>
      <c r="R324" s="166"/>
      <c r="S324" s="166"/>
      <c r="T324" s="166"/>
      <c r="U324" s="166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130"/>
      <c r="DN324" s="130"/>
      <c r="DO324" s="130"/>
      <c r="DP324" s="130"/>
      <c r="DQ324" s="130"/>
      <c r="DR324" s="130"/>
      <c r="DS324" s="130"/>
      <c r="DT324" s="130"/>
      <c r="DU324" s="130"/>
      <c r="DV324" s="130"/>
      <c r="DW324" s="130"/>
      <c r="DX324" s="130"/>
      <c r="DY324" s="130"/>
      <c r="DZ324" s="130"/>
      <c r="EA324" s="130"/>
      <c r="EB324" s="130"/>
      <c r="EC324" s="130"/>
      <c r="ED324" s="130"/>
      <c r="EE324" s="130"/>
      <c r="EF324" s="130"/>
      <c r="EG324" s="130"/>
      <c r="EH324" s="130"/>
      <c r="EI324" s="130"/>
      <c r="EJ324" s="130"/>
      <c r="EK324" s="130"/>
      <c r="EL324" s="130"/>
      <c r="EM324" s="130"/>
      <c r="EN324" s="130"/>
      <c r="EO324" s="130"/>
      <c r="EP324" s="130"/>
      <c r="EQ324" s="130"/>
      <c r="ER324" s="130"/>
      <c r="ES324" s="130"/>
      <c r="ET324" s="130"/>
      <c r="EU324" s="130"/>
      <c r="EV324" s="130"/>
      <c r="EW324" s="130"/>
      <c r="EX324" s="130"/>
      <c r="EY324" s="130"/>
      <c r="EZ324" s="130"/>
      <c r="FA324" s="130"/>
      <c r="FB324" s="130"/>
      <c r="FC324" s="130"/>
      <c r="FD324" s="130"/>
      <c r="FE324" s="130"/>
      <c r="FF324" s="130"/>
      <c r="FG324" s="130"/>
      <c r="FH324" s="130"/>
      <c r="FI324" s="130"/>
      <c r="FJ324" s="130"/>
      <c r="FK324" s="130"/>
      <c r="FL324" s="130"/>
      <c r="FM324" s="130"/>
      <c r="FN324" s="130"/>
      <c r="FO324" s="130"/>
      <c r="FP324" s="130"/>
      <c r="FQ324" s="130"/>
      <c r="FR324" s="130"/>
      <c r="FS324" s="130"/>
      <c r="FT324" s="130"/>
      <c r="FU324" s="130"/>
      <c r="FV324" s="130"/>
      <c r="FW324" s="130"/>
      <c r="FX324" s="130"/>
      <c r="FY324" s="130"/>
      <c r="FZ324" s="130"/>
      <c r="GA324" s="130"/>
      <c r="GB324" s="130"/>
      <c r="GC324" s="130"/>
      <c r="GD324" s="130"/>
      <c r="GE324" s="130"/>
      <c r="GF324" s="130"/>
      <c r="GG324" s="130"/>
      <c r="GH324" s="130"/>
      <c r="GI324" s="130"/>
      <c r="GJ324" s="130"/>
      <c r="GK324" s="130"/>
      <c r="GL324" s="130"/>
      <c r="GM324" s="130"/>
      <c r="GN324" s="130"/>
      <c r="GO324" s="130"/>
      <c r="GP324" s="130"/>
      <c r="GQ324" s="130"/>
      <c r="GR324" s="130"/>
      <c r="GS324" s="130"/>
      <c r="GT324" s="130"/>
      <c r="GU324" s="130"/>
      <c r="GV324" s="130"/>
      <c r="GW324" s="130"/>
      <c r="GX324" s="130"/>
      <c r="GY324" s="130"/>
      <c r="GZ324" s="130"/>
      <c r="HA324" s="130"/>
      <c r="HB324" s="130"/>
      <c r="HC324" s="130"/>
      <c r="HD324" s="130"/>
      <c r="HE324" s="130"/>
      <c r="HF324" s="130"/>
      <c r="HG324" s="130"/>
      <c r="HH324" s="130"/>
      <c r="HI324" s="130"/>
      <c r="HJ324" s="130"/>
      <c r="HK324" s="130"/>
      <c r="HL324" s="130"/>
      <c r="HM324" s="130"/>
      <c r="HN324" s="130"/>
      <c r="HO324" s="130"/>
      <c r="HP324" s="130"/>
      <c r="HQ324" s="130"/>
      <c r="HR324" s="130"/>
      <c r="HS324" s="130"/>
      <c r="HT324" s="130"/>
      <c r="HU324" s="130"/>
      <c r="HV324" s="130"/>
      <c r="HW324" s="130"/>
      <c r="HX324" s="130"/>
      <c r="HY324" s="130"/>
      <c r="HZ324" s="130"/>
      <c r="IA324" s="130"/>
      <c r="IB324" s="130"/>
      <c r="IC324" s="130"/>
      <c r="ID324" s="130"/>
      <c r="IE324" s="130"/>
      <c r="IF324" s="130"/>
      <c r="IG324" s="130"/>
      <c r="IH324" s="130"/>
      <c r="II324" s="130"/>
      <c r="IJ324" s="130"/>
      <c r="IK324" s="130"/>
      <c r="IL324" s="130"/>
      <c r="IM324" s="130"/>
      <c r="IN324" s="130"/>
      <c r="IO324" s="130"/>
      <c r="IP324" s="130"/>
      <c r="IQ324" s="130"/>
      <c r="IR324" s="130"/>
      <c r="IS324" s="130"/>
      <c r="IT324" s="130"/>
      <c r="IU324" s="130"/>
      <c r="IV324" s="130"/>
    </row>
    <row r="325" spans="1:256">
      <c r="A325" s="825"/>
      <c r="B325" s="828"/>
      <c r="C325" s="157" t="s">
        <v>2</v>
      </c>
      <c r="D325" s="158">
        <f>D324+D323</f>
        <v>17558275</v>
      </c>
      <c r="E325" s="159">
        <f t="shared" ref="E325:P325" si="155">E324+E323</f>
        <v>17558275</v>
      </c>
      <c r="F325" s="159">
        <f t="shared" si="155"/>
        <v>211000</v>
      </c>
      <c r="G325" s="159">
        <f t="shared" si="155"/>
        <v>2000</v>
      </c>
      <c r="H325" s="159">
        <f t="shared" si="155"/>
        <v>209000</v>
      </c>
      <c r="I325" s="159">
        <f t="shared" si="155"/>
        <v>1300000</v>
      </c>
      <c r="J325" s="159">
        <f t="shared" si="155"/>
        <v>4000</v>
      </c>
      <c r="K325" s="159">
        <f t="shared" si="155"/>
        <v>16043275</v>
      </c>
      <c r="L325" s="159">
        <f t="shared" si="155"/>
        <v>0</v>
      </c>
      <c r="M325" s="159">
        <f t="shared" si="155"/>
        <v>0</v>
      </c>
      <c r="N325" s="159">
        <f t="shared" si="155"/>
        <v>0</v>
      </c>
      <c r="O325" s="159">
        <f t="shared" si="155"/>
        <v>0</v>
      </c>
      <c r="P325" s="159">
        <f t="shared" si="155"/>
        <v>0</v>
      </c>
      <c r="Q325" s="166"/>
      <c r="R325" s="166"/>
      <c r="S325" s="166"/>
      <c r="T325" s="166"/>
      <c r="U325" s="166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130"/>
      <c r="DN325" s="130"/>
      <c r="DO325" s="130"/>
      <c r="DP325" s="130"/>
      <c r="DQ325" s="130"/>
      <c r="DR325" s="130"/>
      <c r="DS325" s="130"/>
      <c r="DT325" s="130"/>
      <c r="DU325" s="130"/>
      <c r="DV325" s="130"/>
      <c r="DW325" s="130"/>
      <c r="DX325" s="130"/>
      <c r="DY325" s="130"/>
      <c r="DZ325" s="130"/>
      <c r="EA325" s="130"/>
      <c r="EB325" s="130"/>
      <c r="EC325" s="130"/>
      <c r="ED325" s="130"/>
      <c r="EE325" s="130"/>
      <c r="EF325" s="130"/>
      <c r="EG325" s="130"/>
      <c r="EH325" s="130"/>
      <c r="EI325" s="130"/>
      <c r="EJ325" s="130"/>
      <c r="EK325" s="130"/>
      <c r="EL325" s="130"/>
      <c r="EM325" s="130"/>
      <c r="EN325" s="130"/>
      <c r="EO325" s="130"/>
      <c r="EP325" s="130"/>
      <c r="EQ325" s="130"/>
      <c r="ER325" s="130"/>
      <c r="ES325" s="130"/>
      <c r="ET325" s="130"/>
      <c r="EU325" s="130"/>
      <c r="EV325" s="130"/>
      <c r="EW325" s="130"/>
      <c r="EX325" s="130"/>
      <c r="EY325" s="130"/>
      <c r="EZ325" s="130"/>
      <c r="FA325" s="130"/>
      <c r="FB325" s="130"/>
      <c r="FC325" s="130"/>
      <c r="FD325" s="130"/>
      <c r="FE325" s="130"/>
      <c r="FF325" s="130"/>
      <c r="FG325" s="130"/>
      <c r="FH325" s="130"/>
      <c r="FI325" s="130"/>
      <c r="FJ325" s="130"/>
      <c r="FK325" s="130"/>
      <c r="FL325" s="130"/>
      <c r="FM325" s="130"/>
      <c r="FN325" s="130"/>
      <c r="FO325" s="130"/>
      <c r="FP325" s="130"/>
      <c r="FQ325" s="130"/>
      <c r="FR325" s="130"/>
      <c r="FS325" s="130"/>
      <c r="FT325" s="130"/>
      <c r="FU325" s="130"/>
      <c r="FV325" s="130"/>
      <c r="FW325" s="130"/>
      <c r="FX325" s="130"/>
      <c r="FY325" s="130"/>
      <c r="FZ325" s="130"/>
      <c r="GA325" s="130"/>
      <c r="GB325" s="130"/>
      <c r="GC325" s="130"/>
      <c r="GD325" s="130"/>
      <c r="GE325" s="130"/>
      <c r="GF325" s="130"/>
      <c r="GG325" s="130"/>
      <c r="GH325" s="130"/>
      <c r="GI325" s="130"/>
      <c r="GJ325" s="130"/>
      <c r="GK325" s="130"/>
      <c r="GL325" s="130"/>
      <c r="GM325" s="130"/>
      <c r="GN325" s="130"/>
      <c r="GO325" s="130"/>
      <c r="GP325" s="130"/>
      <c r="GQ325" s="130"/>
      <c r="GR325" s="130"/>
      <c r="GS325" s="130"/>
      <c r="GT325" s="130"/>
      <c r="GU325" s="130"/>
      <c r="GV325" s="130"/>
      <c r="GW325" s="130"/>
      <c r="GX325" s="130"/>
      <c r="GY325" s="130"/>
      <c r="GZ325" s="130"/>
      <c r="HA325" s="130"/>
      <c r="HB325" s="130"/>
      <c r="HC325" s="130"/>
      <c r="HD325" s="130"/>
      <c r="HE325" s="130"/>
      <c r="HF325" s="130"/>
      <c r="HG325" s="130"/>
      <c r="HH325" s="130"/>
      <c r="HI325" s="130"/>
      <c r="HJ325" s="130"/>
      <c r="HK325" s="130"/>
      <c r="HL325" s="130"/>
      <c r="HM325" s="130"/>
      <c r="HN325" s="130"/>
      <c r="HO325" s="130"/>
      <c r="HP325" s="130"/>
      <c r="HQ325" s="130"/>
      <c r="HR325" s="130"/>
      <c r="HS325" s="130"/>
      <c r="HT325" s="130"/>
      <c r="HU325" s="130"/>
      <c r="HV325" s="130"/>
      <c r="HW325" s="130"/>
      <c r="HX325" s="130"/>
      <c r="HY325" s="130"/>
      <c r="HZ325" s="130"/>
      <c r="IA325" s="130"/>
      <c r="IB325" s="130"/>
      <c r="IC325" s="130"/>
      <c r="ID325" s="130"/>
      <c r="IE325" s="130"/>
      <c r="IF325" s="130"/>
      <c r="IG325" s="130"/>
      <c r="IH325" s="130"/>
      <c r="II325" s="130"/>
      <c r="IJ325" s="130"/>
      <c r="IK325" s="130"/>
      <c r="IL325" s="130"/>
      <c r="IM325" s="130"/>
      <c r="IN325" s="130"/>
      <c r="IO325" s="130"/>
      <c r="IP325" s="130"/>
      <c r="IQ325" s="130"/>
      <c r="IR325" s="130"/>
      <c r="IS325" s="130"/>
      <c r="IT325" s="130"/>
      <c r="IU325" s="130"/>
      <c r="IV325" s="130"/>
    </row>
    <row r="326" spans="1:256" ht="15">
      <c r="A326" s="835">
        <v>900</v>
      </c>
      <c r="B326" s="838" t="s">
        <v>66</v>
      </c>
      <c r="C326" s="161" t="s">
        <v>0</v>
      </c>
      <c r="D326" s="173">
        <f t="shared" ref="D326:O327" si="156">D329+D332+D335+D338+D341+D347+D344</f>
        <v>11228942</v>
      </c>
      <c r="E326" s="163">
        <f t="shared" si="156"/>
        <v>5702897</v>
      </c>
      <c r="F326" s="163">
        <f t="shared" si="156"/>
        <v>3887388</v>
      </c>
      <c r="G326" s="163">
        <f t="shared" si="156"/>
        <v>2495883</v>
      </c>
      <c r="H326" s="163">
        <f t="shared" si="156"/>
        <v>1391505</v>
      </c>
      <c r="I326" s="163">
        <f t="shared" si="156"/>
        <v>0</v>
      </c>
      <c r="J326" s="163">
        <f t="shared" si="156"/>
        <v>0</v>
      </c>
      <c r="K326" s="163">
        <f t="shared" si="156"/>
        <v>1815509</v>
      </c>
      <c r="L326" s="163">
        <f t="shared" si="156"/>
        <v>0</v>
      </c>
      <c r="M326" s="163">
        <f t="shared" si="156"/>
        <v>5526045</v>
      </c>
      <c r="N326" s="163">
        <f t="shared" si="156"/>
        <v>4026045</v>
      </c>
      <c r="O326" s="163">
        <f t="shared" si="156"/>
        <v>4026045</v>
      </c>
      <c r="P326" s="163">
        <f>P329+P332+P335+P338+P341+P347+P344</f>
        <v>1500000</v>
      </c>
      <c r="Q326" s="171"/>
      <c r="R326" s="171"/>
      <c r="S326" s="171"/>
      <c r="T326" s="171"/>
      <c r="U326" s="171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2"/>
      <c r="AK326" s="172"/>
      <c r="AL326" s="172"/>
      <c r="AM326" s="172"/>
      <c r="AN326" s="172"/>
      <c r="AO326" s="172"/>
      <c r="AP326" s="172"/>
      <c r="AQ326" s="172"/>
      <c r="AR326" s="172"/>
      <c r="AS326" s="172"/>
      <c r="AT326" s="172"/>
      <c r="AU326" s="172"/>
      <c r="AV326" s="172"/>
      <c r="AW326" s="172"/>
      <c r="AX326" s="172"/>
      <c r="AY326" s="172"/>
      <c r="AZ326" s="172"/>
      <c r="BA326" s="172"/>
      <c r="BB326" s="172"/>
      <c r="BC326" s="172"/>
      <c r="BD326" s="172"/>
      <c r="BE326" s="172"/>
      <c r="BF326" s="172"/>
      <c r="BG326" s="172"/>
      <c r="BH326" s="172"/>
      <c r="BI326" s="172"/>
      <c r="BJ326" s="172"/>
      <c r="BK326" s="172"/>
      <c r="BL326" s="172"/>
      <c r="BM326" s="172"/>
      <c r="BN326" s="172"/>
      <c r="BO326" s="172"/>
      <c r="BP326" s="172"/>
      <c r="BQ326" s="172"/>
      <c r="BR326" s="172"/>
      <c r="BS326" s="172"/>
      <c r="BT326" s="172"/>
      <c r="BU326" s="172"/>
      <c r="BV326" s="172"/>
      <c r="BW326" s="172"/>
      <c r="BX326" s="172"/>
      <c r="BY326" s="172"/>
      <c r="BZ326" s="172"/>
      <c r="CA326" s="172"/>
      <c r="CB326" s="172"/>
      <c r="CC326" s="172"/>
      <c r="CD326" s="172"/>
      <c r="CE326" s="172"/>
      <c r="CF326" s="172"/>
      <c r="CG326" s="172"/>
      <c r="CH326" s="172"/>
      <c r="CI326" s="172"/>
      <c r="CJ326" s="172"/>
      <c r="CK326" s="172"/>
      <c r="CL326" s="172"/>
      <c r="CM326" s="172"/>
      <c r="CN326" s="172"/>
      <c r="CO326" s="172"/>
      <c r="CP326" s="172"/>
      <c r="CQ326" s="172"/>
      <c r="CR326" s="172"/>
      <c r="CS326" s="172"/>
      <c r="CT326" s="172"/>
      <c r="CU326" s="172"/>
      <c r="CV326" s="172"/>
      <c r="CW326" s="172"/>
      <c r="CX326" s="172"/>
      <c r="CY326" s="172"/>
      <c r="CZ326" s="172"/>
      <c r="DA326" s="172"/>
      <c r="DB326" s="172"/>
      <c r="DC326" s="172"/>
      <c r="DD326" s="172"/>
      <c r="DE326" s="172"/>
      <c r="DF326" s="172"/>
      <c r="DG326" s="172"/>
      <c r="DH326" s="172"/>
      <c r="DI326" s="172"/>
      <c r="DJ326" s="172"/>
      <c r="DK326" s="172"/>
      <c r="DL326" s="172"/>
      <c r="DM326" s="172"/>
      <c r="DN326" s="172"/>
      <c r="DO326" s="172"/>
      <c r="DP326" s="172"/>
      <c r="DQ326" s="172"/>
      <c r="DR326" s="172"/>
      <c r="DS326" s="172"/>
      <c r="DT326" s="172"/>
      <c r="DU326" s="172"/>
      <c r="DV326" s="172"/>
      <c r="DW326" s="172"/>
      <c r="DX326" s="172"/>
      <c r="DY326" s="172"/>
      <c r="DZ326" s="172"/>
      <c r="EA326" s="172"/>
      <c r="EB326" s="172"/>
      <c r="EC326" s="172"/>
      <c r="ED326" s="172"/>
      <c r="EE326" s="172"/>
      <c r="EF326" s="172"/>
      <c r="EG326" s="172"/>
      <c r="EH326" s="172"/>
      <c r="EI326" s="172"/>
      <c r="EJ326" s="172"/>
      <c r="EK326" s="172"/>
      <c r="EL326" s="172"/>
      <c r="EM326" s="172"/>
      <c r="EN326" s="172"/>
      <c r="EO326" s="172"/>
      <c r="EP326" s="172"/>
      <c r="EQ326" s="172"/>
      <c r="ER326" s="172"/>
      <c r="ES326" s="172"/>
      <c r="ET326" s="172"/>
      <c r="EU326" s="172"/>
      <c r="EV326" s="172"/>
      <c r="EW326" s="172"/>
      <c r="EX326" s="172"/>
      <c r="EY326" s="172"/>
      <c r="EZ326" s="172"/>
      <c r="FA326" s="172"/>
      <c r="FB326" s="172"/>
      <c r="FC326" s="172"/>
      <c r="FD326" s="172"/>
      <c r="FE326" s="172"/>
      <c r="FF326" s="172"/>
      <c r="FG326" s="172"/>
      <c r="FH326" s="172"/>
      <c r="FI326" s="172"/>
      <c r="FJ326" s="172"/>
      <c r="FK326" s="172"/>
      <c r="FL326" s="172"/>
      <c r="FM326" s="172"/>
      <c r="FN326" s="172"/>
      <c r="FO326" s="172"/>
      <c r="FP326" s="172"/>
      <c r="FQ326" s="172"/>
      <c r="FR326" s="172"/>
      <c r="FS326" s="172"/>
      <c r="FT326" s="172"/>
      <c r="FU326" s="172"/>
      <c r="FV326" s="172"/>
      <c r="FW326" s="172"/>
      <c r="FX326" s="172"/>
      <c r="FY326" s="172"/>
      <c r="FZ326" s="172"/>
      <c r="GA326" s="172"/>
      <c r="GB326" s="172"/>
      <c r="GC326" s="172"/>
      <c r="GD326" s="172"/>
      <c r="GE326" s="172"/>
      <c r="GF326" s="172"/>
      <c r="GG326" s="172"/>
      <c r="GH326" s="172"/>
      <c r="GI326" s="172"/>
      <c r="GJ326" s="172"/>
      <c r="GK326" s="172"/>
      <c r="GL326" s="172"/>
      <c r="GM326" s="172"/>
      <c r="GN326" s="172"/>
      <c r="GO326" s="172"/>
      <c r="GP326" s="172"/>
      <c r="GQ326" s="172"/>
      <c r="GR326" s="172"/>
      <c r="GS326" s="172"/>
      <c r="GT326" s="172"/>
      <c r="GU326" s="172"/>
      <c r="GV326" s="172"/>
      <c r="GW326" s="172"/>
      <c r="GX326" s="172"/>
      <c r="GY326" s="172"/>
      <c r="GZ326" s="172"/>
      <c r="HA326" s="172"/>
      <c r="HB326" s="172"/>
      <c r="HC326" s="172"/>
      <c r="HD326" s="172"/>
      <c r="HE326" s="172"/>
      <c r="HF326" s="172"/>
      <c r="HG326" s="172"/>
      <c r="HH326" s="172"/>
      <c r="HI326" s="172"/>
      <c r="HJ326" s="172"/>
      <c r="HK326" s="172"/>
      <c r="HL326" s="172"/>
      <c r="HM326" s="172"/>
      <c r="HN326" s="172"/>
      <c r="HO326" s="172"/>
      <c r="HP326" s="172"/>
      <c r="HQ326" s="172"/>
      <c r="HR326" s="172"/>
      <c r="HS326" s="172"/>
      <c r="HT326" s="172"/>
      <c r="HU326" s="172"/>
      <c r="HV326" s="172"/>
      <c r="HW326" s="172"/>
      <c r="HX326" s="172"/>
      <c r="HY326" s="172"/>
      <c r="HZ326" s="172"/>
      <c r="IA326" s="172"/>
      <c r="IB326" s="172"/>
      <c r="IC326" s="172"/>
      <c r="ID326" s="172"/>
      <c r="IE326" s="172"/>
      <c r="IF326" s="172"/>
      <c r="IG326" s="172"/>
      <c r="IH326" s="172"/>
      <c r="II326" s="172"/>
      <c r="IJ326" s="172"/>
      <c r="IK326" s="172"/>
      <c r="IL326" s="172"/>
      <c r="IM326" s="172"/>
      <c r="IN326" s="172"/>
      <c r="IO326" s="172"/>
      <c r="IP326" s="172"/>
      <c r="IQ326" s="172"/>
      <c r="IR326" s="172"/>
      <c r="IS326" s="172"/>
      <c r="IT326" s="172"/>
      <c r="IU326" s="172"/>
      <c r="IV326" s="172"/>
    </row>
    <row r="327" spans="1:256" ht="15">
      <c r="A327" s="836"/>
      <c r="B327" s="839"/>
      <c r="C327" s="161" t="s">
        <v>1</v>
      </c>
      <c r="D327" s="173">
        <f t="shared" si="156"/>
        <v>-615385</v>
      </c>
      <c r="E327" s="163">
        <f t="shared" si="156"/>
        <v>349734</v>
      </c>
      <c r="F327" s="163">
        <f t="shared" si="156"/>
        <v>130000</v>
      </c>
      <c r="G327" s="163">
        <f t="shared" si="156"/>
        <v>0</v>
      </c>
      <c r="H327" s="163">
        <f t="shared" si="156"/>
        <v>130000</v>
      </c>
      <c r="I327" s="163">
        <f t="shared" si="156"/>
        <v>0</v>
      </c>
      <c r="J327" s="163">
        <f t="shared" si="156"/>
        <v>0</v>
      </c>
      <c r="K327" s="163">
        <f t="shared" si="156"/>
        <v>219734</v>
      </c>
      <c r="L327" s="163">
        <f t="shared" si="156"/>
        <v>0</v>
      </c>
      <c r="M327" s="163">
        <f t="shared" si="156"/>
        <v>-965119</v>
      </c>
      <c r="N327" s="163">
        <f t="shared" si="156"/>
        <v>-965119</v>
      </c>
      <c r="O327" s="163">
        <f t="shared" si="156"/>
        <v>-965119</v>
      </c>
      <c r="P327" s="163">
        <f>P330+P333+P336+P339+P342+P348+P345</f>
        <v>0</v>
      </c>
      <c r="Q327" s="171"/>
      <c r="R327" s="171"/>
      <c r="S327" s="171"/>
      <c r="T327" s="171"/>
      <c r="U327" s="171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  <c r="AQ327" s="172"/>
      <c r="AR327" s="172"/>
      <c r="AS327" s="172"/>
      <c r="AT327" s="172"/>
      <c r="AU327" s="172"/>
      <c r="AV327" s="172"/>
      <c r="AW327" s="172"/>
      <c r="AX327" s="172"/>
      <c r="AY327" s="172"/>
      <c r="AZ327" s="172"/>
      <c r="BA327" s="172"/>
      <c r="BB327" s="172"/>
      <c r="BC327" s="172"/>
      <c r="BD327" s="172"/>
      <c r="BE327" s="172"/>
      <c r="BF327" s="172"/>
      <c r="BG327" s="172"/>
      <c r="BH327" s="172"/>
      <c r="BI327" s="172"/>
      <c r="BJ327" s="172"/>
      <c r="BK327" s="172"/>
      <c r="BL327" s="172"/>
      <c r="BM327" s="172"/>
      <c r="BN327" s="172"/>
      <c r="BO327" s="172"/>
      <c r="BP327" s="172"/>
      <c r="BQ327" s="172"/>
      <c r="BR327" s="172"/>
      <c r="BS327" s="172"/>
      <c r="BT327" s="172"/>
      <c r="BU327" s="172"/>
      <c r="BV327" s="172"/>
      <c r="BW327" s="172"/>
      <c r="BX327" s="172"/>
      <c r="BY327" s="172"/>
      <c r="BZ327" s="172"/>
      <c r="CA327" s="172"/>
      <c r="CB327" s="172"/>
      <c r="CC327" s="172"/>
      <c r="CD327" s="172"/>
      <c r="CE327" s="172"/>
      <c r="CF327" s="172"/>
      <c r="CG327" s="172"/>
      <c r="CH327" s="172"/>
      <c r="CI327" s="172"/>
      <c r="CJ327" s="172"/>
      <c r="CK327" s="172"/>
      <c r="CL327" s="172"/>
      <c r="CM327" s="172"/>
      <c r="CN327" s="172"/>
      <c r="CO327" s="172"/>
      <c r="CP327" s="172"/>
      <c r="CQ327" s="172"/>
      <c r="CR327" s="172"/>
      <c r="CS327" s="172"/>
      <c r="CT327" s="172"/>
      <c r="CU327" s="172"/>
      <c r="CV327" s="172"/>
      <c r="CW327" s="172"/>
      <c r="CX327" s="172"/>
      <c r="CY327" s="172"/>
      <c r="CZ327" s="172"/>
      <c r="DA327" s="172"/>
      <c r="DB327" s="172"/>
      <c r="DC327" s="172"/>
      <c r="DD327" s="172"/>
      <c r="DE327" s="172"/>
      <c r="DF327" s="172"/>
      <c r="DG327" s="172"/>
      <c r="DH327" s="172"/>
      <c r="DI327" s="172"/>
      <c r="DJ327" s="172"/>
      <c r="DK327" s="172"/>
      <c r="DL327" s="172"/>
      <c r="DM327" s="172"/>
      <c r="DN327" s="172"/>
      <c r="DO327" s="172"/>
      <c r="DP327" s="172"/>
      <c r="DQ327" s="172"/>
      <c r="DR327" s="172"/>
      <c r="DS327" s="172"/>
      <c r="DT327" s="172"/>
      <c r="DU327" s="172"/>
      <c r="DV327" s="172"/>
      <c r="DW327" s="172"/>
      <c r="DX327" s="172"/>
      <c r="DY327" s="172"/>
      <c r="DZ327" s="172"/>
      <c r="EA327" s="172"/>
      <c r="EB327" s="172"/>
      <c r="EC327" s="172"/>
      <c r="ED327" s="172"/>
      <c r="EE327" s="172"/>
      <c r="EF327" s="172"/>
      <c r="EG327" s="172"/>
      <c r="EH327" s="172"/>
      <c r="EI327" s="172"/>
      <c r="EJ327" s="172"/>
      <c r="EK327" s="172"/>
      <c r="EL327" s="172"/>
      <c r="EM327" s="172"/>
      <c r="EN327" s="172"/>
      <c r="EO327" s="172"/>
      <c r="EP327" s="172"/>
      <c r="EQ327" s="172"/>
      <c r="ER327" s="172"/>
      <c r="ES327" s="172"/>
      <c r="ET327" s="172"/>
      <c r="EU327" s="172"/>
      <c r="EV327" s="172"/>
      <c r="EW327" s="172"/>
      <c r="EX327" s="172"/>
      <c r="EY327" s="172"/>
      <c r="EZ327" s="172"/>
      <c r="FA327" s="172"/>
      <c r="FB327" s="172"/>
      <c r="FC327" s="172"/>
      <c r="FD327" s="172"/>
      <c r="FE327" s="172"/>
      <c r="FF327" s="172"/>
      <c r="FG327" s="172"/>
      <c r="FH327" s="172"/>
      <c r="FI327" s="172"/>
      <c r="FJ327" s="172"/>
      <c r="FK327" s="172"/>
      <c r="FL327" s="172"/>
      <c r="FM327" s="172"/>
      <c r="FN327" s="172"/>
      <c r="FO327" s="172"/>
      <c r="FP327" s="172"/>
      <c r="FQ327" s="172"/>
      <c r="FR327" s="172"/>
      <c r="FS327" s="172"/>
      <c r="FT327" s="172"/>
      <c r="FU327" s="172"/>
      <c r="FV327" s="172"/>
      <c r="FW327" s="172"/>
      <c r="FX327" s="172"/>
      <c r="FY327" s="172"/>
      <c r="FZ327" s="172"/>
      <c r="GA327" s="172"/>
      <c r="GB327" s="172"/>
      <c r="GC327" s="172"/>
      <c r="GD327" s="172"/>
      <c r="GE327" s="172"/>
      <c r="GF327" s="172"/>
      <c r="GG327" s="172"/>
      <c r="GH327" s="172"/>
      <c r="GI327" s="172"/>
      <c r="GJ327" s="172"/>
      <c r="GK327" s="172"/>
      <c r="GL327" s="172"/>
      <c r="GM327" s="172"/>
      <c r="GN327" s="172"/>
      <c r="GO327" s="172"/>
      <c r="GP327" s="172"/>
      <c r="GQ327" s="172"/>
      <c r="GR327" s="172"/>
      <c r="GS327" s="172"/>
      <c r="GT327" s="172"/>
      <c r="GU327" s="172"/>
      <c r="GV327" s="172"/>
      <c r="GW327" s="172"/>
      <c r="GX327" s="172"/>
      <c r="GY327" s="172"/>
      <c r="GZ327" s="172"/>
      <c r="HA327" s="172"/>
      <c r="HB327" s="172"/>
      <c r="HC327" s="172"/>
      <c r="HD327" s="172"/>
      <c r="HE327" s="172"/>
      <c r="HF327" s="172"/>
      <c r="HG327" s="172"/>
      <c r="HH327" s="172"/>
      <c r="HI327" s="172"/>
      <c r="HJ327" s="172"/>
      <c r="HK327" s="172"/>
      <c r="HL327" s="172"/>
      <c r="HM327" s="172"/>
      <c r="HN327" s="172"/>
      <c r="HO327" s="172"/>
      <c r="HP327" s="172"/>
      <c r="HQ327" s="172"/>
      <c r="HR327" s="172"/>
      <c r="HS327" s="172"/>
      <c r="HT327" s="172"/>
      <c r="HU327" s="172"/>
      <c r="HV327" s="172"/>
      <c r="HW327" s="172"/>
      <c r="HX327" s="172"/>
      <c r="HY327" s="172"/>
      <c r="HZ327" s="172"/>
      <c r="IA327" s="172"/>
      <c r="IB327" s="172"/>
      <c r="IC327" s="172"/>
      <c r="ID327" s="172"/>
      <c r="IE327" s="172"/>
      <c r="IF327" s="172"/>
      <c r="IG327" s="172"/>
      <c r="IH327" s="172"/>
      <c r="II327" s="172"/>
      <c r="IJ327" s="172"/>
      <c r="IK327" s="172"/>
      <c r="IL327" s="172"/>
      <c r="IM327" s="172"/>
      <c r="IN327" s="172"/>
      <c r="IO327" s="172"/>
      <c r="IP327" s="172"/>
      <c r="IQ327" s="172"/>
      <c r="IR327" s="172"/>
      <c r="IS327" s="172"/>
      <c r="IT327" s="172"/>
      <c r="IU327" s="172"/>
      <c r="IV327" s="172"/>
    </row>
    <row r="328" spans="1:256" ht="15">
      <c r="A328" s="837"/>
      <c r="B328" s="840"/>
      <c r="C328" s="161" t="s">
        <v>2</v>
      </c>
      <c r="D328" s="173">
        <f>D327+D326</f>
        <v>10613557</v>
      </c>
      <c r="E328" s="163">
        <f t="shared" ref="E328:P328" si="157">E327+E326</f>
        <v>6052631</v>
      </c>
      <c r="F328" s="163">
        <f t="shared" si="157"/>
        <v>4017388</v>
      </c>
      <c r="G328" s="163">
        <f t="shared" si="157"/>
        <v>2495883</v>
      </c>
      <c r="H328" s="163">
        <f t="shared" si="157"/>
        <v>1521505</v>
      </c>
      <c r="I328" s="163">
        <f t="shared" si="157"/>
        <v>0</v>
      </c>
      <c r="J328" s="163">
        <f t="shared" si="157"/>
        <v>0</v>
      </c>
      <c r="K328" s="163">
        <f t="shared" si="157"/>
        <v>2035243</v>
      </c>
      <c r="L328" s="163">
        <f t="shared" si="157"/>
        <v>0</v>
      </c>
      <c r="M328" s="163">
        <f t="shared" si="157"/>
        <v>4560926</v>
      </c>
      <c r="N328" s="163">
        <f t="shared" si="157"/>
        <v>3060926</v>
      </c>
      <c r="O328" s="163">
        <f t="shared" si="157"/>
        <v>3060926</v>
      </c>
      <c r="P328" s="163">
        <f t="shared" si="157"/>
        <v>1500000</v>
      </c>
      <c r="Q328" s="171"/>
      <c r="R328" s="171"/>
      <c r="S328" s="171"/>
      <c r="T328" s="171"/>
      <c r="U328" s="171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  <c r="AQ328" s="172"/>
      <c r="AR328" s="172"/>
      <c r="AS328" s="172"/>
      <c r="AT328" s="172"/>
      <c r="AU328" s="172"/>
      <c r="AV328" s="172"/>
      <c r="AW328" s="172"/>
      <c r="AX328" s="172"/>
      <c r="AY328" s="172"/>
      <c r="AZ328" s="172"/>
      <c r="BA328" s="172"/>
      <c r="BB328" s="172"/>
      <c r="BC328" s="172"/>
      <c r="BD328" s="172"/>
      <c r="BE328" s="172"/>
      <c r="BF328" s="172"/>
      <c r="BG328" s="172"/>
      <c r="BH328" s="172"/>
      <c r="BI328" s="172"/>
      <c r="BJ328" s="172"/>
      <c r="BK328" s="172"/>
      <c r="BL328" s="172"/>
      <c r="BM328" s="172"/>
      <c r="BN328" s="172"/>
      <c r="BO328" s="172"/>
      <c r="BP328" s="172"/>
      <c r="BQ328" s="172"/>
      <c r="BR328" s="172"/>
      <c r="BS328" s="172"/>
      <c r="BT328" s="172"/>
      <c r="BU328" s="172"/>
      <c r="BV328" s="172"/>
      <c r="BW328" s="172"/>
      <c r="BX328" s="172"/>
      <c r="BY328" s="172"/>
      <c r="BZ328" s="172"/>
      <c r="CA328" s="172"/>
      <c r="CB328" s="172"/>
      <c r="CC328" s="172"/>
      <c r="CD328" s="172"/>
      <c r="CE328" s="172"/>
      <c r="CF328" s="172"/>
      <c r="CG328" s="172"/>
      <c r="CH328" s="172"/>
      <c r="CI328" s="172"/>
      <c r="CJ328" s="172"/>
      <c r="CK328" s="172"/>
      <c r="CL328" s="172"/>
      <c r="CM328" s="172"/>
      <c r="CN328" s="172"/>
      <c r="CO328" s="172"/>
      <c r="CP328" s="172"/>
      <c r="CQ328" s="172"/>
      <c r="CR328" s="172"/>
      <c r="CS328" s="172"/>
      <c r="CT328" s="172"/>
      <c r="CU328" s="172"/>
      <c r="CV328" s="172"/>
      <c r="CW328" s="172"/>
      <c r="CX328" s="172"/>
      <c r="CY328" s="172"/>
      <c r="CZ328" s="172"/>
      <c r="DA328" s="172"/>
      <c r="DB328" s="172"/>
      <c r="DC328" s="172"/>
      <c r="DD328" s="172"/>
      <c r="DE328" s="172"/>
      <c r="DF328" s="172"/>
      <c r="DG328" s="172"/>
      <c r="DH328" s="172"/>
      <c r="DI328" s="172"/>
      <c r="DJ328" s="172"/>
      <c r="DK328" s="172"/>
      <c r="DL328" s="172"/>
      <c r="DM328" s="172"/>
      <c r="DN328" s="172"/>
      <c r="DO328" s="172"/>
      <c r="DP328" s="172"/>
      <c r="DQ328" s="172"/>
      <c r="DR328" s="172"/>
      <c r="DS328" s="172"/>
      <c r="DT328" s="172"/>
      <c r="DU328" s="172"/>
      <c r="DV328" s="172"/>
      <c r="DW328" s="172"/>
      <c r="DX328" s="172"/>
      <c r="DY328" s="172"/>
      <c r="DZ328" s="172"/>
      <c r="EA328" s="172"/>
      <c r="EB328" s="172"/>
      <c r="EC328" s="172"/>
      <c r="ED328" s="172"/>
      <c r="EE328" s="172"/>
      <c r="EF328" s="172"/>
      <c r="EG328" s="172"/>
      <c r="EH328" s="172"/>
      <c r="EI328" s="172"/>
      <c r="EJ328" s="172"/>
      <c r="EK328" s="172"/>
      <c r="EL328" s="172"/>
      <c r="EM328" s="172"/>
      <c r="EN328" s="172"/>
      <c r="EO328" s="172"/>
      <c r="EP328" s="172"/>
      <c r="EQ328" s="172"/>
      <c r="ER328" s="172"/>
      <c r="ES328" s="172"/>
      <c r="ET328" s="172"/>
      <c r="EU328" s="172"/>
      <c r="EV328" s="172"/>
      <c r="EW328" s="172"/>
      <c r="EX328" s="172"/>
      <c r="EY328" s="172"/>
      <c r="EZ328" s="172"/>
      <c r="FA328" s="172"/>
      <c r="FB328" s="172"/>
      <c r="FC328" s="172"/>
      <c r="FD328" s="172"/>
      <c r="FE328" s="172"/>
      <c r="FF328" s="172"/>
      <c r="FG328" s="172"/>
      <c r="FH328" s="172"/>
      <c r="FI328" s="172"/>
      <c r="FJ328" s="172"/>
      <c r="FK328" s="172"/>
      <c r="FL328" s="172"/>
      <c r="FM328" s="172"/>
      <c r="FN328" s="172"/>
      <c r="FO328" s="172"/>
      <c r="FP328" s="172"/>
      <c r="FQ328" s="172"/>
      <c r="FR328" s="172"/>
      <c r="FS328" s="172"/>
      <c r="FT328" s="172"/>
      <c r="FU328" s="172"/>
      <c r="FV328" s="172"/>
      <c r="FW328" s="172"/>
      <c r="FX328" s="172"/>
      <c r="FY328" s="172"/>
      <c r="FZ328" s="172"/>
      <c r="GA328" s="172"/>
      <c r="GB328" s="172"/>
      <c r="GC328" s="172"/>
      <c r="GD328" s="172"/>
      <c r="GE328" s="172"/>
      <c r="GF328" s="172"/>
      <c r="GG328" s="172"/>
      <c r="GH328" s="172"/>
      <c r="GI328" s="172"/>
      <c r="GJ328" s="172"/>
      <c r="GK328" s="172"/>
      <c r="GL328" s="172"/>
      <c r="GM328" s="172"/>
      <c r="GN328" s="172"/>
      <c r="GO328" s="172"/>
      <c r="GP328" s="172"/>
      <c r="GQ328" s="172"/>
      <c r="GR328" s="172"/>
      <c r="GS328" s="172"/>
      <c r="GT328" s="172"/>
      <c r="GU328" s="172"/>
      <c r="GV328" s="172"/>
      <c r="GW328" s="172"/>
      <c r="GX328" s="172"/>
      <c r="GY328" s="172"/>
      <c r="GZ328" s="172"/>
      <c r="HA328" s="172"/>
      <c r="HB328" s="172"/>
      <c r="HC328" s="172"/>
      <c r="HD328" s="172"/>
      <c r="HE328" s="172"/>
      <c r="HF328" s="172"/>
      <c r="HG328" s="172"/>
      <c r="HH328" s="172"/>
      <c r="HI328" s="172"/>
      <c r="HJ328" s="172"/>
      <c r="HK328" s="172"/>
      <c r="HL328" s="172"/>
      <c r="HM328" s="172"/>
      <c r="HN328" s="172"/>
      <c r="HO328" s="172"/>
      <c r="HP328" s="172"/>
      <c r="HQ328" s="172"/>
      <c r="HR328" s="172"/>
      <c r="HS328" s="172"/>
      <c r="HT328" s="172"/>
      <c r="HU328" s="172"/>
      <c r="HV328" s="172"/>
      <c r="HW328" s="172"/>
      <c r="HX328" s="172"/>
      <c r="HY328" s="172"/>
      <c r="HZ328" s="172"/>
      <c r="IA328" s="172"/>
      <c r="IB328" s="172"/>
      <c r="IC328" s="172"/>
      <c r="ID328" s="172"/>
      <c r="IE328" s="172"/>
      <c r="IF328" s="172"/>
      <c r="IG328" s="172"/>
      <c r="IH328" s="172"/>
      <c r="II328" s="172"/>
      <c r="IJ328" s="172"/>
      <c r="IK328" s="172"/>
      <c r="IL328" s="172"/>
      <c r="IM328" s="172"/>
      <c r="IN328" s="172"/>
      <c r="IO328" s="172"/>
      <c r="IP328" s="172"/>
      <c r="IQ328" s="172"/>
      <c r="IR328" s="172"/>
      <c r="IS328" s="172"/>
      <c r="IT328" s="172"/>
      <c r="IU328" s="172"/>
      <c r="IV328" s="172"/>
    </row>
    <row r="329" spans="1:256" hidden="1">
      <c r="A329" s="823">
        <v>90005</v>
      </c>
      <c r="B329" s="826" t="s">
        <v>271</v>
      </c>
      <c r="C329" s="157" t="s">
        <v>0</v>
      </c>
      <c r="D329" s="158">
        <f t="shared" ref="D329:D348" si="158">E329+M329</f>
        <v>381000</v>
      </c>
      <c r="E329" s="159">
        <f t="shared" ref="E329:E348" si="159">F329+I329+J329+K329+L329</f>
        <v>381000</v>
      </c>
      <c r="F329" s="159">
        <f t="shared" ref="F329:F348" si="160">G329+H329</f>
        <v>381000</v>
      </c>
      <c r="G329" s="159">
        <v>228000</v>
      </c>
      <c r="H329" s="159">
        <f>153000</f>
        <v>153000</v>
      </c>
      <c r="I329" s="159">
        <v>0</v>
      </c>
      <c r="J329" s="159">
        <v>0</v>
      </c>
      <c r="K329" s="159">
        <v>0</v>
      </c>
      <c r="L329" s="159">
        <v>0</v>
      </c>
      <c r="M329" s="159">
        <f t="shared" ref="M329:M348" si="161">N329+P329</f>
        <v>0</v>
      </c>
      <c r="N329" s="159">
        <v>0</v>
      </c>
      <c r="O329" s="159">
        <v>0</v>
      </c>
      <c r="P329" s="159">
        <v>0</v>
      </c>
      <c r="Q329" s="166"/>
      <c r="R329" s="166"/>
      <c r="S329" s="166"/>
      <c r="T329" s="166"/>
      <c r="U329" s="166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  <c r="DS329" s="130"/>
      <c r="DT329" s="130"/>
      <c r="DU329" s="130"/>
      <c r="DV329" s="130"/>
      <c r="DW329" s="130"/>
      <c r="DX329" s="130"/>
      <c r="DY329" s="130"/>
      <c r="DZ329" s="130"/>
      <c r="EA329" s="130"/>
      <c r="EB329" s="130"/>
      <c r="EC329" s="130"/>
      <c r="ED329" s="130"/>
      <c r="EE329" s="130"/>
      <c r="EF329" s="130"/>
      <c r="EG329" s="130"/>
      <c r="EH329" s="130"/>
      <c r="EI329" s="130"/>
      <c r="EJ329" s="130"/>
      <c r="EK329" s="130"/>
      <c r="EL329" s="130"/>
      <c r="EM329" s="130"/>
      <c r="EN329" s="130"/>
      <c r="EO329" s="130"/>
      <c r="EP329" s="130"/>
      <c r="EQ329" s="130"/>
      <c r="ER329" s="130"/>
      <c r="ES329" s="130"/>
      <c r="ET329" s="130"/>
      <c r="EU329" s="130"/>
      <c r="EV329" s="130"/>
      <c r="EW329" s="130"/>
      <c r="EX329" s="130"/>
      <c r="EY329" s="130"/>
      <c r="EZ329" s="130"/>
      <c r="FA329" s="130"/>
      <c r="FB329" s="130"/>
      <c r="FC329" s="130"/>
      <c r="FD329" s="130"/>
      <c r="FE329" s="130"/>
      <c r="FF329" s="130"/>
      <c r="FG329" s="130"/>
      <c r="FH329" s="130"/>
      <c r="FI329" s="130"/>
      <c r="FJ329" s="130"/>
      <c r="FK329" s="130"/>
      <c r="FL329" s="130"/>
      <c r="FM329" s="130"/>
      <c r="FN329" s="130"/>
      <c r="FO329" s="130"/>
      <c r="FP329" s="130"/>
      <c r="FQ329" s="130"/>
      <c r="FR329" s="130"/>
      <c r="FS329" s="130"/>
      <c r="FT329" s="130"/>
      <c r="FU329" s="130"/>
      <c r="FV329" s="130"/>
      <c r="FW329" s="130"/>
      <c r="FX329" s="130"/>
      <c r="FY329" s="130"/>
      <c r="FZ329" s="130"/>
      <c r="GA329" s="130"/>
      <c r="GB329" s="130"/>
      <c r="GC329" s="130"/>
      <c r="GD329" s="130"/>
      <c r="GE329" s="130"/>
      <c r="GF329" s="130"/>
      <c r="GG329" s="130"/>
      <c r="GH329" s="130"/>
      <c r="GI329" s="130"/>
      <c r="GJ329" s="130"/>
      <c r="GK329" s="130"/>
      <c r="GL329" s="130"/>
      <c r="GM329" s="130"/>
      <c r="GN329" s="130"/>
      <c r="GO329" s="130"/>
      <c r="GP329" s="130"/>
      <c r="GQ329" s="130"/>
      <c r="GR329" s="130"/>
      <c r="GS329" s="130"/>
      <c r="GT329" s="130"/>
      <c r="GU329" s="130"/>
      <c r="GV329" s="130"/>
      <c r="GW329" s="130"/>
      <c r="GX329" s="130"/>
      <c r="GY329" s="130"/>
      <c r="GZ329" s="130"/>
      <c r="HA329" s="130"/>
      <c r="HB329" s="130"/>
      <c r="HC329" s="130"/>
      <c r="HD329" s="130"/>
      <c r="HE329" s="130"/>
      <c r="HF329" s="130"/>
      <c r="HG329" s="130"/>
      <c r="HH329" s="130"/>
      <c r="HI329" s="130"/>
      <c r="HJ329" s="130"/>
      <c r="HK329" s="130"/>
      <c r="HL329" s="130"/>
      <c r="HM329" s="130"/>
      <c r="HN329" s="130"/>
      <c r="HO329" s="130"/>
      <c r="HP329" s="130"/>
      <c r="HQ329" s="130"/>
      <c r="HR329" s="130"/>
      <c r="HS329" s="130"/>
      <c r="HT329" s="130"/>
      <c r="HU329" s="130"/>
      <c r="HV329" s="130"/>
      <c r="HW329" s="130"/>
      <c r="HX329" s="130"/>
      <c r="HY329" s="130"/>
      <c r="HZ329" s="130"/>
      <c r="IA329" s="130"/>
      <c r="IB329" s="130"/>
      <c r="IC329" s="130"/>
      <c r="ID329" s="130"/>
      <c r="IE329" s="130"/>
      <c r="IF329" s="130"/>
      <c r="IG329" s="130"/>
      <c r="IH329" s="130"/>
      <c r="II329" s="130"/>
      <c r="IJ329" s="130"/>
      <c r="IK329" s="130"/>
      <c r="IL329" s="130"/>
      <c r="IM329" s="130"/>
      <c r="IN329" s="130"/>
      <c r="IO329" s="130"/>
      <c r="IP329" s="130"/>
      <c r="IQ329" s="130"/>
      <c r="IR329" s="130"/>
      <c r="IS329" s="130"/>
      <c r="IT329" s="130"/>
      <c r="IU329" s="130"/>
      <c r="IV329" s="130"/>
    </row>
    <row r="330" spans="1:256" hidden="1">
      <c r="A330" s="824"/>
      <c r="B330" s="827"/>
      <c r="C330" s="157" t="s">
        <v>1</v>
      </c>
      <c r="D330" s="158">
        <f t="shared" si="158"/>
        <v>0</v>
      </c>
      <c r="E330" s="159">
        <f t="shared" si="159"/>
        <v>0</v>
      </c>
      <c r="F330" s="159">
        <f t="shared" si="160"/>
        <v>0</v>
      </c>
      <c r="G330" s="159"/>
      <c r="H330" s="159"/>
      <c r="I330" s="159"/>
      <c r="J330" s="159"/>
      <c r="K330" s="159"/>
      <c r="L330" s="159"/>
      <c r="M330" s="159">
        <f t="shared" si="161"/>
        <v>0</v>
      </c>
      <c r="N330" s="159"/>
      <c r="O330" s="159"/>
      <c r="P330" s="159"/>
      <c r="Q330" s="166"/>
      <c r="R330" s="166"/>
      <c r="S330" s="166"/>
      <c r="T330" s="166"/>
      <c r="U330" s="166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0"/>
      <c r="BW330" s="130"/>
      <c r="BX330" s="130"/>
      <c r="BY330" s="130"/>
      <c r="BZ330" s="130"/>
      <c r="CA330" s="130"/>
      <c r="CB330" s="130"/>
      <c r="CC330" s="130"/>
      <c r="CD330" s="130"/>
      <c r="CE330" s="130"/>
      <c r="CF330" s="130"/>
      <c r="CG330" s="130"/>
      <c r="CH330" s="130"/>
      <c r="CI330" s="130"/>
      <c r="CJ330" s="130"/>
      <c r="CK330" s="130"/>
      <c r="CL330" s="130"/>
      <c r="CM330" s="130"/>
      <c r="CN330" s="130"/>
      <c r="CO330" s="130"/>
      <c r="CP330" s="130"/>
      <c r="CQ330" s="130"/>
      <c r="CR330" s="130"/>
      <c r="CS330" s="130"/>
      <c r="CT330" s="130"/>
      <c r="CU330" s="130"/>
      <c r="CV330" s="130"/>
      <c r="CW330" s="130"/>
      <c r="CX330" s="130"/>
      <c r="CY330" s="130"/>
      <c r="CZ330" s="130"/>
      <c r="DA330" s="130"/>
      <c r="DB330" s="130"/>
      <c r="DC330" s="130"/>
      <c r="DD330" s="130"/>
      <c r="DE330" s="130"/>
      <c r="DF330" s="130"/>
      <c r="DG330" s="130"/>
      <c r="DH330" s="130"/>
      <c r="DI330" s="130"/>
      <c r="DJ330" s="130"/>
      <c r="DK330" s="130"/>
      <c r="DL330" s="130"/>
      <c r="DM330" s="130"/>
      <c r="DN330" s="130"/>
      <c r="DO330" s="130"/>
      <c r="DP330" s="130"/>
      <c r="DQ330" s="130"/>
      <c r="DR330" s="130"/>
      <c r="DS330" s="130"/>
      <c r="DT330" s="130"/>
      <c r="DU330" s="130"/>
      <c r="DV330" s="130"/>
      <c r="DW330" s="130"/>
      <c r="DX330" s="130"/>
      <c r="DY330" s="130"/>
      <c r="DZ330" s="130"/>
      <c r="EA330" s="130"/>
      <c r="EB330" s="130"/>
      <c r="EC330" s="130"/>
      <c r="ED330" s="130"/>
      <c r="EE330" s="130"/>
      <c r="EF330" s="130"/>
      <c r="EG330" s="130"/>
      <c r="EH330" s="130"/>
      <c r="EI330" s="130"/>
      <c r="EJ330" s="130"/>
      <c r="EK330" s="130"/>
      <c r="EL330" s="130"/>
      <c r="EM330" s="130"/>
      <c r="EN330" s="130"/>
      <c r="EO330" s="130"/>
      <c r="EP330" s="130"/>
      <c r="EQ330" s="130"/>
      <c r="ER330" s="130"/>
      <c r="ES330" s="130"/>
      <c r="ET330" s="130"/>
      <c r="EU330" s="130"/>
      <c r="EV330" s="130"/>
      <c r="EW330" s="130"/>
      <c r="EX330" s="130"/>
      <c r="EY330" s="130"/>
      <c r="EZ330" s="130"/>
      <c r="FA330" s="130"/>
      <c r="FB330" s="130"/>
      <c r="FC330" s="130"/>
      <c r="FD330" s="130"/>
      <c r="FE330" s="130"/>
      <c r="FF330" s="130"/>
      <c r="FG330" s="130"/>
      <c r="FH330" s="130"/>
      <c r="FI330" s="130"/>
      <c r="FJ330" s="130"/>
      <c r="FK330" s="130"/>
      <c r="FL330" s="130"/>
      <c r="FM330" s="130"/>
      <c r="FN330" s="130"/>
      <c r="FO330" s="130"/>
      <c r="FP330" s="130"/>
      <c r="FQ330" s="130"/>
      <c r="FR330" s="130"/>
      <c r="FS330" s="130"/>
      <c r="FT330" s="130"/>
      <c r="FU330" s="130"/>
      <c r="FV330" s="130"/>
      <c r="FW330" s="130"/>
      <c r="FX330" s="130"/>
      <c r="FY330" s="130"/>
      <c r="FZ330" s="130"/>
      <c r="GA330" s="130"/>
      <c r="GB330" s="130"/>
      <c r="GC330" s="130"/>
      <c r="GD330" s="130"/>
      <c r="GE330" s="130"/>
      <c r="GF330" s="130"/>
      <c r="GG330" s="130"/>
      <c r="GH330" s="130"/>
      <c r="GI330" s="130"/>
      <c r="GJ330" s="130"/>
      <c r="GK330" s="130"/>
      <c r="GL330" s="130"/>
      <c r="GM330" s="130"/>
      <c r="GN330" s="130"/>
      <c r="GO330" s="130"/>
      <c r="GP330" s="130"/>
      <c r="GQ330" s="130"/>
      <c r="GR330" s="130"/>
      <c r="GS330" s="130"/>
      <c r="GT330" s="130"/>
      <c r="GU330" s="130"/>
      <c r="GV330" s="130"/>
      <c r="GW330" s="130"/>
      <c r="GX330" s="130"/>
      <c r="GY330" s="130"/>
      <c r="GZ330" s="130"/>
      <c r="HA330" s="130"/>
      <c r="HB330" s="130"/>
      <c r="HC330" s="130"/>
      <c r="HD330" s="130"/>
      <c r="HE330" s="130"/>
      <c r="HF330" s="130"/>
      <c r="HG330" s="130"/>
      <c r="HH330" s="130"/>
      <c r="HI330" s="130"/>
      <c r="HJ330" s="130"/>
      <c r="HK330" s="130"/>
      <c r="HL330" s="130"/>
      <c r="HM330" s="130"/>
      <c r="HN330" s="130"/>
      <c r="HO330" s="130"/>
      <c r="HP330" s="130"/>
      <c r="HQ330" s="130"/>
      <c r="HR330" s="130"/>
      <c r="HS330" s="130"/>
      <c r="HT330" s="130"/>
      <c r="HU330" s="130"/>
      <c r="HV330" s="130"/>
      <c r="HW330" s="130"/>
      <c r="HX330" s="130"/>
      <c r="HY330" s="130"/>
      <c r="HZ330" s="130"/>
      <c r="IA330" s="130"/>
      <c r="IB330" s="130"/>
      <c r="IC330" s="130"/>
      <c r="ID330" s="130"/>
      <c r="IE330" s="130"/>
      <c r="IF330" s="130"/>
      <c r="IG330" s="130"/>
      <c r="IH330" s="130"/>
      <c r="II330" s="130"/>
      <c r="IJ330" s="130"/>
      <c r="IK330" s="130"/>
      <c r="IL330" s="130"/>
      <c r="IM330" s="130"/>
      <c r="IN330" s="130"/>
      <c r="IO330" s="130"/>
      <c r="IP330" s="130"/>
      <c r="IQ330" s="130"/>
      <c r="IR330" s="130"/>
      <c r="IS330" s="130"/>
      <c r="IT330" s="130"/>
      <c r="IU330" s="130"/>
      <c r="IV330" s="130"/>
    </row>
    <row r="331" spans="1:256" hidden="1">
      <c r="A331" s="825"/>
      <c r="B331" s="828"/>
      <c r="C331" s="157" t="s">
        <v>2</v>
      </c>
      <c r="D331" s="158">
        <f>D330+D329</f>
        <v>381000</v>
      </c>
      <c r="E331" s="159">
        <f t="shared" ref="E331:P331" si="162">E330+E329</f>
        <v>381000</v>
      </c>
      <c r="F331" s="159">
        <f t="shared" si="162"/>
        <v>381000</v>
      </c>
      <c r="G331" s="159">
        <f t="shared" si="162"/>
        <v>228000</v>
      </c>
      <c r="H331" s="159">
        <f t="shared" si="162"/>
        <v>153000</v>
      </c>
      <c r="I331" s="159">
        <f t="shared" si="162"/>
        <v>0</v>
      </c>
      <c r="J331" s="159">
        <f t="shared" si="162"/>
        <v>0</v>
      </c>
      <c r="K331" s="159">
        <f t="shared" si="162"/>
        <v>0</v>
      </c>
      <c r="L331" s="159">
        <f t="shared" si="162"/>
        <v>0</v>
      </c>
      <c r="M331" s="159">
        <f t="shared" si="162"/>
        <v>0</v>
      </c>
      <c r="N331" s="159">
        <f t="shared" si="162"/>
        <v>0</v>
      </c>
      <c r="O331" s="159">
        <f t="shared" si="162"/>
        <v>0</v>
      </c>
      <c r="P331" s="159">
        <f t="shared" si="162"/>
        <v>0</v>
      </c>
      <c r="Q331" s="166"/>
      <c r="R331" s="166"/>
      <c r="S331" s="166"/>
      <c r="T331" s="166"/>
      <c r="U331" s="166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/>
      <c r="BW331" s="130"/>
      <c r="BX331" s="130"/>
      <c r="BY331" s="130"/>
      <c r="BZ331" s="130"/>
      <c r="CA331" s="130"/>
      <c r="CB331" s="130"/>
      <c r="CC331" s="130"/>
      <c r="CD331" s="130"/>
      <c r="CE331" s="130"/>
      <c r="CF331" s="130"/>
      <c r="CG331" s="130"/>
      <c r="CH331" s="130"/>
      <c r="CI331" s="130"/>
      <c r="CJ331" s="130"/>
      <c r="CK331" s="130"/>
      <c r="CL331" s="130"/>
      <c r="CM331" s="130"/>
      <c r="CN331" s="130"/>
      <c r="CO331" s="130"/>
      <c r="CP331" s="130"/>
      <c r="CQ331" s="130"/>
      <c r="CR331" s="130"/>
      <c r="CS331" s="130"/>
      <c r="CT331" s="130"/>
      <c r="CU331" s="130"/>
      <c r="CV331" s="130"/>
      <c r="CW331" s="130"/>
      <c r="CX331" s="130"/>
      <c r="CY331" s="130"/>
      <c r="CZ331" s="130"/>
      <c r="DA331" s="130"/>
      <c r="DB331" s="130"/>
      <c r="DC331" s="130"/>
      <c r="DD331" s="130"/>
      <c r="DE331" s="130"/>
      <c r="DF331" s="130"/>
      <c r="DG331" s="130"/>
      <c r="DH331" s="130"/>
      <c r="DI331" s="130"/>
      <c r="DJ331" s="130"/>
      <c r="DK331" s="130"/>
      <c r="DL331" s="130"/>
      <c r="DM331" s="130"/>
      <c r="DN331" s="130"/>
      <c r="DO331" s="130"/>
      <c r="DP331" s="130"/>
      <c r="DQ331" s="130"/>
      <c r="DR331" s="130"/>
      <c r="DS331" s="130"/>
      <c r="DT331" s="130"/>
      <c r="DU331" s="130"/>
      <c r="DV331" s="130"/>
      <c r="DW331" s="130"/>
      <c r="DX331" s="130"/>
      <c r="DY331" s="130"/>
      <c r="DZ331" s="130"/>
      <c r="EA331" s="130"/>
      <c r="EB331" s="130"/>
      <c r="EC331" s="130"/>
      <c r="ED331" s="130"/>
      <c r="EE331" s="130"/>
      <c r="EF331" s="130"/>
      <c r="EG331" s="130"/>
      <c r="EH331" s="130"/>
      <c r="EI331" s="130"/>
      <c r="EJ331" s="130"/>
      <c r="EK331" s="130"/>
      <c r="EL331" s="130"/>
      <c r="EM331" s="130"/>
      <c r="EN331" s="130"/>
      <c r="EO331" s="130"/>
      <c r="EP331" s="130"/>
      <c r="EQ331" s="130"/>
      <c r="ER331" s="130"/>
      <c r="ES331" s="130"/>
      <c r="ET331" s="130"/>
      <c r="EU331" s="130"/>
      <c r="EV331" s="130"/>
      <c r="EW331" s="130"/>
      <c r="EX331" s="130"/>
      <c r="EY331" s="130"/>
      <c r="EZ331" s="130"/>
      <c r="FA331" s="130"/>
      <c r="FB331" s="130"/>
      <c r="FC331" s="130"/>
      <c r="FD331" s="130"/>
      <c r="FE331" s="130"/>
      <c r="FF331" s="130"/>
      <c r="FG331" s="130"/>
      <c r="FH331" s="130"/>
      <c r="FI331" s="130"/>
      <c r="FJ331" s="130"/>
      <c r="FK331" s="130"/>
      <c r="FL331" s="130"/>
      <c r="FM331" s="130"/>
      <c r="FN331" s="130"/>
      <c r="FO331" s="130"/>
      <c r="FP331" s="130"/>
      <c r="FQ331" s="130"/>
      <c r="FR331" s="130"/>
      <c r="FS331" s="130"/>
      <c r="FT331" s="130"/>
      <c r="FU331" s="130"/>
      <c r="FV331" s="130"/>
      <c r="FW331" s="130"/>
      <c r="FX331" s="130"/>
      <c r="FY331" s="130"/>
      <c r="FZ331" s="130"/>
      <c r="GA331" s="130"/>
      <c r="GB331" s="130"/>
      <c r="GC331" s="130"/>
      <c r="GD331" s="130"/>
      <c r="GE331" s="130"/>
      <c r="GF331" s="130"/>
      <c r="GG331" s="130"/>
      <c r="GH331" s="130"/>
      <c r="GI331" s="130"/>
      <c r="GJ331" s="130"/>
      <c r="GK331" s="130"/>
      <c r="GL331" s="130"/>
      <c r="GM331" s="130"/>
      <c r="GN331" s="130"/>
      <c r="GO331" s="130"/>
      <c r="GP331" s="130"/>
      <c r="GQ331" s="130"/>
      <c r="GR331" s="130"/>
      <c r="GS331" s="130"/>
      <c r="GT331" s="130"/>
      <c r="GU331" s="130"/>
      <c r="GV331" s="130"/>
      <c r="GW331" s="130"/>
      <c r="GX331" s="130"/>
      <c r="GY331" s="130"/>
      <c r="GZ331" s="130"/>
      <c r="HA331" s="130"/>
      <c r="HB331" s="130"/>
      <c r="HC331" s="130"/>
      <c r="HD331" s="130"/>
      <c r="HE331" s="130"/>
      <c r="HF331" s="130"/>
      <c r="HG331" s="130"/>
      <c r="HH331" s="130"/>
      <c r="HI331" s="130"/>
      <c r="HJ331" s="130"/>
      <c r="HK331" s="130"/>
      <c r="HL331" s="130"/>
      <c r="HM331" s="130"/>
      <c r="HN331" s="130"/>
      <c r="HO331" s="130"/>
      <c r="HP331" s="130"/>
      <c r="HQ331" s="130"/>
      <c r="HR331" s="130"/>
      <c r="HS331" s="130"/>
      <c r="HT331" s="130"/>
      <c r="HU331" s="130"/>
      <c r="HV331" s="130"/>
      <c r="HW331" s="130"/>
      <c r="HX331" s="130"/>
      <c r="HY331" s="130"/>
      <c r="HZ331" s="130"/>
      <c r="IA331" s="130"/>
      <c r="IB331" s="130"/>
      <c r="IC331" s="130"/>
      <c r="ID331" s="130"/>
      <c r="IE331" s="130"/>
      <c r="IF331" s="130"/>
      <c r="IG331" s="130"/>
      <c r="IH331" s="130"/>
      <c r="II331" s="130"/>
      <c r="IJ331" s="130"/>
      <c r="IK331" s="130"/>
      <c r="IL331" s="130"/>
      <c r="IM331" s="130"/>
      <c r="IN331" s="130"/>
      <c r="IO331" s="130"/>
      <c r="IP331" s="130"/>
      <c r="IQ331" s="130"/>
      <c r="IR331" s="130"/>
      <c r="IS331" s="130"/>
      <c r="IT331" s="130"/>
      <c r="IU331" s="130"/>
      <c r="IV331" s="130"/>
    </row>
    <row r="332" spans="1:256" hidden="1">
      <c r="A332" s="823">
        <v>90007</v>
      </c>
      <c r="B332" s="826" t="s">
        <v>272</v>
      </c>
      <c r="C332" s="157" t="s">
        <v>0</v>
      </c>
      <c r="D332" s="158">
        <f t="shared" si="158"/>
        <v>66000</v>
      </c>
      <c r="E332" s="159">
        <f t="shared" si="159"/>
        <v>66000</v>
      </c>
      <c r="F332" s="159">
        <f t="shared" si="160"/>
        <v>66000</v>
      </c>
      <c r="G332" s="159">
        <v>0</v>
      </c>
      <c r="H332" s="159">
        <v>66000</v>
      </c>
      <c r="I332" s="159">
        <v>0</v>
      </c>
      <c r="J332" s="159">
        <v>0</v>
      </c>
      <c r="K332" s="159">
        <v>0</v>
      </c>
      <c r="L332" s="159">
        <v>0</v>
      </c>
      <c r="M332" s="159">
        <f t="shared" si="161"/>
        <v>0</v>
      </c>
      <c r="N332" s="159">
        <v>0</v>
      </c>
      <c r="O332" s="159">
        <v>0</v>
      </c>
      <c r="P332" s="159">
        <v>0</v>
      </c>
      <c r="Q332" s="166"/>
      <c r="R332" s="166"/>
      <c r="S332" s="166"/>
      <c r="T332" s="166"/>
      <c r="U332" s="166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0"/>
      <c r="BW332" s="130"/>
      <c r="BX332" s="130"/>
      <c r="BY332" s="130"/>
      <c r="BZ332" s="130"/>
      <c r="CA332" s="130"/>
      <c r="CB332" s="130"/>
      <c r="CC332" s="130"/>
      <c r="CD332" s="130"/>
      <c r="CE332" s="130"/>
      <c r="CF332" s="130"/>
      <c r="CG332" s="130"/>
      <c r="CH332" s="130"/>
      <c r="CI332" s="130"/>
      <c r="CJ332" s="130"/>
      <c r="CK332" s="130"/>
      <c r="CL332" s="130"/>
      <c r="CM332" s="130"/>
      <c r="CN332" s="130"/>
      <c r="CO332" s="130"/>
      <c r="CP332" s="130"/>
      <c r="CQ332" s="130"/>
      <c r="CR332" s="130"/>
      <c r="CS332" s="130"/>
      <c r="CT332" s="130"/>
      <c r="CU332" s="130"/>
      <c r="CV332" s="130"/>
      <c r="CW332" s="130"/>
      <c r="CX332" s="130"/>
      <c r="CY332" s="130"/>
      <c r="CZ332" s="130"/>
      <c r="DA332" s="130"/>
      <c r="DB332" s="130"/>
      <c r="DC332" s="130"/>
      <c r="DD332" s="130"/>
      <c r="DE332" s="130"/>
      <c r="DF332" s="130"/>
      <c r="DG332" s="130"/>
      <c r="DH332" s="130"/>
      <c r="DI332" s="130"/>
      <c r="DJ332" s="130"/>
      <c r="DK332" s="130"/>
      <c r="DL332" s="130"/>
      <c r="DM332" s="130"/>
      <c r="DN332" s="130"/>
      <c r="DO332" s="130"/>
      <c r="DP332" s="130"/>
      <c r="DQ332" s="130"/>
      <c r="DR332" s="130"/>
      <c r="DS332" s="130"/>
      <c r="DT332" s="130"/>
      <c r="DU332" s="130"/>
      <c r="DV332" s="130"/>
      <c r="DW332" s="130"/>
      <c r="DX332" s="130"/>
      <c r="DY332" s="130"/>
      <c r="DZ332" s="130"/>
      <c r="EA332" s="130"/>
      <c r="EB332" s="130"/>
      <c r="EC332" s="130"/>
      <c r="ED332" s="130"/>
      <c r="EE332" s="130"/>
      <c r="EF332" s="130"/>
      <c r="EG332" s="130"/>
      <c r="EH332" s="130"/>
      <c r="EI332" s="130"/>
      <c r="EJ332" s="130"/>
      <c r="EK332" s="130"/>
      <c r="EL332" s="130"/>
      <c r="EM332" s="130"/>
      <c r="EN332" s="130"/>
      <c r="EO332" s="130"/>
      <c r="EP332" s="130"/>
      <c r="EQ332" s="130"/>
      <c r="ER332" s="130"/>
      <c r="ES332" s="130"/>
      <c r="ET332" s="130"/>
      <c r="EU332" s="130"/>
      <c r="EV332" s="130"/>
      <c r="EW332" s="130"/>
      <c r="EX332" s="130"/>
      <c r="EY332" s="130"/>
      <c r="EZ332" s="130"/>
      <c r="FA332" s="130"/>
      <c r="FB332" s="130"/>
      <c r="FC332" s="130"/>
      <c r="FD332" s="130"/>
      <c r="FE332" s="130"/>
      <c r="FF332" s="130"/>
      <c r="FG332" s="130"/>
      <c r="FH332" s="130"/>
      <c r="FI332" s="130"/>
      <c r="FJ332" s="130"/>
      <c r="FK332" s="130"/>
      <c r="FL332" s="130"/>
      <c r="FM332" s="130"/>
      <c r="FN332" s="130"/>
      <c r="FO332" s="130"/>
      <c r="FP332" s="130"/>
      <c r="FQ332" s="130"/>
      <c r="FR332" s="130"/>
      <c r="FS332" s="130"/>
      <c r="FT332" s="130"/>
      <c r="FU332" s="130"/>
      <c r="FV332" s="130"/>
      <c r="FW332" s="130"/>
      <c r="FX332" s="130"/>
      <c r="FY332" s="130"/>
      <c r="FZ332" s="130"/>
      <c r="GA332" s="130"/>
      <c r="GB332" s="130"/>
      <c r="GC332" s="130"/>
      <c r="GD332" s="130"/>
      <c r="GE332" s="130"/>
      <c r="GF332" s="130"/>
      <c r="GG332" s="130"/>
      <c r="GH332" s="130"/>
      <c r="GI332" s="130"/>
      <c r="GJ332" s="130"/>
      <c r="GK332" s="130"/>
      <c r="GL332" s="130"/>
      <c r="GM332" s="130"/>
      <c r="GN332" s="130"/>
      <c r="GO332" s="130"/>
      <c r="GP332" s="130"/>
      <c r="GQ332" s="130"/>
      <c r="GR332" s="130"/>
      <c r="GS332" s="130"/>
      <c r="GT332" s="130"/>
      <c r="GU332" s="130"/>
      <c r="GV332" s="130"/>
      <c r="GW332" s="130"/>
      <c r="GX332" s="130"/>
      <c r="GY332" s="130"/>
      <c r="GZ332" s="130"/>
      <c r="HA332" s="130"/>
      <c r="HB332" s="130"/>
      <c r="HC332" s="130"/>
      <c r="HD332" s="130"/>
      <c r="HE332" s="130"/>
      <c r="HF332" s="130"/>
      <c r="HG332" s="130"/>
      <c r="HH332" s="130"/>
      <c r="HI332" s="130"/>
      <c r="HJ332" s="130"/>
      <c r="HK332" s="130"/>
      <c r="HL332" s="130"/>
      <c r="HM332" s="130"/>
      <c r="HN332" s="130"/>
      <c r="HO332" s="130"/>
      <c r="HP332" s="130"/>
      <c r="HQ332" s="130"/>
      <c r="HR332" s="130"/>
      <c r="HS332" s="130"/>
      <c r="HT332" s="130"/>
      <c r="HU332" s="130"/>
      <c r="HV332" s="130"/>
      <c r="HW332" s="130"/>
      <c r="HX332" s="130"/>
      <c r="HY332" s="130"/>
      <c r="HZ332" s="130"/>
      <c r="IA332" s="130"/>
      <c r="IB332" s="130"/>
      <c r="IC332" s="130"/>
      <c r="ID332" s="130"/>
      <c r="IE332" s="130"/>
      <c r="IF332" s="130"/>
      <c r="IG332" s="130"/>
      <c r="IH332" s="130"/>
      <c r="II332" s="130"/>
      <c r="IJ332" s="130"/>
      <c r="IK332" s="130"/>
      <c r="IL332" s="130"/>
      <c r="IM332" s="130"/>
      <c r="IN332" s="130"/>
      <c r="IO332" s="130"/>
      <c r="IP332" s="130"/>
      <c r="IQ332" s="130"/>
      <c r="IR332" s="130"/>
      <c r="IS332" s="130"/>
      <c r="IT332" s="130"/>
      <c r="IU332" s="130"/>
      <c r="IV332" s="130"/>
    </row>
    <row r="333" spans="1:256" hidden="1">
      <c r="A333" s="824"/>
      <c r="B333" s="827"/>
      <c r="C333" s="157" t="s">
        <v>1</v>
      </c>
      <c r="D333" s="158">
        <f t="shared" si="158"/>
        <v>0</v>
      </c>
      <c r="E333" s="159">
        <f t="shared" si="159"/>
        <v>0</v>
      </c>
      <c r="F333" s="159">
        <f t="shared" si="160"/>
        <v>0</v>
      </c>
      <c r="G333" s="159"/>
      <c r="H333" s="159"/>
      <c r="I333" s="159"/>
      <c r="J333" s="159"/>
      <c r="K333" s="159"/>
      <c r="L333" s="159"/>
      <c r="M333" s="159">
        <f t="shared" si="161"/>
        <v>0</v>
      </c>
      <c r="N333" s="159"/>
      <c r="O333" s="159"/>
      <c r="P333" s="159"/>
      <c r="Q333" s="166"/>
      <c r="R333" s="166"/>
      <c r="S333" s="166"/>
      <c r="T333" s="166"/>
      <c r="U333" s="166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0"/>
      <c r="CA333" s="130"/>
      <c r="CB333" s="130"/>
      <c r="CC333" s="130"/>
      <c r="CD333" s="130"/>
      <c r="CE333" s="130"/>
      <c r="CF333" s="130"/>
      <c r="CG333" s="130"/>
      <c r="CH333" s="130"/>
      <c r="CI333" s="130"/>
      <c r="CJ333" s="130"/>
      <c r="CK333" s="130"/>
      <c r="CL333" s="130"/>
      <c r="CM333" s="130"/>
      <c r="CN333" s="130"/>
      <c r="CO333" s="130"/>
      <c r="CP333" s="130"/>
      <c r="CQ333" s="130"/>
      <c r="CR333" s="130"/>
      <c r="CS333" s="130"/>
      <c r="CT333" s="130"/>
      <c r="CU333" s="130"/>
      <c r="CV333" s="130"/>
      <c r="CW333" s="130"/>
      <c r="CX333" s="130"/>
      <c r="CY333" s="130"/>
      <c r="CZ333" s="130"/>
      <c r="DA333" s="130"/>
      <c r="DB333" s="130"/>
      <c r="DC333" s="130"/>
      <c r="DD333" s="130"/>
      <c r="DE333" s="130"/>
      <c r="DF333" s="130"/>
      <c r="DG333" s="130"/>
      <c r="DH333" s="130"/>
      <c r="DI333" s="130"/>
      <c r="DJ333" s="130"/>
      <c r="DK333" s="130"/>
      <c r="DL333" s="130"/>
      <c r="DM333" s="130"/>
      <c r="DN333" s="130"/>
      <c r="DO333" s="130"/>
      <c r="DP333" s="130"/>
      <c r="DQ333" s="130"/>
      <c r="DR333" s="130"/>
      <c r="DS333" s="130"/>
      <c r="DT333" s="130"/>
      <c r="DU333" s="130"/>
      <c r="DV333" s="130"/>
      <c r="DW333" s="130"/>
      <c r="DX333" s="130"/>
      <c r="DY333" s="130"/>
      <c r="DZ333" s="130"/>
      <c r="EA333" s="130"/>
      <c r="EB333" s="130"/>
      <c r="EC333" s="130"/>
      <c r="ED333" s="130"/>
      <c r="EE333" s="130"/>
      <c r="EF333" s="130"/>
      <c r="EG333" s="130"/>
      <c r="EH333" s="130"/>
      <c r="EI333" s="130"/>
      <c r="EJ333" s="130"/>
      <c r="EK333" s="130"/>
      <c r="EL333" s="130"/>
      <c r="EM333" s="130"/>
      <c r="EN333" s="130"/>
      <c r="EO333" s="130"/>
      <c r="EP333" s="130"/>
      <c r="EQ333" s="130"/>
      <c r="ER333" s="130"/>
      <c r="ES333" s="130"/>
      <c r="ET333" s="130"/>
      <c r="EU333" s="130"/>
      <c r="EV333" s="130"/>
      <c r="EW333" s="130"/>
      <c r="EX333" s="130"/>
      <c r="EY333" s="130"/>
      <c r="EZ333" s="130"/>
      <c r="FA333" s="130"/>
      <c r="FB333" s="130"/>
      <c r="FC333" s="130"/>
      <c r="FD333" s="130"/>
      <c r="FE333" s="130"/>
      <c r="FF333" s="130"/>
      <c r="FG333" s="130"/>
      <c r="FH333" s="130"/>
      <c r="FI333" s="130"/>
      <c r="FJ333" s="130"/>
      <c r="FK333" s="130"/>
      <c r="FL333" s="130"/>
      <c r="FM333" s="130"/>
      <c r="FN333" s="130"/>
      <c r="FO333" s="130"/>
      <c r="FP333" s="130"/>
      <c r="FQ333" s="130"/>
      <c r="FR333" s="130"/>
      <c r="FS333" s="130"/>
      <c r="FT333" s="130"/>
      <c r="FU333" s="130"/>
      <c r="FV333" s="130"/>
      <c r="FW333" s="130"/>
      <c r="FX333" s="130"/>
      <c r="FY333" s="130"/>
      <c r="FZ333" s="130"/>
      <c r="GA333" s="130"/>
      <c r="GB333" s="130"/>
      <c r="GC333" s="130"/>
      <c r="GD333" s="130"/>
      <c r="GE333" s="130"/>
      <c r="GF333" s="130"/>
      <c r="GG333" s="130"/>
      <c r="GH333" s="130"/>
      <c r="GI333" s="130"/>
      <c r="GJ333" s="130"/>
      <c r="GK333" s="130"/>
      <c r="GL333" s="130"/>
      <c r="GM333" s="130"/>
      <c r="GN333" s="130"/>
      <c r="GO333" s="130"/>
      <c r="GP333" s="130"/>
      <c r="GQ333" s="130"/>
      <c r="GR333" s="130"/>
      <c r="GS333" s="130"/>
      <c r="GT333" s="130"/>
      <c r="GU333" s="130"/>
      <c r="GV333" s="130"/>
      <c r="GW333" s="130"/>
      <c r="GX333" s="130"/>
      <c r="GY333" s="130"/>
      <c r="GZ333" s="130"/>
      <c r="HA333" s="130"/>
      <c r="HB333" s="130"/>
      <c r="HC333" s="130"/>
      <c r="HD333" s="130"/>
      <c r="HE333" s="130"/>
      <c r="HF333" s="130"/>
      <c r="HG333" s="130"/>
      <c r="HH333" s="130"/>
      <c r="HI333" s="130"/>
      <c r="HJ333" s="130"/>
      <c r="HK333" s="130"/>
      <c r="HL333" s="130"/>
      <c r="HM333" s="130"/>
      <c r="HN333" s="130"/>
      <c r="HO333" s="130"/>
      <c r="HP333" s="130"/>
      <c r="HQ333" s="130"/>
      <c r="HR333" s="130"/>
      <c r="HS333" s="130"/>
      <c r="HT333" s="130"/>
      <c r="HU333" s="130"/>
      <c r="HV333" s="130"/>
      <c r="HW333" s="130"/>
      <c r="HX333" s="130"/>
      <c r="HY333" s="130"/>
      <c r="HZ333" s="130"/>
      <c r="IA333" s="130"/>
      <c r="IB333" s="130"/>
      <c r="IC333" s="130"/>
      <c r="ID333" s="130"/>
      <c r="IE333" s="130"/>
      <c r="IF333" s="130"/>
      <c r="IG333" s="130"/>
      <c r="IH333" s="130"/>
      <c r="II333" s="130"/>
      <c r="IJ333" s="130"/>
      <c r="IK333" s="130"/>
      <c r="IL333" s="130"/>
      <c r="IM333" s="130"/>
      <c r="IN333" s="130"/>
      <c r="IO333" s="130"/>
      <c r="IP333" s="130"/>
      <c r="IQ333" s="130"/>
      <c r="IR333" s="130"/>
      <c r="IS333" s="130"/>
      <c r="IT333" s="130"/>
      <c r="IU333" s="130"/>
      <c r="IV333" s="130"/>
    </row>
    <row r="334" spans="1:256" hidden="1">
      <c r="A334" s="825"/>
      <c r="B334" s="828"/>
      <c r="C334" s="157" t="s">
        <v>2</v>
      </c>
      <c r="D334" s="158">
        <f>D333+D332</f>
        <v>66000</v>
      </c>
      <c r="E334" s="159">
        <f t="shared" ref="E334:P334" si="163">E333+E332</f>
        <v>66000</v>
      </c>
      <c r="F334" s="159">
        <f t="shared" si="163"/>
        <v>66000</v>
      </c>
      <c r="G334" s="159">
        <f t="shared" si="163"/>
        <v>0</v>
      </c>
      <c r="H334" s="159">
        <f t="shared" si="163"/>
        <v>66000</v>
      </c>
      <c r="I334" s="159">
        <f t="shared" si="163"/>
        <v>0</v>
      </c>
      <c r="J334" s="159">
        <f t="shared" si="163"/>
        <v>0</v>
      </c>
      <c r="K334" s="159">
        <f t="shared" si="163"/>
        <v>0</v>
      </c>
      <c r="L334" s="159">
        <f t="shared" si="163"/>
        <v>0</v>
      </c>
      <c r="M334" s="159">
        <f t="shared" si="163"/>
        <v>0</v>
      </c>
      <c r="N334" s="159">
        <f t="shared" si="163"/>
        <v>0</v>
      </c>
      <c r="O334" s="159">
        <f t="shared" si="163"/>
        <v>0</v>
      </c>
      <c r="P334" s="159">
        <f t="shared" si="163"/>
        <v>0</v>
      </c>
      <c r="Q334" s="166"/>
      <c r="R334" s="166"/>
      <c r="S334" s="166"/>
      <c r="T334" s="166"/>
      <c r="U334" s="166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30"/>
      <c r="CB334" s="130"/>
      <c r="CC334" s="130"/>
      <c r="CD334" s="130"/>
      <c r="CE334" s="130"/>
      <c r="CF334" s="130"/>
      <c r="CG334" s="130"/>
      <c r="CH334" s="130"/>
      <c r="CI334" s="130"/>
      <c r="CJ334" s="130"/>
      <c r="CK334" s="130"/>
      <c r="CL334" s="130"/>
      <c r="CM334" s="130"/>
      <c r="CN334" s="130"/>
      <c r="CO334" s="130"/>
      <c r="CP334" s="130"/>
      <c r="CQ334" s="130"/>
      <c r="CR334" s="130"/>
      <c r="CS334" s="130"/>
      <c r="CT334" s="130"/>
      <c r="CU334" s="130"/>
      <c r="CV334" s="130"/>
      <c r="CW334" s="130"/>
      <c r="CX334" s="130"/>
      <c r="CY334" s="130"/>
      <c r="CZ334" s="130"/>
      <c r="DA334" s="130"/>
      <c r="DB334" s="130"/>
      <c r="DC334" s="130"/>
      <c r="DD334" s="130"/>
      <c r="DE334" s="130"/>
      <c r="DF334" s="130"/>
      <c r="DG334" s="130"/>
      <c r="DH334" s="130"/>
      <c r="DI334" s="130"/>
      <c r="DJ334" s="130"/>
      <c r="DK334" s="130"/>
      <c r="DL334" s="130"/>
      <c r="DM334" s="130"/>
      <c r="DN334" s="130"/>
      <c r="DO334" s="130"/>
      <c r="DP334" s="130"/>
      <c r="DQ334" s="130"/>
      <c r="DR334" s="130"/>
      <c r="DS334" s="130"/>
      <c r="DT334" s="130"/>
      <c r="DU334" s="130"/>
      <c r="DV334" s="130"/>
      <c r="DW334" s="130"/>
      <c r="DX334" s="130"/>
      <c r="DY334" s="130"/>
      <c r="DZ334" s="130"/>
      <c r="EA334" s="130"/>
      <c r="EB334" s="130"/>
      <c r="EC334" s="130"/>
      <c r="ED334" s="130"/>
      <c r="EE334" s="130"/>
      <c r="EF334" s="130"/>
      <c r="EG334" s="130"/>
      <c r="EH334" s="130"/>
      <c r="EI334" s="130"/>
      <c r="EJ334" s="130"/>
      <c r="EK334" s="130"/>
      <c r="EL334" s="130"/>
      <c r="EM334" s="130"/>
      <c r="EN334" s="130"/>
      <c r="EO334" s="130"/>
      <c r="EP334" s="130"/>
      <c r="EQ334" s="130"/>
      <c r="ER334" s="130"/>
      <c r="ES334" s="130"/>
      <c r="ET334" s="130"/>
      <c r="EU334" s="130"/>
      <c r="EV334" s="130"/>
      <c r="EW334" s="130"/>
      <c r="EX334" s="130"/>
      <c r="EY334" s="130"/>
      <c r="EZ334" s="130"/>
      <c r="FA334" s="130"/>
      <c r="FB334" s="130"/>
      <c r="FC334" s="130"/>
      <c r="FD334" s="130"/>
      <c r="FE334" s="130"/>
      <c r="FF334" s="130"/>
      <c r="FG334" s="130"/>
      <c r="FH334" s="130"/>
      <c r="FI334" s="130"/>
      <c r="FJ334" s="130"/>
      <c r="FK334" s="130"/>
      <c r="FL334" s="130"/>
      <c r="FM334" s="130"/>
      <c r="FN334" s="130"/>
      <c r="FO334" s="130"/>
      <c r="FP334" s="130"/>
      <c r="FQ334" s="130"/>
      <c r="FR334" s="130"/>
      <c r="FS334" s="130"/>
      <c r="FT334" s="130"/>
      <c r="FU334" s="130"/>
      <c r="FV334" s="130"/>
      <c r="FW334" s="130"/>
      <c r="FX334" s="130"/>
      <c r="FY334" s="130"/>
      <c r="FZ334" s="130"/>
      <c r="GA334" s="130"/>
      <c r="GB334" s="130"/>
      <c r="GC334" s="130"/>
      <c r="GD334" s="130"/>
      <c r="GE334" s="130"/>
      <c r="GF334" s="130"/>
      <c r="GG334" s="130"/>
      <c r="GH334" s="130"/>
      <c r="GI334" s="130"/>
      <c r="GJ334" s="130"/>
      <c r="GK334" s="130"/>
      <c r="GL334" s="130"/>
      <c r="GM334" s="130"/>
      <c r="GN334" s="130"/>
      <c r="GO334" s="130"/>
      <c r="GP334" s="130"/>
      <c r="GQ334" s="130"/>
      <c r="GR334" s="130"/>
      <c r="GS334" s="130"/>
      <c r="GT334" s="130"/>
      <c r="GU334" s="130"/>
      <c r="GV334" s="130"/>
      <c r="GW334" s="130"/>
      <c r="GX334" s="130"/>
      <c r="GY334" s="130"/>
      <c r="GZ334" s="130"/>
      <c r="HA334" s="130"/>
      <c r="HB334" s="130"/>
      <c r="HC334" s="130"/>
      <c r="HD334" s="130"/>
      <c r="HE334" s="130"/>
      <c r="HF334" s="130"/>
      <c r="HG334" s="130"/>
      <c r="HH334" s="130"/>
      <c r="HI334" s="130"/>
      <c r="HJ334" s="130"/>
      <c r="HK334" s="130"/>
      <c r="HL334" s="130"/>
      <c r="HM334" s="130"/>
      <c r="HN334" s="130"/>
      <c r="HO334" s="130"/>
      <c r="HP334" s="130"/>
      <c r="HQ334" s="130"/>
      <c r="HR334" s="130"/>
      <c r="HS334" s="130"/>
      <c r="HT334" s="130"/>
      <c r="HU334" s="130"/>
      <c r="HV334" s="130"/>
      <c r="HW334" s="130"/>
      <c r="HX334" s="130"/>
      <c r="HY334" s="130"/>
      <c r="HZ334" s="130"/>
      <c r="IA334" s="130"/>
      <c r="IB334" s="130"/>
      <c r="IC334" s="130"/>
      <c r="ID334" s="130"/>
      <c r="IE334" s="130"/>
      <c r="IF334" s="130"/>
      <c r="IG334" s="130"/>
      <c r="IH334" s="130"/>
      <c r="II334" s="130"/>
      <c r="IJ334" s="130"/>
      <c r="IK334" s="130"/>
      <c r="IL334" s="130"/>
      <c r="IM334" s="130"/>
      <c r="IN334" s="130"/>
      <c r="IO334" s="130"/>
      <c r="IP334" s="130"/>
      <c r="IQ334" s="130"/>
      <c r="IR334" s="130"/>
      <c r="IS334" s="130"/>
      <c r="IT334" s="130"/>
      <c r="IU334" s="130"/>
      <c r="IV334" s="130"/>
    </row>
    <row r="335" spans="1:256" hidden="1">
      <c r="A335" s="823">
        <v>90019</v>
      </c>
      <c r="B335" s="826" t="s">
        <v>273</v>
      </c>
      <c r="C335" s="157" t="s">
        <v>0</v>
      </c>
      <c r="D335" s="158">
        <f t="shared" si="158"/>
        <v>910000</v>
      </c>
      <c r="E335" s="159">
        <f t="shared" si="159"/>
        <v>910000</v>
      </c>
      <c r="F335" s="159">
        <f t="shared" si="160"/>
        <v>910000</v>
      </c>
      <c r="G335" s="159">
        <v>843600</v>
      </c>
      <c r="H335" s="159">
        <f>40000+20000+400+6000</f>
        <v>66400</v>
      </c>
      <c r="I335" s="159">
        <v>0</v>
      </c>
      <c r="J335" s="159">
        <v>0</v>
      </c>
      <c r="K335" s="159">
        <v>0</v>
      </c>
      <c r="L335" s="159">
        <v>0</v>
      </c>
      <c r="M335" s="159">
        <f t="shared" si="161"/>
        <v>0</v>
      </c>
      <c r="N335" s="159">
        <v>0</v>
      </c>
      <c r="O335" s="159">
        <v>0</v>
      </c>
      <c r="P335" s="159">
        <v>0</v>
      </c>
      <c r="Q335" s="160"/>
      <c r="R335" s="160"/>
      <c r="S335" s="160"/>
      <c r="T335" s="160"/>
      <c r="U335" s="160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1"/>
      <c r="BN335" s="151"/>
      <c r="BO335" s="151"/>
      <c r="BP335" s="151"/>
      <c r="BQ335" s="151"/>
      <c r="BR335" s="151"/>
      <c r="BS335" s="151"/>
      <c r="BT335" s="151"/>
      <c r="BU335" s="151"/>
      <c r="BV335" s="151"/>
      <c r="BW335" s="151"/>
      <c r="BX335" s="151"/>
      <c r="BY335" s="151"/>
      <c r="BZ335" s="151"/>
      <c r="CA335" s="151"/>
      <c r="CB335" s="151"/>
      <c r="CC335" s="151"/>
      <c r="CD335" s="151"/>
      <c r="CE335" s="151"/>
      <c r="CF335" s="151"/>
      <c r="CG335" s="151"/>
      <c r="CH335" s="151"/>
      <c r="CI335" s="151"/>
      <c r="CJ335" s="151"/>
      <c r="CK335" s="151"/>
      <c r="CL335" s="151"/>
      <c r="CM335" s="151"/>
      <c r="CN335" s="151"/>
      <c r="CO335" s="151"/>
      <c r="CP335" s="151"/>
      <c r="CQ335" s="151"/>
      <c r="CR335" s="151"/>
      <c r="CS335" s="151"/>
      <c r="CT335" s="151"/>
      <c r="CU335" s="151"/>
      <c r="CV335" s="151"/>
      <c r="CW335" s="151"/>
      <c r="CX335" s="151"/>
      <c r="CY335" s="151"/>
      <c r="CZ335" s="151"/>
      <c r="DA335" s="151"/>
      <c r="DB335" s="151"/>
      <c r="DC335" s="151"/>
      <c r="DD335" s="151"/>
      <c r="DE335" s="151"/>
      <c r="DF335" s="151"/>
      <c r="DG335" s="151"/>
      <c r="DH335" s="151"/>
      <c r="DI335" s="151"/>
      <c r="DJ335" s="151"/>
      <c r="DK335" s="151"/>
      <c r="DL335" s="151"/>
      <c r="DM335" s="151"/>
      <c r="DN335" s="151"/>
      <c r="DO335" s="151"/>
      <c r="DP335" s="151"/>
      <c r="DQ335" s="151"/>
      <c r="DR335" s="151"/>
      <c r="DS335" s="151"/>
      <c r="DT335" s="151"/>
      <c r="DU335" s="151"/>
      <c r="DV335" s="151"/>
      <c r="DW335" s="151"/>
      <c r="DX335" s="151"/>
      <c r="DY335" s="151"/>
      <c r="DZ335" s="151"/>
      <c r="EA335" s="151"/>
      <c r="EB335" s="151"/>
      <c r="EC335" s="151"/>
      <c r="ED335" s="151"/>
      <c r="EE335" s="151"/>
      <c r="EF335" s="151"/>
      <c r="EG335" s="151"/>
      <c r="EH335" s="151"/>
      <c r="EI335" s="151"/>
      <c r="EJ335" s="151"/>
      <c r="EK335" s="151"/>
      <c r="EL335" s="151"/>
      <c r="EM335" s="151"/>
      <c r="EN335" s="151"/>
      <c r="EO335" s="151"/>
      <c r="EP335" s="151"/>
      <c r="EQ335" s="151"/>
      <c r="ER335" s="151"/>
      <c r="ES335" s="151"/>
      <c r="ET335" s="151"/>
      <c r="EU335" s="151"/>
      <c r="EV335" s="151"/>
      <c r="EW335" s="151"/>
      <c r="EX335" s="151"/>
      <c r="EY335" s="151"/>
      <c r="EZ335" s="151"/>
      <c r="FA335" s="151"/>
      <c r="FB335" s="151"/>
      <c r="FC335" s="151"/>
      <c r="FD335" s="151"/>
      <c r="FE335" s="151"/>
      <c r="FF335" s="151"/>
      <c r="FG335" s="151"/>
      <c r="FH335" s="151"/>
      <c r="FI335" s="151"/>
      <c r="FJ335" s="151"/>
      <c r="FK335" s="151"/>
      <c r="FL335" s="151"/>
      <c r="FM335" s="151"/>
      <c r="FN335" s="151"/>
      <c r="FO335" s="151"/>
      <c r="FP335" s="151"/>
      <c r="FQ335" s="151"/>
      <c r="FR335" s="151"/>
      <c r="FS335" s="151"/>
      <c r="FT335" s="151"/>
      <c r="FU335" s="151"/>
      <c r="FV335" s="151"/>
      <c r="FW335" s="151"/>
      <c r="FX335" s="151"/>
      <c r="FY335" s="151"/>
      <c r="FZ335" s="151"/>
      <c r="GA335" s="151"/>
      <c r="GB335" s="151"/>
      <c r="GC335" s="151"/>
      <c r="GD335" s="151"/>
      <c r="GE335" s="151"/>
      <c r="GF335" s="151"/>
      <c r="GG335" s="151"/>
      <c r="GH335" s="151"/>
      <c r="GI335" s="151"/>
      <c r="GJ335" s="151"/>
      <c r="GK335" s="151"/>
      <c r="GL335" s="151"/>
      <c r="GM335" s="151"/>
      <c r="GN335" s="151"/>
      <c r="GO335" s="151"/>
      <c r="GP335" s="151"/>
      <c r="GQ335" s="151"/>
      <c r="GR335" s="151"/>
      <c r="GS335" s="151"/>
      <c r="GT335" s="151"/>
      <c r="GU335" s="151"/>
      <c r="GV335" s="151"/>
      <c r="GW335" s="151"/>
      <c r="GX335" s="151"/>
      <c r="GY335" s="151"/>
      <c r="GZ335" s="151"/>
      <c r="HA335" s="151"/>
      <c r="HB335" s="151"/>
      <c r="HC335" s="151"/>
      <c r="HD335" s="151"/>
      <c r="HE335" s="151"/>
      <c r="HF335" s="151"/>
      <c r="HG335" s="151"/>
      <c r="HH335" s="151"/>
      <c r="HI335" s="151"/>
      <c r="HJ335" s="151"/>
      <c r="HK335" s="151"/>
      <c r="HL335" s="151"/>
      <c r="HM335" s="151"/>
      <c r="HN335" s="151"/>
      <c r="HO335" s="151"/>
      <c r="HP335" s="151"/>
      <c r="HQ335" s="151"/>
      <c r="HR335" s="151"/>
      <c r="HS335" s="151"/>
      <c r="HT335" s="151"/>
      <c r="HU335" s="151"/>
      <c r="HV335" s="151"/>
      <c r="HW335" s="151"/>
      <c r="HX335" s="151"/>
      <c r="HY335" s="151"/>
      <c r="HZ335" s="151"/>
      <c r="IA335" s="151"/>
      <c r="IB335" s="151"/>
      <c r="IC335" s="151"/>
      <c r="ID335" s="151"/>
      <c r="IE335" s="151"/>
      <c r="IF335" s="151"/>
      <c r="IG335" s="151"/>
      <c r="IH335" s="151"/>
      <c r="II335" s="151"/>
      <c r="IJ335" s="151"/>
      <c r="IK335" s="151"/>
      <c r="IL335" s="151"/>
      <c r="IM335" s="151"/>
      <c r="IN335" s="151"/>
      <c r="IO335" s="151"/>
      <c r="IP335" s="151"/>
      <c r="IQ335" s="151"/>
      <c r="IR335" s="151"/>
      <c r="IS335" s="151"/>
      <c r="IT335" s="151"/>
      <c r="IU335" s="151"/>
      <c r="IV335" s="151"/>
    </row>
    <row r="336" spans="1:256" hidden="1">
      <c r="A336" s="824"/>
      <c r="B336" s="827"/>
      <c r="C336" s="157" t="s">
        <v>1</v>
      </c>
      <c r="D336" s="158">
        <f t="shared" si="158"/>
        <v>0</v>
      </c>
      <c r="E336" s="159">
        <f t="shared" si="159"/>
        <v>0</v>
      </c>
      <c r="F336" s="159">
        <f t="shared" si="160"/>
        <v>0</v>
      </c>
      <c r="G336" s="159"/>
      <c r="H336" s="159"/>
      <c r="I336" s="159"/>
      <c r="J336" s="159"/>
      <c r="K336" s="159"/>
      <c r="L336" s="159"/>
      <c r="M336" s="159">
        <f t="shared" si="161"/>
        <v>0</v>
      </c>
      <c r="N336" s="159"/>
      <c r="O336" s="159"/>
      <c r="P336" s="159"/>
      <c r="Q336" s="160"/>
      <c r="R336" s="160"/>
      <c r="S336" s="160"/>
      <c r="T336" s="160"/>
      <c r="U336" s="160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1"/>
      <c r="BW336" s="151"/>
      <c r="BX336" s="151"/>
      <c r="BY336" s="151"/>
      <c r="BZ336" s="151"/>
      <c r="CA336" s="151"/>
      <c r="CB336" s="151"/>
      <c r="CC336" s="151"/>
      <c r="CD336" s="151"/>
      <c r="CE336" s="151"/>
      <c r="CF336" s="151"/>
      <c r="CG336" s="151"/>
      <c r="CH336" s="151"/>
      <c r="CI336" s="151"/>
      <c r="CJ336" s="151"/>
      <c r="CK336" s="151"/>
      <c r="CL336" s="151"/>
      <c r="CM336" s="151"/>
      <c r="CN336" s="151"/>
      <c r="CO336" s="151"/>
      <c r="CP336" s="151"/>
      <c r="CQ336" s="151"/>
      <c r="CR336" s="151"/>
      <c r="CS336" s="151"/>
      <c r="CT336" s="151"/>
      <c r="CU336" s="151"/>
      <c r="CV336" s="151"/>
      <c r="CW336" s="151"/>
      <c r="CX336" s="151"/>
      <c r="CY336" s="151"/>
      <c r="CZ336" s="151"/>
      <c r="DA336" s="151"/>
      <c r="DB336" s="151"/>
      <c r="DC336" s="151"/>
      <c r="DD336" s="151"/>
      <c r="DE336" s="151"/>
      <c r="DF336" s="151"/>
      <c r="DG336" s="151"/>
      <c r="DH336" s="151"/>
      <c r="DI336" s="151"/>
      <c r="DJ336" s="151"/>
      <c r="DK336" s="151"/>
      <c r="DL336" s="151"/>
      <c r="DM336" s="151"/>
      <c r="DN336" s="151"/>
      <c r="DO336" s="151"/>
      <c r="DP336" s="151"/>
      <c r="DQ336" s="151"/>
      <c r="DR336" s="151"/>
      <c r="DS336" s="151"/>
      <c r="DT336" s="151"/>
      <c r="DU336" s="151"/>
      <c r="DV336" s="151"/>
      <c r="DW336" s="151"/>
      <c r="DX336" s="151"/>
      <c r="DY336" s="151"/>
      <c r="DZ336" s="151"/>
      <c r="EA336" s="151"/>
      <c r="EB336" s="151"/>
      <c r="EC336" s="151"/>
      <c r="ED336" s="151"/>
      <c r="EE336" s="151"/>
      <c r="EF336" s="151"/>
      <c r="EG336" s="151"/>
      <c r="EH336" s="151"/>
      <c r="EI336" s="151"/>
      <c r="EJ336" s="151"/>
      <c r="EK336" s="151"/>
      <c r="EL336" s="151"/>
      <c r="EM336" s="151"/>
      <c r="EN336" s="151"/>
      <c r="EO336" s="151"/>
      <c r="EP336" s="151"/>
      <c r="EQ336" s="151"/>
      <c r="ER336" s="151"/>
      <c r="ES336" s="151"/>
      <c r="ET336" s="151"/>
      <c r="EU336" s="151"/>
      <c r="EV336" s="151"/>
      <c r="EW336" s="151"/>
      <c r="EX336" s="151"/>
      <c r="EY336" s="151"/>
      <c r="EZ336" s="151"/>
      <c r="FA336" s="151"/>
      <c r="FB336" s="151"/>
      <c r="FC336" s="151"/>
      <c r="FD336" s="151"/>
      <c r="FE336" s="151"/>
      <c r="FF336" s="151"/>
      <c r="FG336" s="151"/>
      <c r="FH336" s="151"/>
      <c r="FI336" s="151"/>
      <c r="FJ336" s="151"/>
      <c r="FK336" s="151"/>
      <c r="FL336" s="151"/>
      <c r="FM336" s="151"/>
      <c r="FN336" s="151"/>
      <c r="FO336" s="151"/>
      <c r="FP336" s="151"/>
      <c r="FQ336" s="151"/>
      <c r="FR336" s="151"/>
      <c r="FS336" s="151"/>
      <c r="FT336" s="151"/>
      <c r="FU336" s="151"/>
      <c r="FV336" s="151"/>
      <c r="FW336" s="151"/>
      <c r="FX336" s="151"/>
      <c r="FY336" s="151"/>
      <c r="FZ336" s="151"/>
      <c r="GA336" s="151"/>
      <c r="GB336" s="151"/>
      <c r="GC336" s="151"/>
      <c r="GD336" s="151"/>
      <c r="GE336" s="151"/>
      <c r="GF336" s="151"/>
      <c r="GG336" s="151"/>
      <c r="GH336" s="151"/>
      <c r="GI336" s="151"/>
      <c r="GJ336" s="151"/>
      <c r="GK336" s="151"/>
      <c r="GL336" s="151"/>
      <c r="GM336" s="151"/>
      <c r="GN336" s="151"/>
      <c r="GO336" s="151"/>
      <c r="GP336" s="151"/>
      <c r="GQ336" s="151"/>
      <c r="GR336" s="151"/>
      <c r="GS336" s="151"/>
      <c r="GT336" s="151"/>
      <c r="GU336" s="151"/>
      <c r="GV336" s="151"/>
      <c r="GW336" s="151"/>
      <c r="GX336" s="151"/>
      <c r="GY336" s="151"/>
      <c r="GZ336" s="151"/>
      <c r="HA336" s="151"/>
      <c r="HB336" s="151"/>
      <c r="HC336" s="151"/>
      <c r="HD336" s="151"/>
      <c r="HE336" s="151"/>
      <c r="HF336" s="151"/>
      <c r="HG336" s="151"/>
      <c r="HH336" s="151"/>
      <c r="HI336" s="151"/>
      <c r="HJ336" s="151"/>
      <c r="HK336" s="151"/>
      <c r="HL336" s="151"/>
      <c r="HM336" s="151"/>
      <c r="HN336" s="151"/>
      <c r="HO336" s="151"/>
      <c r="HP336" s="151"/>
      <c r="HQ336" s="151"/>
      <c r="HR336" s="151"/>
      <c r="HS336" s="151"/>
      <c r="HT336" s="151"/>
      <c r="HU336" s="151"/>
      <c r="HV336" s="151"/>
      <c r="HW336" s="151"/>
      <c r="HX336" s="151"/>
      <c r="HY336" s="151"/>
      <c r="HZ336" s="151"/>
      <c r="IA336" s="151"/>
      <c r="IB336" s="151"/>
      <c r="IC336" s="151"/>
      <c r="ID336" s="151"/>
      <c r="IE336" s="151"/>
      <c r="IF336" s="151"/>
      <c r="IG336" s="151"/>
      <c r="IH336" s="151"/>
      <c r="II336" s="151"/>
      <c r="IJ336" s="151"/>
      <c r="IK336" s="151"/>
      <c r="IL336" s="151"/>
      <c r="IM336" s="151"/>
      <c r="IN336" s="151"/>
      <c r="IO336" s="151"/>
      <c r="IP336" s="151"/>
      <c r="IQ336" s="151"/>
      <c r="IR336" s="151"/>
      <c r="IS336" s="151"/>
      <c r="IT336" s="151"/>
      <c r="IU336" s="151"/>
      <c r="IV336" s="151"/>
    </row>
    <row r="337" spans="1:256" hidden="1">
      <c r="A337" s="825"/>
      <c r="B337" s="828"/>
      <c r="C337" s="157" t="s">
        <v>2</v>
      </c>
      <c r="D337" s="158">
        <f>D336+D335</f>
        <v>910000</v>
      </c>
      <c r="E337" s="159">
        <f t="shared" ref="E337:P337" si="164">E336+E335</f>
        <v>910000</v>
      </c>
      <c r="F337" s="159">
        <f t="shared" si="164"/>
        <v>910000</v>
      </c>
      <c r="G337" s="159">
        <f t="shared" si="164"/>
        <v>843600</v>
      </c>
      <c r="H337" s="159">
        <f t="shared" si="164"/>
        <v>66400</v>
      </c>
      <c r="I337" s="159">
        <f t="shared" si="164"/>
        <v>0</v>
      </c>
      <c r="J337" s="159">
        <f t="shared" si="164"/>
        <v>0</v>
      </c>
      <c r="K337" s="159">
        <f t="shared" si="164"/>
        <v>0</v>
      </c>
      <c r="L337" s="159">
        <f t="shared" si="164"/>
        <v>0</v>
      </c>
      <c r="M337" s="159">
        <f t="shared" si="164"/>
        <v>0</v>
      </c>
      <c r="N337" s="159">
        <f t="shared" si="164"/>
        <v>0</v>
      </c>
      <c r="O337" s="159">
        <f t="shared" si="164"/>
        <v>0</v>
      </c>
      <c r="P337" s="159">
        <f t="shared" si="164"/>
        <v>0</v>
      </c>
      <c r="Q337" s="160"/>
      <c r="R337" s="160"/>
      <c r="S337" s="160"/>
      <c r="T337" s="160"/>
      <c r="U337" s="160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  <c r="BI337" s="151"/>
      <c r="BJ337" s="151"/>
      <c r="BK337" s="151"/>
      <c r="BL337" s="151"/>
      <c r="BM337" s="151"/>
      <c r="BN337" s="151"/>
      <c r="BO337" s="151"/>
      <c r="BP337" s="151"/>
      <c r="BQ337" s="151"/>
      <c r="BR337" s="151"/>
      <c r="BS337" s="151"/>
      <c r="BT337" s="151"/>
      <c r="BU337" s="151"/>
      <c r="BV337" s="151"/>
      <c r="BW337" s="151"/>
      <c r="BX337" s="151"/>
      <c r="BY337" s="151"/>
      <c r="BZ337" s="151"/>
      <c r="CA337" s="151"/>
      <c r="CB337" s="151"/>
      <c r="CC337" s="151"/>
      <c r="CD337" s="151"/>
      <c r="CE337" s="151"/>
      <c r="CF337" s="151"/>
      <c r="CG337" s="151"/>
      <c r="CH337" s="151"/>
      <c r="CI337" s="151"/>
      <c r="CJ337" s="151"/>
      <c r="CK337" s="151"/>
      <c r="CL337" s="151"/>
      <c r="CM337" s="151"/>
      <c r="CN337" s="151"/>
      <c r="CO337" s="151"/>
      <c r="CP337" s="151"/>
      <c r="CQ337" s="151"/>
      <c r="CR337" s="151"/>
      <c r="CS337" s="151"/>
      <c r="CT337" s="151"/>
      <c r="CU337" s="151"/>
      <c r="CV337" s="151"/>
      <c r="CW337" s="151"/>
      <c r="CX337" s="151"/>
      <c r="CY337" s="151"/>
      <c r="CZ337" s="151"/>
      <c r="DA337" s="151"/>
      <c r="DB337" s="151"/>
      <c r="DC337" s="151"/>
      <c r="DD337" s="151"/>
      <c r="DE337" s="151"/>
      <c r="DF337" s="151"/>
      <c r="DG337" s="151"/>
      <c r="DH337" s="151"/>
      <c r="DI337" s="151"/>
      <c r="DJ337" s="151"/>
      <c r="DK337" s="151"/>
      <c r="DL337" s="151"/>
      <c r="DM337" s="151"/>
      <c r="DN337" s="151"/>
      <c r="DO337" s="151"/>
      <c r="DP337" s="151"/>
      <c r="DQ337" s="151"/>
      <c r="DR337" s="151"/>
      <c r="DS337" s="151"/>
      <c r="DT337" s="151"/>
      <c r="DU337" s="151"/>
      <c r="DV337" s="151"/>
      <c r="DW337" s="151"/>
      <c r="DX337" s="151"/>
      <c r="DY337" s="151"/>
      <c r="DZ337" s="151"/>
      <c r="EA337" s="151"/>
      <c r="EB337" s="151"/>
      <c r="EC337" s="151"/>
      <c r="ED337" s="151"/>
      <c r="EE337" s="151"/>
      <c r="EF337" s="151"/>
      <c r="EG337" s="151"/>
      <c r="EH337" s="151"/>
      <c r="EI337" s="151"/>
      <c r="EJ337" s="151"/>
      <c r="EK337" s="151"/>
      <c r="EL337" s="151"/>
      <c r="EM337" s="151"/>
      <c r="EN337" s="151"/>
      <c r="EO337" s="151"/>
      <c r="EP337" s="151"/>
      <c r="EQ337" s="151"/>
      <c r="ER337" s="151"/>
      <c r="ES337" s="151"/>
      <c r="ET337" s="151"/>
      <c r="EU337" s="151"/>
      <c r="EV337" s="151"/>
      <c r="EW337" s="151"/>
      <c r="EX337" s="151"/>
      <c r="EY337" s="151"/>
      <c r="EZ337" s="151"/>
      <c r="FA337" s="151"/>
      <c r="FB337" s="151"/>
      <c r="FC337" s="151"/>
      <c r="FD337" s="151"/>
      <c r="FE337" s="151"/>
      <c r="FF337" s="151"/>
      <c r="FG337" s="151"/>
      <c r="FH337" s="151"/>
      <c r="FI337" s="151"/>
      <c r="FJ337" s="151"/>
      <c r="FK337" s="151"/>
      <c r="FL337" s="151"/>
      <c r="FM337" s="151"/>
      <c r="FN337" s="151"/>
      <c r="FO337" s="151"/>
      <c r="FP337" s="151"/>
      <c r="FQ337" s="151"/>
      <c r="FR337" s="151"/>
      <c r="FS337" s="151"/>
      <c r="FT337" s="151"/>
      <c r="FU337" s="151"/>
      <c r="FV337" s="151"/>
      <c r="FW337" s="151"/>
      <c r="FX337" s="151"/>
      <c r="FY337" s="151"/>
      <c r="FZ337" s="151"/>
      <c r="GA337" s="151"/>
      <c r="GB337" s="151"/>
      <c r="GC337" s="151"/>
      <c r="GD337" s="151"/>
      <c r="GE337" s="151"/>
      <c r="GF337" s="151"/>
      <c r="GG337" s="151"/>
      <c r="GH337" s="151"/>
      <c r="GI337" s="151"/>
      <c r="GJ337" s="151"/>
      <c r="GK337" s="151"/>
      <c r="GL337" s="151"/>
      <c r="GM337" s="151"/>
      <c r="GN337" s="151"/>
      <c r="GO337" s="151"/>
      <c r="GP337" s="151"/>
      <c r="GQ337" s="151"/>
      <c r="GR337" s="151"/>
      <c r="GS337" s="151"/>
      <c r="GT337" s="151"/>
      <c r="GU337" s="151"/>
      <c r="GV337" s="151"/>
      <c r="GW337" s="151"/>
      <c r="GX337" s="151"/>
      <c r="GY337" s="151"/>
      <c r="GZ337" s="151"/>
      <c r="HA337" s="151"/>
      <c r="HB337" s="151"/>
      <c r="HC337" s="151"/>
      <c r="HD337" s="151"/>
      <c r="HE337" s="151"/>
      <c r="HF337" s="151"/>
      <c r="HG337" s="151"/>
      <c r="HH337" s="151"/>
      <c r="HI337" s="151"/>
      <c r="HJ337" s="151"/>
      <c r="HK337" s="151"/>
      <c r="HL337" s="151"/>
      <c r="HM337" s="151"/>
      <c r="HN337" s="151"/>
      <c r="HO337" s="151"/>
      <c r="HP337" s="151"/>
      <c r="HQ337" s="151"/>
      <c r="HR337" s="151"/>
      <c r="HS337" s="151"/>
      <c r="HT337" s="151"/>
      <c r="HU337" s="151"/>
      <c r="HV337" s="151"/>
      <c r="HW337" s="151"/>
      <c r="HX337" s="151"/>
      <c r="HY337" s="151"/>
      <c r="HZ337" s="151"/>
      <c r="IA337" s="151"/>
      <c r="IB337" s="151"/>
      <c r="IC337" s="151"/>
      <c r="ID337" s="151"/>
      <c r="IE337" s="151"/>
      <c r="IF337" s="151"/>
      <c r="IG337" s="151"/>
      <c r="IH337" s="151"/>
      <c r="II337" s="151"/>
      <c r="IJ337" s="151"/>
      <c r="IK337" s="151"/>
      <c r="IL337" s="151"/>
      <c r="IM337" s="151"/>
      <c r="IN337" s="151"/>
      <c r="IO337" s="151"/>
      <c r="IP337" s="151"/>
      <c r="IQ337" s="151"/>
      <c r="IR337" s="151"/>
      <c r="IS337" s="151"/>
      <c r="IT337" s="151"/>
      <c r="IU337" s="151"/>
      <c r="IV337" s="151"/>
    </row>
    <row r="338" spans="1:256" hidden="1">
      <c r="A338" s="823">
        <v>90020</v>
      </c>
      <c r="B338" s="826" t="s">
        <v>274</v>
      </c>
      <c r="C338" s="157" t="s">
        <v>0</v>
      </c>
      <c r="D338" s="158">
        <f t="shared" si="158"/>
        <v>298250</v>
      </c>
      <c r="E338" s="159">
        <f t="shared" si="159"/>
        <v>298250</v>
      </c>
      <c r="F338" s="159">
        <f t="shared" si="160"/>
        <v>298250</v>
      </c>
      <c r="G338" s="159">
        <v>197700</v>
      </c>
      <c r="H338" s="159">
        <f>16250+50000+300+34000</f>
        <v>100550</v>
      </c>
      <c r="I338" s="159">
        <v>0</v>
      </c>
      <c r="J338" s="159">
        <v>0</v>
      </c>
      <c r="K338" s="159">
        <v>0</v>
      </c>
      <c r="L338" s="159">
        <v>0</v>
      </c>
      <c r="M338" s="159">
        <f t="shared" si="161"/>
        <v>0</v>
      </c>
      <c r="N338" s="159">
        <v>0</v>
      </c>
      <c r="O338" s="159">
        <v>0</v>
      </c>
      <c r="P338" s="159">
        <v>0</v>
      </c>
      <c r="Q338" s="160"/>
      <c r="R338" s="160"/>
      <c r="S338" s="160"/>
      <c r="T338" s="160"/>
      <c r="U338" s="160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  <c r="BM338" s="151"/>
      <c r="BN338" s="151"/>
      <c r="BO338" s="151"/>
      <c r="BP338" s="151"/>
      <c r="BQ338" s="151"/>
      <c r="BR338" s="151"/>
      <c r="BS338" s="151"/>
      <c r="BT338" s="151"/>
      <c r="BU338" s="151"/>
      <c r="BV338" s="151"/>
      <c r="BW338" s="151"/>
      <c r="BX338" s="151"/>
      <c r="BY338" s="151"/>
      <c r="BZ338" s="151"/>
      <c r="CA338" s="151"/>
      <c r="CB338" s="151"/>
      <c r="CC338" s="151"/>
      <c r="CD338" s="151"/>
      <c r="CE338" s="151"/>
      <c r="CF338" s="151"/>
      <c r="CG338" s="151"/>
      <c r="CH338" s="151"/>
      <c r="CI338" s="151"/>
      <c r="CJ338" s="151"/>
      <c r="CK338" s="151"/>
      <c r="CL338" s="151"/>
      <c r="CM338" s="151"/>
      <c r="CN338" s="151"/>
      <c r="CO338" s="151"/>
      <c r="CP338" s="151"/>
      <c r="CQ338" s="151"/>
      <c r="CR338" s="151"/>
      <c r="CS338" s="151"/>
      <c r="CT338" s="151"/>
      <c r="CU338" s="151"/>
      <c r="CV338" s="151"/>
      <c r="CW338" s="151"/>
      <c r="CX338" s="151"/>
      <c r="CY338" s="151"/>
      <c r="CZ338" s="151"/>
      <c r="DA338" s="151"/>
      <c r="DB338" s="151"/>
      <c r="DC338" s="151"/>
      <c r="DD338" s="151"/>
      <c r="DE338" s="151"/>
      <c r="DF338" s="151"/>
      <c r="DG338" s="151"/>
      <c r="DH338" s="151"/>
      <c r="DI338" s="151"/>
      <c r="DJ338" s="151"/>
      <c r="DK338" s="151"/>
      <c r="DL338" s="151"/>
      <c r="DM338" s="151"/>
      <c r="DN338" s="151"/>
      <c r="DO338" s="151"/>
      <c r="DP338" s="151"/>
      <c r="DQ338" s="151"/>
      <c r="DR338" s="151"/>
      <c r="DS338" s="151"/>
      <c r="DT338" s="151"/>
      <c r="DU338" s="151"/>
      <c r="DV338" s="151"/>
      <c r="DW338" s="151"/>
      <c r="DX338" s="151"/>
      <c r="DY338" s="151"/>
      <c r="DZ338" s="151"/>
      <c r="EA338" s="151"/>
      <c r="EB338" s="151"/>
      <c r="EC338" s="151"/>
      <c r="ED338" s="151"/>
      <c r="EE338" s="151"/>
      <c r="EF338" s="151"/>
      <c r="EG338" s="151"/>
      <c r="EH338" s="151"/>
      <c r="EI338" s="151"/>
      <c r="EJ338" s="151"/>
      <c r="EK338" s="151"/>
      <c r="EL338" s="151"/>
      <c r="EM338" s="151"/>
      <c r="EN338" s="151"/>
      <c r="EO338" s="151"/>
      <c r="EP338" s="151"/>
      <c r="EQ338" s="151"/>
      <c r="ER338" s="151"/>
      <c r="ES338" s="151"/>
      <c r="ET338" s="151"/>
      <c r="EU338" s="151"/>
      <c r="EV338" s="151"/>
      <c r="EW338" s="151"/>
      <c r="EX338" s="151"/>
      <c r="EY338" s="151"/>
      <c r="EZ338" s="151"/>
      <c r="FA338" s="151"/>
      <c r="FB338" s="151"/>
      <c r="FC338" s="151"/>
      <c r="FD338" s="151"/>
      <c r="FE338" s="151"/>
      <c r="FF338" s="151"/>
      <c r="FG338" s="151"/>
      <c r="FH338" s="151"/>
      <c r="FI338" s="151"/>
      <c r="FJ338" s="151"/>
      <c r="FK338" s="151"/>
      <c r="FL338" s="151"/>
      <c r="FM338" s="151"/>
      <c r="FN338" s="151"/>
      <c r="FO338" s="151"/>
      <c r="FP338" s="151"/>
      <c r="FQ338" s="151"/>
      <c r="FR338" s="151"/>
      <c r="FS338" s="151"/>
      <c r="FT338" s="151"/>
      <c r="FU338" s="151"/>
      <c r="FV338" s="151"/>
      <c r="FW338" s="151"/>
      <c r="FX338" s="151"/>
      <c r="FY338" s="151"/>
      <c r="FZ338" s="151"/>
      <c r="GA338" s="151"/>
      <c r="GB338" s="151"/>
      <c r="GC338" s="151"/>
      <c r="GD338" s="151"/>
      <c r="GE338" s="151"/>
      <c r="GF338" s="151"/>
      <c r="GG338" s="151"/>
      <c r="GH338" s="151"/>
      <c r="GI338" s="151"/>
      <c r="GJ338" s="151"/>
      <c r="GK338" s="151"/>
      <c r="GL338" s="151"/>
      <c r="GM338" s="151"/>
      <c r="GN338" s="151"/>
      <c r="GO338" s="151"/>
      <c r="GP338" s="151"/>
      <c r="GQ338" s="151"/>
      <c r="GR338" s="151"/>
      <c r="GS338" s="151"/>
      <c r="GT338" s="151"/>
      <c r="GU338" s="151"/>
      <c r="GV338" s="151"/>
      <c r="GW338" s="151"/>
      <c r="GX338" s="151"/>
      <c r="GY338" s="151"/>
      <c r="GZ338" s="151"/>
      <c r="HA338" s="151"/>
      <c r="HB338" s="151"/>
      <c r="HC338" s="151"/>
      <c r="HD338" s="151"/>
      <c r="HE338" s="151"/>
      <c r="HF338" s="151"/>
      <c r="HG338" s="151"/>
      <c r="HH338" s="151"/>
      <c r="HI338" s="151"/>
      <c r="HJ338" s="151"/>
      <c r="HK338" s="151"/>
      <c r="HL338" s="151"/>
      <c r="HM338" s="151"/>
      <c r="HN338" s="151"/>
      <c r="HO338" s="151"/>
      <c r="HP338" s="151"/>
      <c r="HQ338" s="151"/>
      <c r="HR338" s="151"/>
      <c r="HS338" s="151"/>
      <c r="HT338" s="151"/>
      <c r="HU338" s="151"/>
      <c r="HV338" s="151"/>
      <c r="HW338" s="151"/>
      <c r="HX338" s="151"/>
      <c r="HY338" s="151"/>
      <c r="HZ338" s="151"/>
      <c r="IA338" s="151"/>
      <c r="IB338" s="151"/>
      <c r="IC338" s="151"/>
      <c r="ID338" s="151"/>
      <c r="IE338" s="151"/>
      <c r="IF338" s="151"/>
      <c r="IG338" s="151"/>
      <c r="IH338" s="151"/>
      <c r="II338" s="151"/>
      <c r="IJ338" s="151"/>
      <c r="IK338" s="151"/>
      <c r="IL338" s="151"/>
      <c r="IM338" s="151"/>
      <c r="IN338" s="151"/>
      <c r="IO338" s="151"/>
      <c r="IP338" s="151"/>
      <c r="IQ338" s="151"/>
      <c r="IR338" s="151"/>
      <c r="IS338" s="151"/>
      <c r="IT338" s="151"/>
      <c r="IU338" s="151"/>
      <c r="IV338" s="151"/>
    </row>
    <row r="339" spans="1:256" hidden="1">
      <c r="A339" s="824"/>
      <c r="B339" s="827"/>
      <c r="C339" s="157" t="s">
        <v>1</v>
      </c>
      <c r="D339" s="158">
        <f t="shared" si="158"/>
        <v>0</v>
      </c>
      <c r="E339" s="159">
        <f t="shared" si="159"/>
        <v>0</v>
      </c>
      <c r="F339" s="159">
        <f t="shared" si="160"/>
        <v>0</v>
      </c>
      <c r="G339" s="159"/>
      <c r="H339" s="159"/>
      <c r="I339" s="159"/>
      <c r="J339" s="159"/>
      <c r="K339" s="159"/>
      <c r="L339" s="159"/>
      <c r="M339" s="159">
        <f t="shared" si="161"/>
        <v>0</v>
      </c>
      <c r="N339" s="159"/>
      <c r="O339" s="159"/>
      <c r="P339" s="159"/>
      <c r="Q339" s="160"/>
      <c r="R339" s="160"/>
      <c r="S339" s="160"/>
      <c r="T339" s="160"/>
      <c r="U339" s="160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151"/>
      <c r="BN339" s="151"/>
      <c r="BO339" s="151"/>
      <c r="BP339" s="151"/>
      <c r="BQ339" s="151"/>
      <c r="BR339" s="151"/>
      <c r="BS339" s="151"/>
      <c r="BT339" s="151"/>
      <c r="BU339" s="151"/>
      <c r="BV339" s="151"/>
      <c r="BW339" s="151"/>
      <c r="BX339" s="151"/>
      <c r="BY339" s="151"/>
      <c r="BZ339" s="151"/>
      <c r="CA339" s="151"/>
      <c r="CB339" s="151"/>
      <c r="CC339" s="151"/>
      <c r="CD339" s="151"/>
      <c r="CE339" s="151"/>
      <c r="CF339" s="151"/>
      <c r="CG339" s="151"/>
      <c r="CH339" s="151"/>
      <c r="CI339" s="151"/>
      <c r="CJ339" s="151"/>
      <c r="CK339" s="151"/>
      <c r="CL339" s="151"/>
      <c r="CM339" s="151"/>
      <c r="CN339" s="151"/>
      <c r="CO339" s="151"/>
      <c r="CP339" s="151"/>
      <c r="CQ339" s="151"/>
      <c r="CR339" s="151"/>
      <c r="CS339" s="151"/>
      <c r="CT339" s="151"/>
      <c r="CU339" s="151"/>
      <c r="CV339" s="151"/>
      <c r="CW339" s="151"/>
      <c r="CX339" s="151"/>
      <c r="CY339" s="151"/>
      <c r="CZ339" s="151"/>
      <c r="DA339" s="151"/>
      <c r="DB339" s="151"/>
      <c r="DC339" s="151"/>
      <c r="DD339" s="151"/>
      <c r="DE339" s="151"/>
      <c r="DF339" s="151"/>
      <c r="DG339" s="151"/>
      <c r="DH339" s="151"/>
      <c r="DI339" s="151"/>
      <c r="DJ339" s="151"/>
      <c r="DK339" s="151"/>
      <c r="DL339" s="151"/>
      <c r="DM339" s="151"/>
      <c r="DN339" s="151"/>
      <c r="DO339" s="151"/>
      <c r="DP339" s="151"/>
      <c r="DQ339" s="151"/>
      <c r="DR339" s="151"/>
      <c r="DS339" s="151"/>
      <c r="DT339" s="151"/>
      <c r="DU339" s="151"/>
      <c r="DV339" s="151"/>
      <c r="DW339" s="151"/>
      <c r="DX339" s="151"/>
      <c r="DY339" s="151"/>
      <c r="DZ339" s="151"/>
      <c r="EA339" s="151"/>
      <c r="EB339" s="151"/>
      <c r="EC339" s="151"/>
      <c r="ED339" s="151"/>
      <c r="EE339" s="151"/>
      <c r="EF339" s="151"/>
      <c r="EG339" s="151"/>
      <c r="EH339" s="151"/>
      <c r="EI339" s="151"/>
      <c r="EJ339" s="151"/>
      <c r="EK339" s="151"/>
      <c r="EL339" s="151"/>
      <c r="EM339" s="151"/>
      <c r="EN339" s="151"/>
      <c r="EO339" s="151"/>
      <c r="EP339" s="151"/>
      <c r="EQ339" s="151"/>
      <c r="ER339" s="151"/>
      <c r="ES339" s="151"/>
      <c r="ET339" s="151"/>
      <c r="EU339" s="151"/>
      <c r="EV339" s="151"/>
      <c r="EW339" s="151"/>
      <c r="EX339" s="151"/>
      <c r="EY339" s="151"/>
      <c r="EZ339" s="151"/>
      <c r="FA339" s="151"/>
      <c r="FB339" s="151"/>
      <c r="FC339" s="151"/>
      <c r="FD339" s="151"/>
      <c r="FE339" s="151"/>
      <c r="FF339" s="151"/>
      <c r="FG339" s="151"/>
      <c r="FH339" s="151"/>
      <c r="FI339" s="151"/>
      <c r="FJ339" s="151"/>
      <c r="FK339" s="151"/>
      <c r="FL339" s="151"/>
      <c r="FM339" s="151"/>
      <c r="FN339" s="151"/>
      <c r="FO339" s="151"/>
      <c r="FP339" s="151"/>
      <c r="FQ339" s="151"/>
      <c r="FR339" s="151"/>
      <c r="FS339" s="151"/>
      <c r="FT339" s="151"/>
      <c r="FU339" s="151"/>
      <c r="FV339" s="151"/>
      <c r="FW339" s="151"/>
      <c r="FX339" s="151"/>
      <c r="FY339" s="151"/>
      <c r="FZ339" s="151"/>
      <c r="GA339" s="151"/>
      <c r="GB339" s="151"/>
      <c r="GC339" s="151"/>
      <c r="GD339" s="151"/>
      <c r="GE339" s="151"/>
      <c r="GF339" s="151"/>
      <c r="GG339" s="151"/>
      <c r="GH339" s="151"/>
      <c r="GI339" s="151"/>
      <c r="GJ339" s="151"/>
      <c r="GK339" s="151"/>
      <c r="GL339" s="151"/>
      <c r="GM339" s="151"/>
      <c r="GN339" s="151"/>
      <c r="GO339" s="151"/>
      <c r="GP339" s="151"/>
      <c r="GQ339" s="151"/>
      <c r="GR339" s="151"/>
      <c r="GS339" s="151"/>
      <c r="GT339" s="151"/>
      <c r="GU339" s="151"/>
      <c r="GV339" s="151"/>
      <c r="GW339" s="151"/>
      <c r="GX339" s="151"/>
      <c r="GY339" s="151"/>
      <c r="GZ339" s="151"/>
      <c r="HA339" s="151"/>
      <c r="HB339" s="151"/>
      <c r="HC339" s="151"/>
      <c r="HD339" s="151"/>
      <c r="HE339" s="151"/>
      <c r="HF339" s="151"/>
      <c r="HG339" s="151"/>
      <c r="HH339" s="151"/>
      <c r="HI339" s="151"/>
      <c r="HJ339" s="151"/>
      <c r="HK339" s="151"/>
      <c r="HL339" s="151"/>
      <c r="HM339" s="151"/>
      <c r="HN339" s="151"/>
      <c r="HO339" s="151"/>
      <c r="HP339" s="151"/>
      <c r="HQ339" s="151"/>
      <c r="HR339" s="151"/>
      <c r="HS339" s="151"/>
      <c r="HT339" s="151"/>
      <c r="HU339" s="151"/>
      <c r="HV339" s="151"/>
      <c r="HW339" s="151"/>
      <c r="HX339" s="151"/>
      <c r="HY339" s="151"/>
      <c r="HZ339" s="151"/>
      <c r="IA339" s="151"/>
      <c r="IB339" s="151"/>
      <c r="IC339" s="151"/>
      <c r="ID339" s="151"/>
      <c r="IE339" s="151"/>
      <c r="IF339" s="151"/>
      <c r="IG339" s="151"/>
      <c r="IH339" s="151"/>
      <c r="II339" s="151"/>
      <c r="IJ339" s="151"/>
      <c r="IK339" s="151"/>
      <c r="IL339" s="151"/>
      <c r="IM339" s="151"/>
      <c r="IN339" s="151"/>
      <c r="IO339" s="151"/>
      <c r="IP339" s="151"/>
      <c r="IQ339" s="151"/>
      <c r="IR339" s="151"/>
      <c r="IS339" s="151"/>
      <c r="IT339" s="151"/>
      <c r="IU339" s="151"/>
      <c r="IV339" s="151"/>
    </row>
    <row r="340" spans="1:256" hidden="1">
      <c r="A340" s="825"/>
      <c r="B340" s="828"/>
      <c r="C340" s="157" t="s">
        <v>2</v>
      </c>
      <c r="D340" s="158">
        <f>D339+D338</f>
        <v>298250</v>
      </c>
      <c r="E340" s="159">
        <f t="shared" ref="E340:P340" si="165">E339+E338</f>
        <v>298250</v>
      </c>
      <c r="F340" s="159">
        <f t="shared" si="165"/>
        <v>298250</v>
      </c>
      <c r="G340" s="159">
        <f t="shared" si="165"/>
        <v>197700</v>
      </c>
      <c r="H340" s="159">
        <f t="shared" si="165"/>
        <v>100550</v>
      </c>
      <c r="I340" s="159">
        <f t="shared" si="165"/>
        <v>0</v>
      </c>
      <c r="J340" s="159">
        <f t="shared" si="165"/>
        <v>0</v>
      </c>
      <c r="K340" s="159">
        <f t="shared" si="165"/>
        <v>0</v>
      </c>
      <c r="L340" s="159">
        <f t="shared" si="165"/>
        <v>0</v>
      </c>
      <c r="M340" s="159">
        <f t="shared" si="165"/>
        <v>0</v>
      </c>
      <c r="N340" s="159">
        <f t="shared" si="165"/>
        <v>0</v>
      </c>
      <c r="O340" s="159">
        <f t="shared" si="165"/>
        <v>0</v>
      </c>
      <c r="P340" s="159">
        <f t="shared" si="165"/>
        <v>0</v>
      </c>
      <c r="Q340" s="160"/>
      <c r="R340" s="160"/>
      <c r="S340" s="160"/>
      <c r="T340" s="160"/>
      <c r="U340" s="160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1"/>
      <c r="BW340" s="151"/>
      <c r="BX340" s="151"/>
      <c r="BY340" s="151"/>
      <c r="BZ340" s="151"/>
      <c r="CA340" s="151"/>
      <c r="CB340" s="151"/>
      <c r="CC340" s="151"/>
      <c r="CD340" s="151"/>
      <c r="CE340" s="151"/>
      <c r="CF340" s="151"/>
      <c r="CG340" s="151"/>
      <c r="CH340" s="151"/>
      <c r="CI340" s="151"/>
      <c r="CJ340" s="151"/>
      <c r="CK340" s="151"/>
      <c r="CL340" s="151"/>
      <c r="CM340" s="151"/>
      <c r="CN340" s="151"/>
      <c r="CO340" s="151"/>
      <c r="CP340" s="151"/>
      <c r="CQ340" s="151"/>
      <c r="CR340" s="151"/>
      <c r="CS340" s="151"/>
      <c r="CT340" s="151"/>
      <c r="CU340" s="151"/>
      <c r="CV340" s="151"/>
      <c r="CW340" s="151"/>
      <c r="CX340" s="151"/>
      <c r="CY340" s="151"/>
      <c r="CZ340" s="151"/>
      <c r="DA340" s="151"/>
      <c r="DB340" s="151"/>
      <c r="DC340" s="151"/>
      <c r="DD340" s="151"/>
      <c r="DE340" s="151"/>
      <c r="DF340" s="151"/>
      <c r="DG340" s="151"/>
      <c r="DH340" s="151"/>
      <c r="DI340" s="151"/>
      <c r="DJ340" s="151"/>
      <c r="DK340" s="151"/>
      <c r="DL340" s="151"/>
      <c r="DM340" s="151"/>
      <c r="DN340" s="151"/>
      <c r="DO340" s="151"/>
      <c r="DP340" s="151"/>
      <c r="DQ340" s="151"/>
      <c r="DR340" s="151"/>
      <c r="DS340" s="151"/>
      <c r="DT340" s="151"/>
      <c r="DU340" s="151"/>
      <c r="DV340" s="151"/>
      <c r="DW340" s="151"/>
      <c r="DX340" s="151"/>
      <c r="DY340" s="151"/>
      <c r="DZ340" s="151"/>
      <c r="EA340" s="151"/>
      <c r="EB340" s="151"/>
      <c r="EC340" s="151"/>
      <c r="ED340" s="151"/>
      <c r="EE340" s="151"/>
      <c r="EF340" s="151"/>
      <c r="EG340" s="151"/>
      <c r="EH340" s="151"/>
      <c r="EI340" s="151"/>
      <c r="EJ340" s="151"/>
      <c r="EK340" s="151"/>
      <c r="EL340" s="151"/>
      <c r="EM340" s="151"/>
      <c r="EN340" s="151"/>
      <c r="EO340" s="151"/>
      <c r="EP340" s="151"/>
      <c r="EQ340" s="151"/>
      <c r="ER340" s="151"/>
      <c r="ES340" s="151"/>
      <c r="ET340" s="151"/>
      <c r="EU340" s="151"/>
      <c r="EV340" s="151"/>
      <c r="EW340" s="151"/>
      <c r="EX340" s="151"/>
      <c r="EY340" s="151"/>
      <c r="EZ340" s="151"/>
      <c r="FA340" s="151"/>
      <c r="FB340" s="151"/>
      <c r="FC340" s="151"/>
      <c r="FD340" s="151"/>
      <c r="FE340" s="151"/>
      <c r="FF340" s="151"/>
      <c r="FG340" s="151"/>
      <c r="FH340" s="151"/>
      <c r="FI340" s="151"/>
      <c r="FJ340" s="151"/>
      <c r="FK340" s="151"/>
      <c r="FL340" s="151"/>
      <c r="FM340" s="151"/>
      <c r="FN340" s="151"/>
      <c r="FO340" s="151"/>
      <c r="FP340" s="151"/>
      <c r="FQ340" s="151"/>
      <c r="FR340" s="151"/>
      <c r="FS340" s="151"/>
      <c r="FT340" s="151"/>
      <c r="FU340" s="151"/>
      <c r="FV340" s="151"/>
      <c r="FW340" s="151"/>
      <c r="FX340" s="151"/>
      <c r="FY340" s="151"/>
      <c r="FZ340" s="151"/>
      <c r="GA340" s="151"/>
      <c r="GB340" s="151"/>
      <c r="GC340" s="151"/>
      <c r="GD340" s="151"/>
      <c r="GE340" s="151"/>
      <c r="GF340" s="151"/>
      <c r="GG340" s="151"/>
      <c r="GH340" s="151"/>
      <c r="GI340" s="151"/>
      <c r="GJ340" s="151"/>
      <c r="GK340" s="151"/>
      <c r="GL340" s="151"/>
      <c r="GM340" s="151"/>
      <c r="GN340" s="151"/>
      <c r="GO340" s="151"/>
      <c r="GP340" s="151"/>
      <c r="GQ340" s="151"/>
      <c r="GR340" s="151"/>
      <c r="GS340" s="151"/>
      <c r="GT340" s="151"/>
      <c r="GU340" s="151"/>
      <c r="GV340" s="151"/>
      <c r="GW340" s="151"/>
      <c r="GX340" s="151"/>
      <c r="GY340" s="151"/>
      <c r="GZ340" s="151"/>
      <c r="HA340" s="151"/>
      <c r="HB340" s="151"/>
      <c r="HC340" s="151"/>
      <c r="HD340" s="151"/>
      <c r="HE340" s="151"/>
      <c r="HF340" s="151"/>
      <c r="HG340" s="151"/>
      <c r="HH340" s="151"/>
      <c r="HI340" s="151"/>
      <c r="HJ340" s="151"/>
      <c r="HK340" s="151"/>
      <c r="HL340" s="151"/>
      <c r="HM340" s="151"/>
      <c r="HN340" s="151"/>
      <c r="HO340" s="151"/>
      <c r="HP340" s="151"/>
      <c r="HQ340" s="151"/>
      <c r="HR340" s="151"/>
      <c r="HS340" s="151"/>
      <c r="HT340" s="151"/>
      <c r="HU340" s="151"/>
      <c r="HV340" s="151"/>
      <c r="HW340" s="151"/>
      <c r="HX340" s="151"/>
      <c r="HY340" s="151"/>
      <c r="HZ340" s="151"/>
      <c r="IA340" s="151"/>
      <c r="IB340" s="151"/>
      <c r="IC340" s="151"/>
      <c r="ID340" s="151"/>
      <c r="IE340" s="151"/>
      <c r="IF340" s="151"/>
      <c r="IG340" s="151"/>
      <c r="IH340" s="151"/>
      <c r="II340" s="151"/>
      <c r="IJ340" s="151"/>
      <c r="IK340" s="151"/>
      <c r="IL340" s="151"/>
      <c r="IM340" s="151"/>
      <c r="IN340" s="151"/>
      <c r="IO340" s="151"/>
      <c r="IP340" s="151"/>
      <c r="IQ340" s="151"/>
      <c r="IR340" s="151"/>
      <c r="IS340" s="151"/>
      <c r="IT340" s="151"/>
      <c r="IU340" s="151"/>
      <c r="IV340" s="151"/>
    </row>
    <row r="341" spans="1:256" hidden="1">
      <c r="A341" s="823">
        <v>90024</v>
      </c>
      <c r="B341" s="826" t="s">
        <v>275</v>
      </c>
      <c r="C341" s="157" t="s">
        <v>0</v>
      </c>
      <c r="D341" s="158">
        <f t="shared" si="158"/>
        <v>2715</v>
      </c>
      <c r="E341" s="159">
        <f t="shared" si="159"/>
        <v>2715</v>
      </c>
      <c r="F341" s="159">
        <f t="shared" si="160"/>
        <v>2715</v>
      </c>
      <c r="G341" s="159">
        <v>0</v>
      </c>
      <c r="H341" s="159">
        <v>2715</v>
      </c>
      <c r="I341" s="159">
        <v>0</v>
      </c>
      <c r="J341" s="159">
        <v>0</v>
      </c>
      <c r="K341" s="159">
        <v>0</v>
      </c>
      <c r="L341" s="159">
        <v>0</v>
      </c>
      <c r="M341" s="159">
        <f t="shared" si="161"/>
        <v>0</v>
      </c>
      <c r="N341" s="159">
        <v>0</v>
      </c>
      <c r="O341" s="159">
        <v>0</v>
      </c>
      <c r="P341" s="159">
        <v>0</v>
      </c>
      <c r="Q341" s="160"/>
      <c r="R341" s="160"/>
      <c r="S341" s="160"/>
      <c r="T341" s="160"/>
      <c r="U341" s="160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  <c r="BI341" s="151"/>
      <c r="BJ341" s="151"/>
      <c r="BK341" s="151"/>
      <c r="BL341" s="151"/>
      <c r="BM341" s="151"/>
      <c r="BN341" s="151"/>
      <c r="BO341" s="151"/>
      <c r="BP341" s="151"/>
      <c r="BQ341" s="151"/>
      <c r="BR341" s="151"/>
      <c r="BS341" s="151"/>
      <c r="BT341" s="151"/>
      <c r="BU341" s="151"/>
      <c r="BV341" s="151"/>
      <c r="BW341" s="151"/>
      <c r="BX341" s="151"/>
      <c r="BY341" s="151"/>
      <c r="BZ341" s="151"/>
      <c r="CA341" s="151"/>
      <c r="CB341" s="151"/>
      <c r="CC341" s="151"/>
      <c r="CD341" s="151"/>
      <c r="CE341" s="151"/>
      <c r="CF341" s="151"/>
      <c r="CG341" s="151"/>
      <c r="CH341" s="151"/>
      <c r="CI341" s="151"/>
      <c r="CJ341" s="151"/>
      <c r="CK341" s="151"/>
      <c r="CL341" s="151"/>
      <c r="CM341" s="151"/>
      <c r="CN341" s="151"/>
      <c r="CO341" s="151"/>
      <c r="CP341" s="151"/>
      <c r="CQ341" s="151"/>
      <c r="CR341" s="151"/>
      <c r="CS341" s="151"/>
      <c r="CT341" s="151"/>
      <c r="CU341" s="151"/>
      <c r="CV341" s="151"/>
      <c r="CW341" s="151"/>
      <c r="CX341" s="151"/>
      <c r="CY341" s="151"/>
      <c r="CZ341" s="151"/>
      <c r="DA341" s="151"/>
      <c r="DB341" s="151"/>
      <c r="DC341" s="151"/>
      <c r="DD341" s="151"/>
      <c r="DE341" s="151"/>
      <c r="DF341" s="151"/>
      <c r="DG341" s="151"/>
      <c r="DH341" s="151"/>
      <c r="DI341" s="151"/>
      <c r="DJ341" s="151"/>
      <c r="DK341" s="151"/>
      <c r="DL341" s="151"/>
      <c r="DM341" s="151"/>
      <c r="DN341" s="151"/>
      <c r="DO341" s="151"/>
      <c r="DP341" s="151"/>
      <c r="DQ341" s="151"/>
      <c r="DR341" s="151"/>
      <c r="DS341" s="151"/>
      <c r="DT341" s="151"/>
      <c r="DU341" s="151"/>
      <c r="DV341" s="151"/>
      <c r="DW341" s="151"/>
      <c r="DX341" s="151"/>
      <c r="DY341" s="151"/>
      <c r="DZ341" s="151"/>
      <c r="EA341" s="151"/>
      <c r="EB341" s="151"/>
      <c r="EC341" s="151"/>
      <c r="ED341" s="151"/>
      <c r="EE341" s="151"/>
      <c r="EF341" s="151"/>
      <c r="EG341" s="151"/>
      <c r="EH341" s="151"/>
      <c r="EI341" s="151"/>
      <c r="EJ341" s="151"/>
      <c r="EK341" s="151"/>
      <c r="EL341" s="151"/>
      <c r="EM341" s="151"/>
      <c r="EN341" s="151"/>
      <c r="EO341" s="151"/>
      <c r="EP341" s="151"/>
      <c r="EQ341" s="151"/>
      <c r="ER341" s="151"/>
      <c r="ES341" s="151"/>
      <c r="ET341" s="151"/>
      <c r="EU341" s="151"/>
      <c r="EV341" s="151"/>
      <c r="EW341" s="151"/>
      <c r="EX341" s="151"/>
      <c r="EY341" s="151"/>
      <c r="EZ341" s="151"/>
      <c r="FA341" s="151"/>
      <c r="FB341" s="151"/>
      <c r="FC341" s="151"/>
      <c r="FD341" s="151"/>
      <c r="FE341" s="151"/>
      <c r="FF341" s="151"/>
      <c r="FG341" s="151"/>
      <c r="FH341" s="151"/>
      <c r="FI341" s="151"/>
      <c r="FJ341" s="151"/>
      <c r="FK341" s="151"/>
      <c r="FL341" s="151"/>
      <c r="FM341" s="151"/>
      <c r="FN341" s="151"/>
      <c r="FO341" s="151"/>
      <c r="FP341" s="151"/>
      <c r="FQ341" s="151"/>
      <c r="FR341" s="151"/>
      <c r="FS341" s="151"/>
      <c r="FT341" s="151"/>
      <c r="FU341" s="151"/>
      <c r="FV341" s="151"/>
      <c r="FW341" s="151"/>
      <c r="FX341" s="151"/>
      <c r="FY341" s="151"/>
      <c r="FZ341" s="151"/>
      <c r="GA341" s="151"/>
      <c r="GB341" s="151"/>
      <c r="GC341" s="151"/>
      <c r="GD341" s="151"/>
      <c r="GE341" s="151"/>
      <c r="GF341" s="151"/>
      <c r="GG341" s="151"/>
      <c r="GH341" s="151"/>
      <c r="GI341" s="151"/>
      <c r="GJ341" s="151"/>
      <c r="GK341" s="151"/>
      <c r="GL341" s="151"/>
      <c r="GM341" s="151"/>
      <c r="GN341" s="151"/>
      <c r="GO341" s="151"/>
      <c r="GP341" s="151"/>
      <c r="GQ341" s="151"/>
      <c r="GR341" s="151"/>
      <c r="GS341" s="151"/>
      <c r="GT341" s="151"/>
      <c r="GU341" s="151"/>
      <c r="GV341" s="151"/>
      <c r="GW341" s="151"/>
      <c r="GX341" s="151"/>
      <c r="GY341" s="151"/>
      <c r="GZ341" s="151"/>
      <c r="HA341" s="151"/>
      <c r="HB341" s="151"/>
      <c r="HC341" s="151"/>
      <c r="HD341" s="151"/>
      <c r="HE341" s="151"/>
      <c r="HF341" s="151"/>
      <c r="HG341" s="151"/>
      <c r="HH341" s="151"/>
      <c r="HI341" s="151"/>
      <c r="HJ341" s="151"/>
      <c r="HK341" s="151"/>
      <c r="HL341" s="151"/>
      <c r="HM341" s="151"/>
      <c r="HN341" s="151"/>
      <c r="HO341" s="151"/>
      <c r="HP341" s="151"/>
      <c r="HQ341" s="151"/>
      <c r="HR341" s="151"/>
      <c r="HS341" s="151"/>
      <c r="HT341" s="151"/>
      <c r="HU341" s="151"/>
      <c r="HV341" s="151"/>
      <c r="HW341" s="151"/>
      <c r="HX341" s="151"/>
      <c r="HY341" s="151"/>
      <c r="HZ341" s="151"/>
      <c r="IA341" s="151"/>
      <c r="IB341" s="151"/>
      <c r="IC341" s="151"/>
      <c r="ID341" s="151"/>
      <c r="IE341" s="151"/>
      <c r="IF341" s="151"/>
      <c r="IG341" s="151"/>
      <c r="IH341" s="151"/>
      <c r="II341" s="151"/>
      <c r="IJ341" s="151"/>
      <c r="IK341" s="151"/>
      <c r="IL341" s="151"/>
      <c r="IM341" s="151"/>
      <c r="IN341" s="151"/>
      <c r="IO341" s="151"/>
      <c r="IP341" s="151"/>
      <c r="IQ341" s="151"/>
      <c r="IR341" s="151"/>
      <c r="IS341" s="151"/>
      <c r="IT341" s="151"/>
      <c r="IU341" s="151"/>
      <c r="IV341" s="151"/>
    </row>
    <row r="342" spans="1:256" hidden="1">
      <c r="A342" s="824"/>
      <c r="B342" s="827"/>
      <c r="C342" s="157" t="s">
        <v>1</v>
      </c>
      <c r="D342" s="158">
        <f t="shared" si="158"/>
        <v>0</v>
      </c>
      <c r="E342" s="159">
        <f t="shared" si="159"/>
        <v>0</v>
      </c>
      <c r="F342" s="159">
        <f t="shared" si="160"/>
        <v>0</v>
      </c>
      <c r="G342" s="159"/>
      <c r="H342" s="159"/>
      <c r="I342" s="159"/>
      <c r="J342" s="159"/>
      <c r="K342" s="159"/>
      <c r="L342" s="159"/>
      <c r="M342" s="159">
        <f t="shared" si="161"/>
        <v>0</v>
      </c>
      <c r="N342" s="159"/>
      <c r="O342" s="159"/>
      <c r="P342" s="159"/>
      <c r="Q342" s="160"/>
      <c r="R342" s="160"/>
      <c r="S342" s="160"/>
      <c r="T342" s="160"/>
      <c r="U342" s="160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51"/>
      <c r="BN342" s="151"/>
      <c r="BO342" s="151"/>
      <c r="BP342" s="151"/>
      <c r="BQ342" s="151"/>
      <c r="BR342" s="151"/>
      <c r="BS342" s="151"/>
      <c r="BT342" s="151"/>
      <c r="BU342" s="151"/>
      <c r="BV342" s="151"/>
      <c r="BW342" s="151"/>
      <c r="BX342" s="151"/>
      <c r="BY342" s="151"/>
      <c r="BZ342" s="151"/>
      <c r="CA342" s="151"/>
      <c r="CB342" s="151"/>
      <c r="CC342" s="151"/>
      <c r="CD342" s="151"/>
      <c r="CE342" s="151"/>
      <c r="CF342" s="151"/>
      <c r="CG342" s="151"/>
      <c r="CH342" s="151"/>
      <c r="CI342" s="151"/>
      <c r="CJ342" s="151"/>
      <c r="CK342" s="151"/>
      <c r="CL342" s="151"/>
      <c r="CM342" s="151"/>
      <c r="CN342" s="151"/>
      <c r="CO342" s="151"/>
      <c r="CP342" s="151"/>
      <c r="CQ342" s="151"/>
      <c r="CR342" s="151"/>
      <c r="CS342" s="151"/>
      <c r="CT342" s="151"/>
      <c r="CU342" s="151"/>
      <c r="CV342" s="151"/>
      <c r="CW342" s="151"/>
      <c r="CX342" s="151"/>
      <c r="CY342" s="151"/>
      <c r="CZ342" s="151"/>
      <c r="DA342" s="151"/>
      <c r="DB342" s="151"/>
      <c r="DC342" s="151"/>
      <c r="DD342" s="151"/>
      <c r="DE342" s="151"/>
      <c r="DF342" s="151"/>
      <c r="DG342" s="151"/>
      <c r="DH342" s="151"/>
      <c r="DI342" s="151"/>
      <c r="DJ342" s="151"/>
      <c r="DK342" s="151"/>
      <c r="DL342" s="151"/>
      <c r="DM342" s="151"/>
      <c r="DN342" s="151"/>
      <c r="DO342" s="151"/>
      <c r="DP342" s="151"/>
      <c r="DQ342" s="151"/>
      <c r="DR342" s="151"/>
      <c r="DS342" s="151"/>
      <c r="DT342" s="151"/>
      <c r="DU342" s="151"/>
      <c r="DV342" s="151"/>
      <c r="DW342" s="151"/>
      <c r="DX342" s="151"/>
      <c r="DY342" s="151"/>
      <c r="DZ342" s="151"/>
      <c r="EA342" s="151"/>
      <c r="EB342" s="151"/>
      <c r="EC342" s="151"/>
      <c r="ED342" s="151"/>
      <c r="EE342" s="151"/>
      <c r="EF342" s="151"/>
      <c r="EG342" s="151"/>
      <c r="EH342" s="151"/>
      <c r="EI342" s="151"/>
      <c r="EJ342" s="151"/>
      <c r="EK342" s="151"/>
      <c r="EL342" s="151"/>
      <c r="EM342" s="151"/>
      <c r="EN342" s="151"/>
      <c r="EO342" s="151"/>
      <c r="EP342" s="151"/>
      <c r="EQ342" s="151"/>
      <c r="ER342" s="151"/>
      <c r="ES342" s="151"/>
      <c r="ET342" s="151"/>
      <c r="EU342" s="151"/>
      <c r="EV342" s="151"/>
      <c r="EW342" s="151"/>
      <c r="EX342" s="151"/>
      <c r="EY342" s="151"/>
      <c r="EZ342" s="151"/>
      <c r="FA342" s="151"/>
      <c r="FB342" s="151"/>
      <c r="FC342" s="151"/>
      <c r="FD342" s="151"/>
      <c r="FE342" s="151"/>
      <c r="FF342" s="151"/>
      <c r="FG342" s="151"/>
      <c r="FH342" s="151"/>
      <c r="FI342" s="151"/>
      <c r="FJ342" s="151"/>
      <c r="FK342" s="151"/>
      <c r="FL342" s="151"/>
      <c r="FM342" s="151"/>
      <c r="FN342" s="151"/>
      <c r="FO342" s="151"/>
      <c r="FP342" s="151"/>
      <c r="FQ342" s="151"/>
      <c r="FR342" s="151"/>
      <c r="FS342" s="151"/>
      <c r="FT342" s="151"/>
      <c r="FU342" s="151"/>
      <c r="FV342" s="151"/>
      <c r="FW342" s="151"/>
      <c r="FX342" s="151"/>
      <c r="FY342" s="151"/>
      <c r="FZ342" s="151"/>
      <c r="GA342" s="151"/>
      <c r="GB342" s="151"/>
      <c r="GC342" s="151"/>
      <c r="GD342" s="151"/>
      <c r="GE342" s="151"/>
      <c r="GF342" s="151"/>
      <c r="GG342" s="151"/>
      <c r="GH342" s="151"/>
      <c r="GI342" s="151"/>
      <c r="GJ342" s="151"/>
      <c r="GK342" s="151"/>
      <c r="GL342" s="151"/>
      <c r="GM342" s="151"/>
      <c r="GN342" s="151"/>
      <c r="GO342" s="151"/>
      <c r="GP342" s="151"/>
      <c r="GQ342" s="151"/>
      <c r="GR342" s="151"/>
      <c r="GS342" s="151"/>
      <c r="GT342" s="151"/>
      <c r="GU342" s="151"/>
      <c r="GV342" s="151"/>
      <c r="GW342" s="151"/>
      <c r="GX342" s="151"/>
      <c r="GY342" s="151"/>
      <c r="GZ342" s="151"/>
      <c r="HA342" s="151"/>
      <c r="HB342" s="151"/>
      <c r="HC342" s="151"/>
      <c r="HD342" s="151"/>
      <c r="HE342" s="151"/>
      <c r="HF342" s="151"/>
      <c r="HG342" s="151"/>
      <c r="HH342" s="151"/>
      <c r="HI342" s="151"/>
      <c r="HJ342" s="151"/>
      <c r="HK342" s="151"/>
      <c r="HL342" s="151"/>
      <c r="HM342" s="151"/>
      <c r="HN342" s="151"/>
      <c r="HO342" s="151"/>
      <c r="HP342" s="151"/>
      <c r="HQ342" s="151"/>
      <c r="HR342" s="151"/>
      <c r="HS342" s="151"/>
      <c r="HT342" s="151"/>
      <c r="HU342" s="151"/>
      <c r="HV342" s="151"/>
      <c r="HW342" s="151"/>
      <c r="HX342" s="151"/>
      <c r="HY342" s="151"/>
      <c r="HZ342" s="151"/>
      <c r="IA342" s="151"/>
      <c r="IB342" s="151"/>
      <c r="IC342" s="151"/>
      <c r="ID342" s="151"/>
      <c r="IE342" s="151"/>
      <c r="IF342" s="151"/>
      <c r="IG342" s="151"/>
      <c r="IH342" s="151"/>
      <c r="II342" s="151"/>
      <c r="IJ342" s="151"/>
      <c r="IK342" s="151"/>
      <c r="IL342" s="151"/>
      <c r="IM342" s="151"/>
      <c r="IN342" s="151"/>
      <c r="IO342" s="151"/>
      <c r="IP342" s="151"/>
      <c r="IQ342" s="151"/>
      <c r="IR342" s="151"/>
      <c r="IS342" s="151"/>
      <c r="IT342" s="151"/>
      <c r="IU342" s="151"/>
      <c r="IV342" s="151"/>
    </row>
    <row r="343" spans="1:256" hidden="1">
      <c r="A343" s="825"/>
      <c r="B343" s="828"/>
      <c r="C343" s="157" t="s">
        <v>2</v>
      </c>
      <c r="D343" s="158">
        <f>D342+D341</f>
        <v>2715</v>
      </c>
      <c r="E343" s="159">
        <f t="shared" ref="E343:P343" si="166">E342+E341</f>
        <v>2715</v>
      </c>
      <c r="F343" s="159">
        <f t="shared" si="166"/>
        <v>2715</v>
      </c>
      <c r="G343" s="159">
        <f t="shared" si="166"/>
        <v>0</v>
      </c>
      <c r="H343" s="159">
        <f t="shared" si="166"/>
        <v>2715</v>
      </c>
      <c r="I343" s="159">
        <f t="shared" si="166"/>
        <v>0</v>
      </c>
      <c r="J343" s="159">
        <f t="shared" si="166"/>
        <v>0</v>
      </c>
      <c r="K343" s="159">
        <f t="shared" si="166"/>
        <v>0</v>
      </c>
      <c r="L343" s="159">
        <f t="shared" si="166"/>
        <v>0</v>
      </c>
      <c r="M343" s="159">
        <f t="shared" si="166"/>
        <v>0</v>
      </c>
      <c r="N343" s="159">
        <f t="shared" si="166"/>
        <v>0</v>
      </c>
      <c r="O343" s="159">
        <f t="shared" si="166"/>
        <v>0</v>
      </c>
      <c r="P343" s="159">
        <f t="shared" si="166"/>
        <v>0</v>
      </c>
      <c r="Q343" s="160"/>
      <c r="R343" s="160"/>
      <c r="S343" s="160"/>
      <c r="T343" s="160"/>
      <c r="U343" s="160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  <c r="BI343" s="151"/>
      <c r="BJ343" s="151"/>
      <c r="BK343" s="151"/>
      <c r="BL343" s="151"/>
      <c r="BM343" s="151"/>
      <c r="BN343" s="151"/>
      <c r="BO343" s="151"/>
      <c r="BP343" s="151"/>
      <c r="BQ343" s="151"/>
      <c r="BR343" s="151"/>
      <c r="BS343" s="151"/>
      <c r="BT343" s="151"/>
      <c r="BU343" s="151"/>
      <c r="BV343" s="151"/>
      <c r="BW343" s="151"/>
      <c r="BX343" s="151"/>
      <c r="BY343" s="151"/>
      <c r="BZ343" s="151"/>
      <c r="CA343" s="151"/>
      <c r="CB343" s="151"/>
      <c r="CC343" s="151"/>
      <c r="CD343" s="151"/>
      <c r="CE343" s="151"/>
      <c r="CF343" s="151"/>
      <c r="CG343" s="151"/>
      <c r="CH343" s="151"/>
      <c r="CI343" s="151"/>
      <c r="CJ343" s="151"/>
      <c r="CK343" s="151"/>
      <c r="CL343" s="151"/>
      <c r="CM343" s="151"/>
      <c r="CN343" s="151"/>
      <c r="CO343" s="151"/>
      <c r="CP343" s="151"/>
      <c r="CQ343" s="151"/>
      <c r="CR343" s="151"/>
      <c r="CS343" s="151"/>
      <c r="CT343" s="151"/>
      <c r="CU343" s="151"/>
      <c r="CV343" s="151"/>
      <c r="CW343" s="151"/>
      <c r="CX343" s="151"/>
      <c r="CY343" s="151"/>
      <c r="CZ343" s="151"/>
      <c r="DA343" s="151"/>
      <c r="DB343" s="151"/>
      <c r="DC343" s="151"/>
      <c r="DD343" s="151"/>
      <c r="DE343" s="151"/>
      <c r="DF343" s="151"/>
      <c r="DG343" s="151"/>
      <c r="DH343" s="151"/>
      <c r="DI343" s="151"/>
      <c r="DJ343" s="151"/>
      <c r="DK343" s="151"/>
      <c r="DL343" s="151"/>
      <c r="DM343" s="151"/>
      <c r="DN343" s="151"/>
      <c r="DO343" s="151"/>
      <c r="DP343" s="151"/>
      <c r="DQ343" s="151"/>
      <c r="DR343" s="151"/>
      <c r="DS343" s="151"/>
      <c r="DT343" s="151"/>
      <c r="DU343" s="151"/>
      <c r="DV343" s="151"/>
      <c r="DW343" s="151"/>
      <c r="DX343" s="151"/>
      <c r="DY343" s="151"/>
      <c r="DZ343" s="151"/>
      <c r="EA343" s="151"/>
      <c r="EB343" s="151"/>
      <c r="EC343" s="151"/>
      <c r="ED343" s="151"/>
      <c r="EE343" s="151"/>
      <c r="EF343" s="151"/>
      <c r="EG343" s="151"/>
      <c r="EH343" s="151"/>
      <c r="EI343" s="151"/>
      <c r="EJ343" s="151"/>
      <c r="EK343" s="151"/>
      <c r="EL343" s="151"/>
      <c r="EM343" s="151"/>
      <c r="EN343" s="151"/>
      <c r="EO343" s="151"/>
      <c r="EP343" s="151"/>
      <c r="EQ343" s="151"/>
      <c r="ER343" s="151"/>
      <c r="ES343" s="151"/>
      <c r="ET343" s="151"/>
      <c r="EU343" s="151"/>
      <c r="EV343" s="151"/>
      <c r="EW343" s="151"/>
      <c r="EX343" s="151"/>
      <c r="EY343" s="151"/>
      <c r="EZ343" s="151"/>
      <c r="FA343" s="151"/>
      <c r="FB343" s="151"/>
      <c r="FC343" s="151"/>
      <c r="FD343" s="151"/>
      <c r="FE343" s="151"/>
      <c r="FF343" s="151"/>
      <c r="FG343" s="151"/>
      <c r="FH343" s="151"/>
      <c r="FI343" s="151"/>
      <c r="FJ343" s="151"/>
      <c r="FK343" s="151"/>
      <c r="FL343" s="151"/>
      <c r="FM343" s="151"/>
      <c r="FN343" s="151"/>
      <c r="FO343" s="151"/>
      <c r="FP343" s="151"/>
      <c r="FQ343" s="151"/>
      <c r="FR343" s="151"/>
      <c r="FS343" s="151"/>
      <c r="FT343" s="151"/>
      <c r="FU343" s="151"/>
      <c r="FV343" s="151"/>
      <c r="FW343" s="151"/>
      <c r="FX343" s="151"/>
      <c r="FY343" s="151"/>
      <c r="FZ343" s="151"/>
      <c r="GA343" s="151"/>
      <c r="GB343" s="151"/>
      <c r="GC343" s="151"/>
      <c r="GD343" s="151"/>
      <c r="GE343" s="151"/>
      <c r="GF343" s="151"/>
      <c r="GG343" s="151"/>
      <c r="GH343" s="151"/>
      <c r="GI343" s="151"/>
      <c r="GJ343" s="151"/>
      <c r="GK343" s="151"/>
      <c r="GL343" s="151"/>
      <c r="GM343" s="151"/>
      <c r="GN343" s="151"/>
      <c r="GO343" s="151"/>
      <c r="GP343" s="151"/>
      <c r="GQ343" s="151"/>
      <c r="GR343" s="151"/>
      <c r="GS343" s="151"/>
      <c r="GT343" s="151"/>
      <c r="GU343" s="151"/>
      <c r="GV343" s="151"/>
      <c r="GW343" s="151"/>
      <c r="GX343" s="151"/>
      <c r="GY343" s="151"/>
      <c r="GZ343" s="151"/>
      <c r="HA343" s="151"/>
      <c r="HB343" s="151"/>
      <c r="HC343" s="151"/>
      <c r="HD343" s="151"/>
      <c r="HE343" s="151"/>
      <c r="HF343" s="151"/>
      <c r="HG343" s="151"/>
      <c r="HH343" s="151"/>
      <c r="HI343" s="151"/>
      <c r="HJ343" s="151"/>
      <c r="HK343" s="151"/>
      <c r="HL343" s="151"/>
      <c r="HM343" s="151"/>
      <c r="HN343" s="151"/>
      <c r="HO343" s="151"/>
      <c r="HP343" s="151"/>
      <c r="HQ343" s="151"/>
      <c r="HR343" s="151"/>
      <c r="HS343" s="151"/>
      <c r="HT343" s="151"/>
      <c r="HU343" s="151"/>
      <c r="HV343" s="151"/>
      <c r="HW343" s="151"/>
      <c r="HX343" s="151"/>
      <c r="HY343" s="151"/>
      <c r="HZ343" s="151"/>
      <c r="IA343" s="151"/>
      <c r="IB343" s="151"/>
      <c r="IC343" s="151"/>
      <c r="ID343" s="151"/>
      <c r="IE343" s="151"/>
      <c r="IF343" s="151"/>
      <c r="IG343" s="151"/>
      <c r="IH343" s="151"/>
      <c r="II343" s="151"/>
      <c r="IJ343" s="151"/>
      <c r="IK343" s="151"/>
      <c r="IL343" s="151"/>
      <c r="IM343" s="151"/>
      <c r="IN343" s="151"/>
      <c r="IO343" s="151"/>
      <c r="IP343" s="151"/>
      <c r="IQ343" s="151"/>
      <c r="IR343" s="151"/>
      <c r="IS343" s="151"/>
      <c r="IT343" s="151"/>
      <c r="IU343" s="151"/>
      <c r="IV343" s="151"/>
    </row>
    <row r="344" spans="1:256" hidden="1">
      <c r="A344" s="823">
        <v>90026</v>
      </c>
      <c r="B344" s="826" t="s">
        <v>276</v>
      </c>
      <c r="C344" s="157" t="s">
        <v>0</v>
      </c>
      <c r="D344" s="158">
        <f t="shared" si="158"/>
        <v>105385</v>
      </c>
      <c r="E344" s="159">
        <f t="shared" si="159"/>
        <v>105385</v>
      </c>
      <c r="F344" s="159">
        <f t="shared" si="160"/>
        <v>105385</v>
      </c>
      <c r="G344" s="159">
        <v>78450</v>
      </c>
      <c r="H344" s="159">
        <f>16935+10000</f>
        <v>26935</v>
      </c>
      <c r="I344" s="159">
        <v>0</v>
      </c>
      <c r="J344" s="159">
        <v>0</v>
      </c>
      <c r="K344" s="159">
        <v>0</v>
      </c>
      <c r="L344" s="159">
        <v>0</v>
      </c>
      <c r="M344" s="159">
        <f t="shared" si="161"/>
        <v>0</v>
      </c>
      <c r="N344" s="159">
        <v>0</v>
      </c>
      <c r="O344" s="159">
        <v>0</v>
      </c>
      <c r="P344" s="159">
        <v>0</v>
      </c>
      <c r="Q344" s="160"/>
      <c r="R344" s="160"/>
      <c r="S344" s="160"/>
      <c r="T344" s="160"/>
      <c r="U344" s="160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  <c r="BI344" s="151"/>
      <c r="BJ344" s="151"/>
      <c r="BK344" s="151"/>
      <c r="BL344" s="151"/>
      <c r="BM344" s="151"/>
      <c r="BN344" s="151"/>
      <c r="BO344" s="151"/>
      <c r="BP344" s="151"/>
      <c r="BQ344" s="151"/>
      <c r="BR344" s="151"/>
      <c r="BS344" s="151"/>
      <c r="BT344" s="151"/>
      <c r="BU344" s="151"/>
      <c r="BV344" s="151"/>
      <c r="BW344" s="151"/>
      <c r="BX344" s="151"/>
      <c r="BY344" s="151"/>
      <c r="BZ344" s="151"/>
      <c r="CA344" s="151"/>
      <c r="CB344" s="151"/>
      <c r="CC344" s="151"/>
      <c r="CD344" s="151"/>
      <c r="CE344" s="151"/>
      <c r="CF344" s="151"/>
      <c r="CG344" s="151"/>
      <c r="CH344" s="151"/>
      <c r="CI344" s="151"/>
      <c r="CJ344" s="151"/>
      <c r="CK344" s="151"/>
      <c r="CL344" s="151"/>
      <c r="CM344" s="151"/>
      <c r="CN344" s="151"/>
      <c r="CO344" s="151"/>
      <c r="CP344" s="151"/>
      <c r="CQ344" s="151"/>
      <c r="CR344" s="151"/>
      <c r="CS344" s="151"/>
      <c r="CT344" s="151"/>
      <c r="CU344" s="151"/>
      <c r="CV344" s="151"/>
      <c r="CW344" s="151"/>
      <c r="CX344" s="151"/>
      <c r="CY344" s="151"/>
      <c r="CZ344" s="151"/>
      <c r="DA344" s="151"/>
      <c r="DB344" s="151"/>
      <c r="DC344" s="151"/>
      <c r="DD344" s="151"/>
      <c r="DE344" s="151"/>
      <c r="DF344" s="151"/>
      <c r="DG344" s="151"/>
      <c r="DH344" s="151"/>
      <c r="DI344" s="151"/>
      <c r="DJ344" s="151"/>
      <c r="DK344" s="151"/>
      <c r="DL344" s="151"/>
      <c r="DM344" s="151"/>
      <c r="DN344" s="151"/>
      <c r="DO344" s="151"/>
      <c r="DP344" s="151"/>
      <c r="DQ344" s="151"/>
      <c r="DR344" s="151"/>
      <c r="DS344" s="151"/>
      <c r="DT344" s="151"/>
      <c r="DU344" s="151"/>
      <c r="DV344" s="151"/>
      <c r="DW344" s="151"/>
      <c r="DX344" s="151"/>
      <c r="DY344" s="151"/>
      <c r="DZ344" s="151"/>
      <c r="EA344" s="151"/>
      <c r="EB344" s="151"/>
      <c r="EC344" s="151"/>
      <c r="ED344" s="151"/>
      <c r="EE344" s="151"/>
      <c r="EF344" s="151"/>
      <c r="EG344" s="151"/>
      <c r="EH344" s="151"/>
      <c r="EI344" s="151"/>
      <c r="EJ344" s="151"/>
      <c r="EK344" s="151"/>
      <c r="EL344" s="151"/>
      <c r="EM344" s="151"/>
      <c r="EN344" s="151"/>
      <c r="EO344" s="151"/>
      <c r="EP344" s="151"/>
      <c r="EQ344" s="151"/>
      <c r="ER344" s="151"/>
      <c r="ES344" s="151"/>
      <c r="ET344" s="151"/>
      <c r="EU344" s="151"/>
      <c r="EV344" s="151"/>
      <c r="EW344" s="151"/>
      <c r="EX344" s="151"/>
      <c r="EY344" s="151"/>
      <c r="EZ344" s="151"/>
      <c r="FA344" s="151"/>
      <c r="FB344" s="151"/>
      <c r="FC344" s="151"/>
      <c r="FD344" s="151"/>
      <c r="FE344" s="151"/>
      <c r="FF344" s="151"/>
      <c r="FG344" s="151"/>
      <c r="FH344" s="151"/>
      <c r="FI344" s="151"/>
      <c r="FJ344" s="151"/>
      <c r="FK344" s="151"/>
      <c r="FL344" s="151"/>
      <c r="FM344" s="151"/>
      <c r="FN344" s="151"/>
      <c r="FO344" s="151"/>
      <c r="FP344" s="151"/>
      <c r="FQ344" s="151"/>
      <c r="FR344" s="151"/>
      <c r="FS344" s="151"/>
      <c r="FT344" s="151"/>
      <c r="FU344" s="151"/>
      <c r="FV344" s="151"/>
      <c r="FW344" s="151"/>
      <c r="FX344" s="151"/>
      <c r="FY344" s="151"/>
      <c r="FZ344" s="151"/>
      <c r="GA344" s="151"/>
      <c r="GB344" s="151"/>
      <c r="GC344" s="151"/>
      <c r="GD344" s="151"/>
      <c r="GE344" s="151"/>
      <c r="GF344" s="151"/>
      <c r="GG344" s="151"/>
      <c r="GH344" s="151"/>
      <c r="GI344" s="151"/>
      <c r="GJ344" s="151"/>
      <c r="GK344" s="151"/>
      <c r="GL344" s="151"/>
      <c r="GM344" s="151"/>
      <c r="GN344" s="151"/>
      <c r="GO344" s="151"/>
      <c r="GP344" s="151"/>
      <c r="GQ344" s="151"/>
      <c r="GR344" s="151"/>
      <c r="GS344" s="151"/>
      <c r="GT344" s="151"/>
      <c r="GU344" s="151"/>
      <c r="GV344" s="151"/>
      <c r="GW344" s="151"/>
      <c r="GX344" s="151"/>
      <c r="GY344" s="151"/>
      <c r="GZ344" s="151"/>
      <c r="HA344" s="151"/>
      <c r="HB344" s="151"/>
      <c r="HC344" s="151"/>
      <c r="HD344" s="151"/>
      <c r="HE344" s="151"/>
      <c r="HF344" s="151"/>
      <c r="HG344" s="151"/>
      <c r="HH344" s="151"/>
      <c r="HI344" s="151"/>
      <c r="HJ344" s="151"/>
      <c r="HK344" s="151"/>
      <c r="HL344" s="151"/>
      <c r="HM344" s="151"/>
      <c r="HN344" s="151"/>
      <c r="HO344" s="151"/>
      <c r="HP344" s="151"/>
      <c r="HQ344" s="151"/>
      <c r="HR344" s="151"/>
      <c r="HS344" s="151"/>
      <c r="HT344" s="151"/>
      <c r="HU344" s="151"/>
      <c r="HV344" s="151"/>
      <c r="HW344" s="151"/>
      <c r="HX344" s="151"/>
      <c r="HY344" s="151"/>
      <c r="HZ344" s="151"/>
      <c r="IA344" s="151"/>
      <c r="IB344" s="151"/>
      <c r="IC344" s="151"/>
      <c r="ID344" s="151"/>
      <c r="IE344" s="151"/>
      <c r="IF344" s="151"/>
      <c r="IG344" s="151"/>
      <c r="IH344" s="151"/>
      <c r="II344" s="151"/>
      <c r="IJ344" s="151"/>
      <c r="IK344" s="151"/>
      <c r="IL344" s="151"/>
      <c r="IM344" s="151"/>
      <c r="IN344" s="151"/>
      <c r="IO344" s="151"/>
      <c r="IP344" s="151"/>
      <c r="IQ344" s="151"/>
      <c r="IR344" s="151"/>
      <c r="IS344" s="151"/>
      <c r="IT344" s="151"/>
      <c r="IU344" s="151"/>
      <c r="IV344" s="151"/>
    </row>
    <row r="345" spans="1:256" hidden="1">
      <c r="A345" s="824"/>
      <c r="B345" s="827"/>
      <c r="C345" s="157" t="s">
        <v>1</v>
      </c>
      <c r="D345" s="158">
        <f t="shared" si="158"/>
        <v>0</v>
      </c>
      <c r="E345" s="159">
        <f t="shared" si="159"/>
        <v>0</v>
      </c>
      <c r="F345" s="159">
        <f t="shared" si="160"/>
        <v>0</v>
      </c>
      <c r="G345" s="159"/>
      <c r="H345" s="159"/>
      <c r="I345" s="159"/>
      <c r="J345" s="159"/>
      <c r="K345" s="159"/>
      <c r="L345" s="159"/>
      <c r="M345" s="159">
        <f t="shared" si="161"/>
        <v>0</v>
      </c>
      <c r="N345" s="159"/>
      <c r="O345" s="159"/>
      <c r="P345" s="159"/>
      <c r="Q345" s="160"/>
      <c r="R345" s="160"/>
      <c r="S345" s="160"/>
      <c r="T345" s="160"/>
      <c r="U345" s="160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  <c r="BI345" s="151"/>
      <c r="BJ345" s="151"/>
      <c r="BK345" s="151"/>
      <c r="BL345" s="151"/>
      <c r="BM345" s="151"/>
      <c r="BN345" s="151"/>
      <c r="BO345" s="151"/>
      <c r="BP345" s="151"/>
      <c r="BQ345" s="151"/>
      <c r="BR345" s="151"/>
      <c r="BS345" s="151"/>
      <c r="BT345" s="151"/>
      <c r="BU345" s="151"/>
      <c r="BV345" s="151"/>
      <c r="BW345" s="151"/>
      <c r="BX345" s="151"/>
      <c r="BY345" s="151"/>
      <c r="BZ345" s="151"/>
      <c r="CA345" s="151"/>
      <c r="CB345" s="151"/>
      <c r="CC345" s="151"/>
      <c r="CD345" s="151"/>
      <c r="CE345" s="151"/>
      <c r="CF345" s="151"/>
      <c r="CG345" s="151"/>
      <c r="CH345" s="151"/>
      <c r="CI345" s="151"/>
      <c r="CJ345" s="151"/>
      <c r="CK345" s="151"/>
      <c r="CL345" s="151"/>
      <c r="CM345" s="151"/>
      <c r="CN345" s="151"/>
      <c r="CO345" s="151"/>
      <c r="CP345" s="151"/>
      <c r="CQ345" s="151"/>
      <c r="CR345" s="151"/>
      <c r="CS345" s="151"/>
      <c r="CT345" s="151"/>
      <c r="CU345" s="151"/>
      <c r="CV345" s="151"/>
      <c r="CW345" s="151"/>
      <c r="CX345" s="151"/>
      <c r="CY345" s="151"/>
      <c r="CZ345" s="151"/>
      <c r="DA345" s="151"/>
      <c r="DB345" s="151"/>
      <c r="DC345" s="151"/>
      <c r="DD345" s="151"/>
      <c r="DE345" s="151"/>
      <c r="DF345" s="151"/>
      <c r="DG345" s="151"/>
      <c r="DH345" s="151"/>
      <c r="DI345" s="151"/>
      <c r="DJ345" s="151"/>
      <c r="DK345" s="151"/>
      <c r="DL345" s="151"/>
      <c r="DM345" s="151"/>
      <c r="DN345" s="151"/>
      <c r="DO345" s="151"/>
      <c r="DP345" s="151"/>
      <c r="DQ345" s="151"/>
      <c r="DR345" s="151"/>
      <c r="DS345" s="151"/>
      <c r="DT345" s="151"/>
      <c r="DU345" s="151"/>
      <c r="DV345" s="151"/>
      <c r="DW345" s="151"/>
      <c r="DX345" s="151"/>
      <c r="DY345" s="151"/>
      <c r="DZ345" s="151"/>
      <c r="EA345" s="151"/>
      <c r="EB345" s="151"/>
      <c r="EC345" s="151"/>
      <c r="ED345" s="151"/>
      <c r="EE345" s="151"/>
      <c r="EF345" s="151"/>
      <c r="EG345" s="151"/>
      <c r="EH345" s="151"/>
      <c r="EI345" s="151"/>
      <c r="EJ345" s="151"/>
      <c r="EK345" s="151"/>
      <c r="EL345" s="151"/>
      <c r="EM345" s="151"/>
      <c r="EN345" s="151"/>
      <c r="EO345" s="151"/>
      <c r="EP345" s="151"/>
      <c r="EQ345" s="151"/>
      <c r="ER345" s="151"/>
      <c r="ES345" s="151"/>
      <c r="ET345" s="151"/>
      <c r="EU345" s="151"/>
      <c r="EV345" s="151"/>
      <c r="EW345" s="151"/>
      <c r="EX345" s="151"/>
      <c r="EY345" s="151"/>
      <c r="EZ345" s="151"/>
      <c r="FA345" s="151"/>
      <c r="FB345" s="151"/>
      <c r="FC345" s="151"/>
      <c r="FD345" s="151"/>
      <c r="FE345" s="151"/>
      <c r="FF345" s="151"/>
      <c r="FG345" s="151"/>
      <c r="FH345" s="151"/>
      <c r="FI345" s="151"/>
      <c r="FJ345" s="151"/>
      <c r="FK345" s="151"/>
      <c r="FL345" s="151"/>
      <c r="FM345" s="151"/>
      <c r="FN345" s="151"/>
      <c r="FO345" s="151"/>
      <c r="FP345" s="151"/>
      <c r="FQ345" s="151"/>
      <c r="FR345" s="151"/>
      <c r="FS345" s="151"/>
      <c r="FT345" s="151"/>
      <c r="FU345" s="151"/>
      <c r="FV345" s="151"/>
      <c r="FW345" s="151"/>
      <c r="FX345" s="151"/>
      <c r="FY345" s="151"/>
      <c r="FZ345" s="151"/>
      <c r="GA345" s="151"/>
      <c r="GB345" s="151"/>
      <c r="GC345" s="151"/>
      <c r="GD345" s="151"/>
      <c r="GE345" s="151"/>
      <c r="GF345" s="151"/>
      <c r="GG345" s="151"/>
      <c r="GH345" s="151"/>
      <c r="GI345" s="151"/>
      <c r="GJ345" s="151"/>
      <c r="GK345" s="151"/>
      <c r="GL345" s="151"/>
      <c r="GM345" s="151"/>
      <c r="GN345" s="151"/>
      <c r="GO345" s="151"/>
      <c r="GP345" s="151"/>
      <c r="GQ345" s="151"/>
      <c r="GR345" s="151"/>
      <c r="GS345" s="151"/>
      <c r="GT345" s="151"/>
      <c r="GU345" s="151"/>
      <c r="GV345" s="151"/>
      <c r="GW345" s="151"/>
      <c r="GX345" s="151"/>
      <c r="GY345" s="151"/>
      <c r="GZ345" s="151"/>
      <c r="HA345" s="151"/>
      <c r="HB345" s="151"/>
      <c r="HC345" s="151"/>
      <c r="HD345" s="151"/>
      <c r="HE345" s="151"/>
      <c r="HF345" s="151"/>
      <c r="HG345" s="151"/>
      <c r="HH345" s="151"/>
      <c r="HI345" s="151"/>
      <c r="HJ345" s="151"/>
      <c r="HK345" s="151"/>
      <c r="HL345" s="151"/>
      <c r="HM345" s="151"/>
      <c r="HN345" s="151"/>
      <c r="HO345" s="151"/>
      <c r="HP345" s="151"/>
      <c r="HQ345" s="151"/>
      <c r="HR345" s="151"/>
      <c r="HS345" s="151"/>
      <c r="HT345" s="151"/>
      <c r="HU345" s="151"/>
      <c r="HV345" s="151"/>
      <c r="HW345" s="151"/>
      <c r="HX345" s="151"/>
      <c r="HY345" s="151"/>
      <c r="HZ345" s="151"/>
      <c r="IA345" s="151"/>
      <c r="IB345" s="151"/>
      <c r="IC345" s="151"/>
      <c r="ID345" s="151"/>
      <c r="IE345" s="151"/>
      <c r="IF345" s="151"/>
      <c r="IG345" s="151"/>
      <c r="IH345" s="151"/>
      <c r="II345" s="151"/>
      <c r="IJ345" s="151"/>
      <c r="IK345" s="151"/>
      <c r="IL345" s="151"/>
      <c r="IM345" s="151"/>
      <c r="IN345" s="151"/>
      <c r="IO345" s="151"/>
      <c r="IP345" s="151"/>
      <c r="IQ345" s="151"/>
      <c r="IR345" s="151"/>
      <c r="IS345" s="151"/>
      <c r="IT345" s="151"/>
      <c r="IU345" s="151"/>
      <c r="IV345" s="151"/>
    </row>
    <row r="346" spans="1:256" hidden="1">
      <c r="A346" s="825"/>
      <c r="B346" s="828"/>
      <c r="C346" s="157" t="s">
        <v>2</v>
      </c>
      <c r="D346" s="158">
        <f>D345+D344</f>
        <v>105385</v>
      </c>
      <c r="E346" s="159">
        <f t="shared" ref="E346:P346" si="167">E345+E344</f>
        <v>105385</v>
      </c>
      <c r="F346" s="159">
        <f t="shared" si="167"/>
        <v>105385</v>
      </c>
      <c r="G346" s="159">
        <f t="shared" si="167"/>
        <v>78450</v>
      </c>
      <c r="H346" s="159">
        <f t="shared" si="167"/>
        <v>26935</v>
      </c>
      <c r="I346" s="159">
        <f t="shared" si="167"/>
        <v>0</v>
      </c>
      <c r="J346" s="159">
        <f t="shared" si="167"/>
        <v>0</v>
      </c>
      <c r="K346" s="159">
        <f t="shared" si="167"/>
        <v>0</v>
      </c>
      <c r="L346" s="159">
        <f t="shared" si="167"/>
        <v>0</v>
      </c>
      <c r="M346" s="159">
        <f t="shared" si="167"/>
        <v>0</v>
      </c>
      <c r="N346" s="159">
        <f t="shared" si="167"/>
        <v>0</v>
      </c>
      <c r="O346" s="159">
        <f t="shared" si="167"/>
        <v>0</v>
      </c>
      <c r="P346" s="159">
        <f t="shared" si="167"/>
        <v>0</v>
      </c>
      <c r="Q346" s="160"/>
      <c r="R346" s="160"/>
      <c r="S346" s="160"/>
      <c r="T346" s="160"/>
      <c r="U346" s="160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  <c r="BI346" s="151"/>
      <c r="BJ346" s="151"/>
      <c r="BK346" s="151"/>
      <c r="BL346" s="151"/>
      <c r="BM346" s="151"/>
      <c r="BN346" s="151"/>
      <c r="BO346" s="151"/>
      <c r="BP346" s="151"/>
      <c r="BQ346" s="151"/>
      <c r="BR346" s="151"/>
      <c r="BS346" s="151"/>
      <c r="BT346" s="151"/>
      <c r="BU346" s="151"/>
      <c r="BV346" s="151"/>
      <c r="BW346" s="151"/>
      <c r="BX346" s="151"/>
      <c r="BY346" s="151"/>
      <c r="BZ346" s="151"/>
      <c r="CA346" s="151"/>
      <c r="CB346" s="151"/>
      <c r="CC346" s="151"/>
      <c r="CD346" s="151"/>
      <c r="CE346" s="151"/>
      <c r="CF346" s="151"/>
      <c r="CG346" s="151"/>
      <c r="CH346" s="151"/>
      <c r="CI346" s="151"/>
      <c r="CJ346" s="151"/>
      <c r="CK346" s="151"/>
      <c r="CL346" s="151"/>
      <c r="CM346" s="151"/>
      <c r="CN346" s="151"/>
      <c r="CO346" s="151"/>
      <c r="CP346" s="151"/>
      <c r="CQ346" s="151"/>
      <c r="CR346" s="151"/>
      <c r="CS346" s="151"/>
      <c r="CT346" s="151"/>
      <c r="CU346" s="151"/>
      <c r="CV346" s="151"/>
      <c r="CW346" s="151"/>
      <c r="CX346" s="151"/>
      <c r="CY346" s="151"/>
      <c r="CZ346" s="151"/>
      <c r="DA346" s="151"/>
      <c r="DB346" s="151"/>
      <c r="DC346" s="151"/>
      <c r="DD346" s="151"/>
      <c r="DE346" s="151"/>
      <c r="DF346" s="151"/>
      <c r="DG346" s="151"/>
      <c r="DH346" s="151"/>
      <c r="DI346" s="151"/>
      <c r="DJ346" s="151"/>
      <c r="DK346" s="151"/>
      <c r="DL346" s="151"/>
      <c r="DM346" s="151"/>
      <c r="DN346" s="151"/>
      <c r="DO346" s="151"/>
      <c r="DP346" s="151"/>
      <c r="DQ346" s="151"/>
      <c r="DR346" s="151"/>
      <c r="DS346" s="151"/>
      <c r="DT346" s="151"/>
      <c r="DU346" s="151"/>
      <c r="DV346" s="151"/>
      <c r="DW346" s="151"/>
      <c r="DX346" s="151"/>
      <c r="DY346" s="151"/>
      <c r="DZ346" s="151"/>
      <c r="EA346" s="151"/>
      <c r="EB346" s="151"/>
      <c r="EC346" s="151"/>
      <c r="ED346" s="151"/>
      <c r="EE346" s="151"/>
      <c r="EF346" s="151"/>
      <c r="EG346" s="151"/>
      <c r="EH346" s="151"/>
      <c r="EI346" s="151"/>
      <c r="EJ346" s="151"/>
      <c r="EK346" s="151"/>
      <c r="EL346" s="151"/>
      <c r="EM346" s="151"/>
      <c r="EN346" s="151"/>
      <c r="EO346" s="151"/>
      <c r="EP346" s="151"/>
      <c r="EQ346" s="151"/>
      <c r="ER346" s="151"/>
      <c r="ES346" s="151"/>
      <c r="ET346" s="151"/>
      <c r="EU346" s="151"/>
      <c r="EV346" s="151"/>
      <c r="EW346" s="151"/>
      <c r="EX346" s="151"/>
      <c r="EY346" s="151"/>
      <c r="EZ346" s="151"/>
      <c r="FA346" s="151"/>
      <c r="FB346" s="151"/>
      <c r="FC346" s="151"/>
      <c r="FD346" s="151"/>
      <c r="FE346" s="151"/>
      <c r="FF346" s="151"/>
      <c r="FG346" s="151"/>
      <c r="FH346" s="151"/>
      <c r="FI346" s="151"/>
      <c r="FJ346" s="151"/>
      <c r="FK346" s="151"/>
      <c r="FL346" s="151"/>
      <c r="FM346" s="151"/>
      <c r="FN346" s="151"/>
      <c r="FO346" s="151"/>
      <c r="FP346" s="151"/>
      <c r="FQ346" s="151"/>
      <c r="FR346" s="151"/>
      <c r="FS346" s="151"/>
      <c r="FT346" s="151"/>
      <c r="FU346" s="151"/>
      <c r="FV346" s="151"/>
      <c r="FW346" s="151"/>
      <c r="FX346" s="151"/>
      <c r="FY346" s="151"/>
      <c r="FZ346" s="151"/>
      <c r="GA346" s="151"/>
      <c r="GB346" s="151"/>
      <c r="GC346" s="151"/>
      <c r="GD346" s="151"/>
      <c r="GE346" s="151"/>
      <c r="GF346" s="151"/>
      <c r="GG346" s="151"/>
      <c r="GH346" s="151"/>
      <c r="GI346" s="151"/>
      <c r="GJ346" s="151"/>
      <c r="GK346" s="151"/>
      <c r="GL346" s="151"/>
      <c r="GM346" s="151"/>
      <c r="GN346" s="151"/>
      <c r="GO346" s="151"/>
      <c r="GP346" s="151"/>
      <c r="GQ346" s="151"/>
      <c r="GR346" s="151"/>
      <c r="GS346" s="151"/>
      <c r="GT346" s="151"/>
      <c r="GU346" s="151"/>
      <c r="GV346" s="151"/>
      <c r="GW346" s="151"/>
      <c r="GX346" s="151"/>
      <c r="GY346" s="151"/>
      <c r="GZ346" s="151"/>
      <c r="HA346" s="151"/>
      <c r="HB346" s="151"/>
      <c r="HC346" s="151"/>
      <c r="HD346" s="151"/>
      <c r="HE346" s="151"/>
      <c r="HF346" s="151"/>
      <c r="HG346" s="151"/>
      <c r="HH346" s="151"/>
      <c r="HI346" s="151"/>
      <c r="HJ346" s="151"/>
      <c r="HK346" s="151"/>
      <c r="HL346" s="151"/>
      <c r="HM346" s="151"/>
      <c r="HN346" s="151"/>
      <c r="HO346" s="151"/>
      <c r="HP346" s="151"/>
      <c r="HQ346" s="151"/>
      <c r="HR346" s="151"/>
      <c r="HS346" s="151"/>
      <c r="HT346" s="151"/>
      <c r="HU346" s="151"/>
      <c r="HV346" s="151"/>
      <c r="HW346" s="151"/>
      <c r="HX346" s="151"/>
      <c r="HY346" s="151"/>
      <c r="HZ346" s="151"/>
      <c r="IA346" s="151"/>
      <c r="IB346" s="151"/>
      <c r="IC346" s="151"/>
      <c r="ID346" s="151"/>
      <c r="IE346" s="151"/>
      <c r="IF346" s="151"/>
      <c r="IG346" s="151"/>
      <c r="IH346" s="151"/>
      <c r="II346" s="151"/>
      <c r="IJ346" s="151"/>
      <c r="IK346" s="151"/>
      <c r="IL346" s="151"/>
      <c r="IM346" s="151"/>
      <c r="IN346" s="151"/>
      <c r="IO346" s="151"/>
      <c r="IP346" s="151"/>
      <c r="IQ346" s="151"/>
      <c r="IR346" s="151"/>
      <c r="IS346" s="151"/>
      <c r="IT346" s="151"/>
      <c r="IU346" s="151"/>
      <c r="IV346" s="151"/>
    </row>
    <row r="347" spans="1:256">
      <c r="A347" s="823">
        <v>90095</v>
      </c>
      <c r="B347" s="826" t="s">
        <v>103</v>
      </c>
      <c r="C347" s="157" t="s">
        <v>0</v>
      </c>
      <c r="D347" s="158">
        <f t="shared" si="158"/>
        <v>9465592</v>
      </c>
      <c r="E347" s="159">
        <f t="shared" si="159"/>
        <v>3939547</v>
      </c>
      <c r="F347" s="159">
        <f t="shared" si="160"/>
        <v>2124038</v>
      </c>
      <c r="G347" s="159">
        <v>1148133</v>
      </c>
      <c r="H347" s="159">
        <v>975905</v>
      </c>
      <c r="I347" s="159">
        <v>0</v>
      </c>
      <c r="J347" s="159">
        <v>0</v>
      </c>
      <c r="K347" s="159">
        <v>1815509</v>
      </c>
      <c r="L347" s="159">
        <v>0</v>
      </c>
      <c r="M347" s="159">
        <f t="shared" si="161"/>
        <v>5526045</v>
      </c>
      <c r="N347" s="159">
        <v>4026045</v>
      </c>
      <c r="O347" s="159">
        <v>4026045</v>
      </c>
      <c r="P347" s="159">
        <v>1500000</v>
      </c>
      <c r="Q347" s="166"/>
      <c r="R347" s="166"/>
      <c r="S347" s="166"/>
      <c r="T347" s="166"/>
      <c r="U347" s="166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0"/>
      <c r="BW347" s="130"/>
      <c r="BX347" s="130"/>
      <c r="BY347" s="130"/>
      <c r="BZ347" s="130"/>
      <c r="CA347" s="130"/>
      <c r="CB347" s="130"/>
      <c r="CC347" s="130"/>
      <c r="CD347" s="130"/>
      <c r="CE347" s="130"/>
      <c r="CF347" s="130"/>
      <c r="CG347" s="130"/>
      <c r="CH347" s="130"/>
      <c r="CI347" s="130"/>
      <c r="CJ347" s="130"/>
      <c r="CK347" s="130"/>
      <c r="CL347" s="130"/>
      <c r="CM347" s="130"/>
      <c r="CN347" s="130"/>
      <c r="CO347" s="130"/>
      <c r="CP347" s="130"/>
      <c r="CQ347" s="130"/>
      <c r="CR347" s="130"/>
      <c r="CS347" s="130"/>
      <c r="CT347" s="130"/>
      <c r="CU347" s="130"/>
      <c r="CV347" s="130"/>
      <c r="CW347" s="130"/>
      <c r="CX347" s="130"/>
      <c r="CY347" s="130"/>
      <c r="CZ347" s="130"/>
      <c r="DA347" s="130"/>
      <c r="DB347" s="130"/>
      <c r="DC347" s="130"/>
      <c r="DD347" s="130"/>
      <c r="DE347" s="130"/>
      <c r="DF347" s="130"/>
      <c r="DG347" s="130"/>
      <c r="DH347" s="130"/>
      <c r="DI347" s="130"/>
      <c r="DJ347" s="130"/>
      <c r="DK347" s="130"/>
      <c r="DL347" s="130"/>
      <c r="DM347" s="130"/>
      <c r="DN347" s="130"/>
      <c r="DO347" s="130"/>
      <c r="DP347" s="130"/>
      <c r="DQ347" s="130"/>
      <c r="DR347" s="130"/>
      <c r="DS347" s="130"/>
      <c r="DT347" s="130"/>
      <c r="DU347" s="130"/>
      <c r="DV347" s="130"/>
      <c r="DW347" s="130"/>
      <c r="DX347" s="130"/>
      <c r="DY347" s="130"/>
      <c r="DZ347" s="130"/>
      <c r="EA347" s="130"/>
      <c r="EB347" s="130"/>
      <c r="EC347" s="130"/>
      <c r="ED347" s="130"/>
      <c r="EE347" s="130"/>
      <c r="EF347" s="130"/>
      <c r="EG347" s="130"/>
      <c r="EH347" s="130"/>
      <c r="EI347" s="130"/>
      <c r="EJ347" s="130"/>
      <c r="EK347" s="130"/>
      <c r="EL347" s="130"/>
      <c r="EM347" s="130"/>
      <c r="EN347" s="130"/>
      <c r="EO347" s="130"/>
      <c r="EP347" s="130"/>
      <c r="EQ347" s="130"/>
      <c r="ER347" s="130"/>
      <c r="ES347" s="130"/>
      <c r="ET347" s="130"/>
      <c r="EU347" s="130"/>
      <c r="EV347" s="130"/>
      <c r="EW347" s="130"/>
      <c r="EX347" s="130"/>
      <c r="EY347" s="130"/>
      <c r="EZ347" s="130"/>
      <c r="FA347" s="130"/>
      <c r="FB347" s="130"/>
      <c r="FC347" s="130"/>
      <c r="FD347" s="130"/>
      <c r="FE347" s="130"/>
      <c r="FF347" s="130"/>
      <c r="FG347" s="130"/>
      <c r="FH347" s="130"/>
      <c r="FI347" s="130"/>
      <c r="FJ347" s="130"/>
      <c r="FK347" s="130"/>
      <c r="FL347" s="130"/>
      <c r="FM347" s="130"/>
      <c r="FN347" s="130"/>
      <c r="FO347" s="130"/>
      <c r="FP347" s="130"/>
      <c r="FQ347" s="130"/>
      <c r="FR347" s="130"/>
      <c r="FS347" s="130"/>
      <c r="FT347" s="130"/>
      <c r="FU347" s="130"/>
      <c r="FV347" s="130"/>
      <c r="FW347" s="130"/>
      <c r="FX347" s="130"/>
      <c r="FY347" s="130"/>
      <c r="FZ347" s="130"/>
      <c r="GA347" s="130"/>
      <c r="GB347" s="130"/>
      <c r="GC347" s="130"/>
      <c r="GD347" s="130"/>
      <c r="GE347" s="130"/>
      <c r="GF347" s="130"/>
      <c r="GG347" s="130"/>
      <c r="GH347" s="130"/>
      <c r="GI347" s="130"/>
      <c r="GJ347" s="130"/>
      <c r="GK347" s="130"/>
      <c r="GL347" s="130"/>
      <c r="GM347" s="130"/>
      <c r="GN347" s="130"/>
      <c r="GO347" s="130"/>
      <c r="GP347" s="130"/>
      <c r="GQ347" s="130"/>
      <c r="GR347" s="130"/>
      <c r="GS347" s="130"/>
      <c r="GT347" s="130"/>
      <c r="GU347" s="130"/>
      <c r="GV347" s="130"/>
      <c r="GW347" s="130"/>
      <c r="GX347" s="130"/>
      <c r="GY347" s="130"/>
      <c r="GZ347" s="130"/>
      <c r="HA347" s="130"/>
      <c r="HB347" s="130"/>
      <c r="HC347" s="130"/>
      <c r="HD347" s="130"/>
      <c r="HE347" s="130"/>
      <c r="HF347" s="130"/>
      <c r="HG347" s="130"/>
      <c r="HH347" s="130"/>
      <c r="HI347" s="130"/>
      <c r="HJ347" s="130"/>
      <c r="HK347" s="130"/>
      <c r="HL347" s="130"/>
      <c r="HM347" s="130"/>
      <c r="HN347" s="130"/>
      <c r="HO347" s="130"/>
      <c r="HP347" s="130"/>
      <c r="HQ347" s="130"/>
      <c r="HR347" s="130"/>
      <c r="HS347" s="130"/>
      <c r="HT347" s="130"/>
      <c r="HU347" s="130"/>
      <c r="HV347" s="130"/>
      <c r="HW347" s="130"/>
      <c r="HX347" s="130"/>
      <c r="HY347" s="130"/>
      <c r="HZ347" s="130"/>
      <c r="IA347" s="130"/>
      <c r="IB347" s="130"/>
      <c r="IC347" s="130"/>
      <c r="ID347" s="130"/>
      <c r="IE347" s="130"/>
      <c r="IF347" s="130"/>
      <c r="IG347" s="130"/>
      <c r="IH347" s="130"/>
      <c r="II347" s="130"/>
      <c r="IJ347" s="130"/>
      <c r="IK347" s="130"/>
      <c r="IL347" s="130"/>
      <c r="IM347" s="130"/>
      <c r="IN347" s="130"/>
      <c r="IO347" s="130"/>
      <c r="IP347" s="130"/>
      <c r="IQ347" s="130"/>
      <c r="IR347" s="130"/>
      <c r="IS347" s="130"/>
      <c r="IT347" s="130"/>
      <c r="IU347" s="130"/>
      <c r="IV347" s="130"/>
    </row>
    <row r="348" spans="1:256">
      <c r="A348" s="824"/>
      <c r="B348" s="827"/>
      <c r="C348" s="157" t="s">
        <v>1</v>
      </c>
      <c r="D348" s="158">
        <f t="shared" si="158"/>
        <v>-615385</v>
      </c>
      <c r="E348" s="159">
        <f t="shared" si="159"/>
        <v>349734</v>
      </c>
      <c r="F348" s="159">
        <f t="shared" si="160"/>
        <v>130000</v>
      </c>
      <c r="G348" s="159"/>
      <c r="H348" s="159">
        <f>130000</f>
        <v>130000</v>
      </c>
      <c r="I348" s="159"/>
      <c r="J348" s="159"/>
      <c r="K348" s="159">
        <f>2000+500+4800+1200+25600+6400+243+61+906+227-30892+4000+1000+60423+15106+10230+2557+1480+370+1600+400+91934+19589</f>
        <v>219734</v>
      </c>
      <c r="L348" s="159"/>
      <c r="M348" s="159">
        <f t="shared" si="161"/>
        <v>-965119</v>
      </c>
      <c r="N348" s="159">
        <v>-965119</v>
      </c>
      <c r="O348" s="159">
        <v>-965119</v>
      </c>
      <c r="P348" s="159"/>
      <c r="Q348" s="166"/>
      <c r="R348" s="166"/>
      <c r="S348" s="166"/>
      <c r="T348" s="166"/>
      <c r="U348" s="166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/>
      <c r="BW348" s="130"/>
      <c r="BX348" s="130"/>
      <c r="BY348" s="130"/>
      <c r="BZ348" s="130"/>
      <c r="CA348" s="130"/>
      <c r="CB348" s="130"/>
      <c r="CC348" s="130"/>
      <c r="CD348" s="130"/>
      <c r="CE348" s="130"/>
      <c r="CF348" s="130"/>
      <c r="CG348" s="130"/>
      <c r="CH348" s="130"/>
      <c r="CI348" s="130"/>
      <c r="CJ348" s="130"/>
      <c r="CK348" s="130"/>
      <c r="CL348" s="130"/>
      <c r="CM348" s="130"/>
      <c r="CN348" s="130"/>
      <c r="CO348" s="130"/>
      <c r="CP348" s="130"/>
      <c r="CQ348" s="130"/>
      <c r="CR348" s="130"/>
      <c r="CS348" s="130"/>
      <c r="CT348" s="130"/>
      <c r="CU348" s="130"/>
      <c r="CV348" s="130"/>
      <c r="CW348" s="130"/>
      <c r="CX348" s="130"/>
      <c r="CY348" s="130"/>
      <c r="CZ348" s="130"/>
      <c r="DA348" s="130"/>
      <c r="DB348" s="130"/>
      <c r="DC348" s="130"/>
      <c r="DD348" s="130"/>
      <c r="DE348" s="130"/>
      <c r="DF348" s="130"/>
      <c r="DG348" s="130"/>
      <c r="DH348" s="130"/>
      <c r="DI348" s="130"/>
      <c r="DJ348" s="130"/>
      <c r="DK348" s="130"/>
      <c r="DL348" s="130"/>
      <c r="DM348" s="130"/>
      <c r="DN348" s="130"/>
      <c r="DO348" s="130"/>
      <c r="DP348" s="130"/>
      <c r="DQ348" s="130"/>
      <c r="DR348" s="130"/>
      <c r="DS348" s="130"/>
      <c r="DT348" s="130"/>
      <c r="DU348" s="130"/>
      <c r="DV348" s="130"/>
      <c r="DW348" s="130"/>
      <c r="DX348" s="130"/>
      <c r="DY348" s="130"/>
      <c r="DZ348" s="130"/>
      <c r="EA348" s="130"/>
      <c r="EB348" s="130"/>
      <c r="EC348" s="130"/>
      <c r="ED348" s="130"/>
      <c r="EE348" s="130"/>
      <c r="EF348" s="130"/>
      <c r="EG348" s="130"/>
      <c r="EH348" s="130"/>
      <c r="EI348" s="130"/>
      <c r="EJ348" s="130"/>
      <c r="EK348" s="130"/>
      <c r="EL348" s="130"/>
      <c r="EM348" s="130"/>
      <c r="EN348" s="130"/>
      <c r="EO348" s="130"/>
      <c r="EP348" s="130"/>
      <c r="EQ348" s="130"/>
      <c r="ER348" s="130"/>
      <c r="ES348" s="130"/>
      <c r="ET348" s="130"/>
      <c r="EU348" s="130"/>
      <c r="EV348" s="130"/>
      <c r="EW348" s="130"/>
      <c r="EX348" s="130"/>
      <c r="EY348" s="130"/>
      <c r="EZ348" s="130"/>
      <c r="FA348" s="130"/>
      <c r="FB348" s="130"/>
      <c r="FC348" s="130"/>
      <c r="FD348" s="130"/>
      <c r="FE348" s="130"/>
      <c r="FF348" s="130"/>
      <c r="FG348" s="130"/>
      <c r="FH348" s="130"/>
      <c r="FI348" s="130"/>
      <c r="FJ348" s="130"/>
      <c r="FK348" s="130"/>
      <c r="FL348" s="130"/>
      <c r="FM348" s="130"/>
      <c r="FN348" s="130"/>
      <c r="FO348" s="130"/>
      <c r="FP348" s="130"/>
      <c r="FQ348" s="130"/>
      <c r="FR348" s="130"/>
      <c r="FS348" s="130"/>
      <c r="FT348" s="130"/>
      <c r="FU348" s="130"/>
      <c r="FV348" s="130"/>
      <c r="FW348" s="130"/>
      <c r="FX348" s="130"/>
      <c r="FY348" s="130"/>
      <c r="FZ348" s="130"/>
      <c r="GA348" s="130"/>
      <c r="GB348" s="130"/>
      <c r="GC348" s="130"/>
      <c r="GD348" s="130"/>
      <c r="GE348" s="130"/>
      <c r="GF348" s="130"/>
      <c r="GG348" s="130"/>
      <c r="GH348" s="130"/>
      <c r="GI348" s="130"/>
      <c r="GJ348" s="130"/>
      <c r="GK348" s="130"/>
      <c r="GL348" s="130"/>
      <c r="GM348" s="130"/>
      <c r="GN348" s="130"/>
      <c r="GO348" s="130"/>
      <c r="GP348" s="130"/>
      <c r="GQ348" s="130"/>
      <c r="GR348" s="130"/>
      <c r="GS348" s="130"/>
      <c r="GT348" s="130"/>
      <c r="GU348" s="130"/>
      <c r="GV348" s="130"/>
      <c r="GW348" s="130"/>
      <c r="GX348" s="130"/>
      <c r="GY348" s="130"/>
      <c r="GZ348" s="130"/>
      <c r="HA348" s="130"/>
      <c r="HB348" s="130"/>
      <c r="HC348" s="130"/>
      <c r="HD348" s="130"/>
      <c r="HE348" s="130"/>
      <c r="HF348" s="130"/>
      <c r="HG348" s="130"/>
      <c r="HH348" s="130"/>
      <c r="HI348" s="130"/>
      <c r="HJ348" s="130"/>
      <c r="HK348" s="130"/>
      <c r="HL348" s="130"/>
      <c r="HM348" s="130"/>
      <c r="HN348" s="130"/>
      <c r="HO348" s="130"/>
      <c r="HP348" s="130"/>
      <c r="HQ348" s="130"/>
      <c r="HR348" s="130"/>
      <c r="HS348" s="130"/>
      <c r="HT348" s="130"/>
      <c r="HU348" s="130"/>
      <c r="HV348" s="130"/>
      <c r="HW348" s="130"/>
      <c r="HX348" s="130"/>
      <c r="HY348" s="130"/>
      <c r="HZ348" s="130"/>
      <c r="IA348" s="130"/>
      <c r="IB348" s="130"/>
      <c r="IC348" s="130"/>
      <c r="ID348" s="130"/>
      <c r="IE348" s="130"/>
      <c r="IF348" s="130"/>
      <c r="IG348" s="130"/>
      <c r="IH348" s="130"/>
      <c r="II348" s="130"/>
      <c r="IJ348" s="130"/>
      <c r="IK348" s="130"/>
      <c r="IL348" s="130"/>
      <c r="IM348" s="130"/>
      <c r="IN348" s="130"/>
      <c r="IO348" s="130"/>
      <c r="IP348" s="130"/>
      <c r="IQ348" s="130"/>
      <c r="IR348" s="130"/>
      <c r="IS348" s="130"/>
      <c r="IT348" s="130"/>
      <c r="IU348" s="130"/>
      <c r="IV348" s="130"/>
    </row>
    <row r="349" spans="1:256">
      <c r="A349" s="825"/>
      <c r="B349" s="828"/>
      <c r="C349" s="157" t="s">
        <v>2</v>
      </c>
      <c r="D349" s="158">
        <f>D348+D347</f>
        <v>8850207</v>
      </c>
      <c r="E349" s="159">
        <f t="shared" ref="E349:P349" si="168">E348+E347</f>
        <v>4289281</v>
      </c>
      <c r="F349" s="159">
        <f t="shared" si="168"/>
        <v>2254038</v>
      </c>
      <c r="G349" s="159">
        <f t="shared" si="168"/>
        <v>1148133</v>
      </c>
      <c r="H349" s="159">
        <f t="shared" si="168"/>
        <v>1105905</v>
      </c>
      <c r="I349" s="159">
        <f t="shared" si="168"/>
        <v>0</v>
      </c>
      <c r="J349" s="159">
        <f t="shared" si="168"/>
        <v>0</v>
      </c>
      <c r="K349" s="159">
        <f t="shared" si="168"/>
        <v>2035243</v>
      </c>
      <c r="L349" s="159">
        <f t="shared" si="168"/>
        <v>0</v>
      </c>
      <c r="M349" s="159">
        <f t="shared" si="168"/>
        <v>4560926</v>
      </c>
      <c r="N349" s="159">
        <f t="shared" si="168"/>
        <v>3060926</v>
      </c>
      <c r="O349" s="159">
        <f t="shared" si="168"/>
        <v>3060926</v>
      </c>
      <c r="P349" s="159">
        <f t="shared" si="168"/>
        <v>1500000</v>
      </c>
      <c r="Q349" s="166"/>
      <c r="R349" s="166"/>
      <c r="S349" s="166"/>
      <c r="T349" s="166"/>
      <c r="U349" s="166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0"/>
      <c r="BW349" s="130"/>
      <c r="BX349" s="130"/>
      <c r="BY349" s="130"/>
      <c r="BZ349" s="130"/>
      <c r="CA349" s="130"/>
      <c r="CB349" s="130"/>
      <c r="CC349" s="130"/>
      <c r="CD349" s="130"/>
      <c r="CE349" s="130"/>
      <c r="CF349" s="130"/>
      <c r="CG349" s="130"/>
      <c r="CH349" s="130"/>
      <c r="CI349" s="130"/>
      <c r="CJ349" s="130"/>
      <c r="CK349" s="130"/>
      <c r="CL349" s="130"/>
      <c r="CM349" s="130"/>
      <c r="CN349" s="130"/>
      <c r="CO349" s="130"/>
      <c r="CP349" s="130"/>
      <c r="CQ349" s="130"/>
      <c r="CR349" s="130"/>
      <c r="CS349" s="130"/>
      <c r="CT349" s="130"/>
      <c r="CU349" s="130"/>
      <c r="CV349" s="130"/>
      <c r="CW349" s="130"/>
      <c r="CX349" s="130"/>
      <c r="CY349" s="130"/>
      <c r="CZ349" s="130"/>
      <c r="DA349" s="130"/>
      <c r="DB349" s="130"/>
      <c r="DC349" s="130"/>
      <c r="DD349" s="130"/>
      <c r="DE349" s="130"/>
      <c r="DF349" s="130"/>
      <c r="DG349" s="130"/>
      <c r="DH349" s="130"/>
      <c r="DI349" s="130"/>
      <c r="DJ349" s="130"/>
      <c r="DK349" s="130"/>
      <c r="DL349" s="130"/>
      <c r="DM349" s="130"/>
      <c r="DN349" s="130"/>
      <c r="DO349" s="130"/>
      <c r="DP349" s="130"/>
      <c r="DQ349" s="130"/>
      <c r="DR349" s="130"/>
      <c r="DS349" s="130"/>
      <c r="DT349" s="130"/>
      <c r="DU349" s="130"/>
      <c r="DV349" s="130"/>
      <c r="DW349" s="130"/>
      <c r="DX349" s="130"/>
      <c r="DY349" s="130"/>
      <c r="DZ349" s="130"/>
      <c r="EA349" s="130"/>
      <c r="EB349" s="130"/>
      <c r="EC349" s="130"/>
      <c r="ED349" s="130"/>
      <c r="EE349" s="130"/>
      <c r="EF349" s="130"/>
      <c r="EG349" s="130"/>
      <c r="EH349" s="130"/>
      <c r="EI349" s="130"/>
      <c r="EJ349" s="130"/>
      <c r="EK349" s="130"/>
      <c r="EL349" s="130"/>
      <c r="EM349" s="130"/>
      <c r="EN349" s="130"/>
      <c r="EO349" s="130"/>
      <c r="EP349" s="130"/>
      <c r="EQ349" s="130"/>
      <c r="ER349" s="130"/>
      <c r="ES349" s="130"/>
      <c r="ET349" s="130"/>
      <c r="EU349" s="130"/>
      <c r="EV349" s="130"/>
      <c r="EW349" s="130"/>
      <c r="EX349" s="130"/>
      <c r="EY349" s="130"/>
      <c r="EZ349" s="130"/>
      <c r="FA349" s="130"/>
      <c r="FB349" s="130"/>
      <c r="FC349" s="130"/>
      <c r="FD349" s="130"/>
      <c r="FE349" s="130"/>
      <c r="FF349" s="130"/>
      <c r="FG349" s="130"/>
      <c r="FH349" s="130"/>
      <c r="FI349" s="130"/>
      <c r="FJ349" s="130"/>
      <c r="FK349" s="130"/>
      <c r="FL349" s="130"/>
      <c r="FM349" s="130"/>
      <c r="FN349" s="130"/>
      <c r="FO349" s="130"/>
      <c r="FP349" s="130"/>
      <c r="FQ349" s="130"/>
      <c r="FR349" s="130"/>
      <c r="FS349" s="130"/>
      <c r="FT349" s="130"/>
      <c r="FU349" s="130"/>
      <c r="FV349" s="130"/>
      <c r="FW349" s="130"/>
      <c r="FX349" s="130"/>
      <c r="FY349" s="130"/>
      <c r="FZ349" s="130"/>
      <c r="GA349" s="130"/>
      <c r="GB349" s="130"/>
      <c r="GC349" s="130"/>
      <c r="GD349" s="130"/>
      <c r="GE349" s="130"/>
      <c r="GF349" s="130"/>
      <c r="GG349" s="130"/>
      <c r="GH349" s="130"/>
      <c r="GI349" s="130"/>
      <c r="GJ349" s="130"/>
      <c r="GK349" s="130"/>
      <c r="GL349" s="130"/>
      <c r="GM349" s="130"/>
      <c r="GN349" s="130"/>
      <c r="GO349" s="130"/>
      <c r="GP349" s="130"/>
      <c r="GQ349" s="130"/>
      <c r="GR349" s="130"/>
      <c r="GS349" s="130"/>
      <c r="GT349" s="130"/>
      <c r="GU349" s="130"/>
      <c r="GV349" s="130"/>
      <c r="GW349" s="130"/>
      <c r="GX349" s="130"/>
      <c r="GY349" s="130"/>
      <c r="GZ349" s="130"/>
      <c r="HA349" s="130"/>
      <c r="HB349" s="130"/>
      <c r="HC349" s="130"/>
      <c r="HD349" s="130"/>
      <c r="HE349" s="130"/>
      <c r="HF349" s="130"/>
      <c r="HG349" s="130"/>
      <c r="HH349" s="130"/>
      <c r="HI349" s="130"/>
      <c r="HJ349" s="130"/>
      <c r="HK349" s="130"/>
      <c r="HL349" s="130"/>
      <c r="HM349" s="130"/>
      <c r="HN349" s="130"/>
      <c r="HO349" s="130"/>
      <c r="HP349" s="130"/>
      <c r="HQ349" s="130"/>
      <c r="HR349" s="130"/>
      <c r="HS349" s="130"/>
      <c r="HT349" s="130"/>
      <c r="HU349" s="130"/>
      <c r="HV349" s="130"/>
      <c r="HW349" s="130"/>
      <c r="HX349" s="130"/>
      <c r="HY349" s="130"/>
      <c r="HZ349" s="130"/>
      <c r="IA349" s="130"/>
      <c r="IB349" s="130"/>
      <c r="IC349" s="130"/>
      <c r="ID349" s="130"/>
      <c r="IE349" s="130"/>
      <c r="IF349" s="130"/>
      <c r="IG349" s="130"/>
      <c r="IH349" s="130"/>
      <c r="II349" s="130"/>
      <c r="IJ349" s="130"/>
      <c r="IK349" s="130"/>
      <c r="IL349" s="130"/>
      <c r="IM349" s="130"/>
      <c r="IN349" s="130"/>
      <c r="IO349" s="130"/>
      <c r="IP349" s="130"/>
      <c r="IQ349" s="130"/>
      <c r="IR349" s="130"/>
      <c r="IS349" s="130"/>
      <c r="IT349" s="130"/>
      <c r="IU349" s="130"/>
      <c r="IV349" s="130"/>
    </row>
    <row r="350" spans="1:256" ht="15">
      <c r="A350" s="835">
        <v>921</v>
      </c>
      <c r="B350" s="838" t="s">
        <v>68</v>
      </c>
      <c r="C350" s="161" t="s">
        <v>0</v>
      </c>
      <c r="D350" s="173">
        <f>D356+D359+D362+D365+D368+D371+D374+D380+D377+D353</f>
        <v>337864998</v>
      </c>
      <c r="E350" s="163">
        <f t="shared" ref="E350:P351" si="169">E356+E359+E362+E365+E368+E371+E374+E380+E377+E353</f>
        <v>184467643</v>
      </c>
      <c r="F350" s="163">
        <f t="shared" si="169"/>
        <v>10655549</v>
      </c>
      <c r="G350" s="163">
        <f t="shared" si="169"/>
        <v>130549</v>
      </c>
      <c r="H350" s="163">
        <f t="shared" si="169"/>
        <v>10525000</v>
      </c>
      <c r="I350" s="163">
        <f t="shared" si="169"/>
        <v>171463080</v>
      </c>
      <c r="J350" s="163">
        <f t="shared" si="169"/>
        <v>450000</v>
      </c>
      <c r="K350" s="163">
        <f t="shared" si="169"/>
        <v>1899014</v>
      </c>
      <c r="L350" s="163">
        <f t="shared" si="169"/>
        <v>0</v>
      </c>
      <c r="M350" s="163">
        <f t="shared" si="169"/>
        <v>153397355</v>
      </c>
      <c r="N350" s="163">
        <f t="shared" si="169"/>
        <v>153397355</v>
      </c>
      <c r="O350" s="163">
        <f t="shared" si="169"/>
        <v>1077696</v>
      </c>
      <c r="P350" s="163">
        <f t="shared" si="169"/>
        <v>0</v>
      </c>
      <c r="Q350" s="171"/>
      <c r="R350" s="171"/>
      <c r="S350" s="171"/>
      <c r="T350" s="171"/>
      <c r="U350" s="171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2"/>
      <c r="AT350" s="172"/>
      <c r="AU350" s="172"/>
      <c r="AV350" s="172"/>
      <c r="AW350" s="172"/>
      <c r="AX350" s="172"/>
      <c r="AY350" s="172"/>
      <c r="AZ350" s="172"/>
      <c r="BA350" s="172"/>
      <c r="BB350" s="172"/>
      <c r="BC350" s="172"/>
      <c r="BD350" s="172"/>
      <c r="BE350" s="172"/>
      <c r="BF350" s="172"/>
      <c r="BG350" s="172"/>
      <c r="BH350" s="172"/>
      <c r="BI350" s="172"/>
      <c r="BJ350" s="172"/>
      <c r="BK350" s="172"/>
      <c r="BL350" s="172"/>
      <c r="BM350" s="172"/>
      <c r="BN350" s="172"/>
      <c r="BO350" s="172"/>
      <c r="BP350" s="172"/>
      <c r="BQ350" s="172"/>
      <c r="BR350" s="172"/>
      <c r="BS350" s="172"/>
      <c r="BT350" s="172"/>
      <c r="BU350" s="172"/>
      <c r="BV350" s="172"/>
      <c r="BW350" s="172"/>
      <c r="BX350" s="172"/>
      <c r="BY350" s="172"/>
      <c r="BZ350" s="172"/>
      <c r="CA350" s="172"/>
      <c r="CB350" s="172"/>
      <c r="CC350" s="172"/>
      <c r="CD350" s="172"/>
      <c r="CE350" s="172"/>
      <c r="CF350" s="172"/>
      <c r="CG350" s="172"/>
      <c r="CH350" s="172"/>
      <c r="CI350" s="172"/>
      <c r="CJ350" s="172"/>
      <c r="CK350" s="172"/>
      <c r="CL350" s="172"/>
      <c r="CM350" s="172"/>
      <c r="CN350" s="172"/>
      <c r="CO350" s="172"/>
      <c r="CP350" s="172"/>
      <c r="CQ350" s="172"/>
      <c r="CR350" s="172"/>
      <c r="CS350" s="172"/>
      <c r="CT350" s="172"/>
      <c r="CU350" s="172"/>
      <c r="CV350" s="172"/>
      <c r="CW350" s="172"/>
      <c r="CX350" s="172"/>
      <c r="CY350" s="172"/>
      <c r="CZ350" s="172"/>
      <c r="DA350" s="172"/>
      <c r="DB350" s="172"/>
      <c r="DC350" s="172"/>
      <c r="DD350" s="172"/>
      <c r="DE350" s="172"/>
      <c r="DF350" s="172"/>
      <c r="DG350" s="172"/>
      <c r="DH350" s="172"/>
      <c r="DI350" s="172"/>
      <c r="DJ350" s="172"/>
      <c r="DK350" s="172"/>
      <c r="DL350" s="172"/>
      <c r="DM350" s="172"/>
      <c r="DN350" s="172"/>
      <c r="DO350" s="172"/>
      <c r="DP350" s="172"/>
      <c r="DQ350" s="172"/>
      <c r="DR350" s="172"/>
      <c r="DS350" s="172"/>
      <c r="DT350" s="172"/>
      <c r="DU350" s="172"/>
      <c r="DV350" s="172"/>
      <c r="DW350" s="172"/>
      <c r="DX350" s="172"/>
      <c r="DY350" s="172"/>
      <c r="DZ350" s="172"/>
      <c r="EA350" s="172"/>
      <c r="EB350" s="172"/>
      <c r="EC350" s="172"/>
      <c r="ED350" s="172"/>
      <c r="EE350" s="172"/>
      <c r="EF350" s="172"/>
      <c r="EG350" s="172"/>
      <c r="EH350" s="172"/>
      <c r="EI350" s="172"/>
      <c r="EJ350" s="172"/>
      <c r="EK350" s="172"/>
      <c r="EL350" s="172"/>
      <c r="EM350" s="172"/>
      <c r="EN350" s="172"/>
      <c r="EO350" s="172"/>
      <c r="EP350" s="172"/>
      <c r="EQ350" s="172"/>
      <c r="ER350" s="172"/>
      <c r="ES350" s="172"/>
      <c r="ET350" s="172"/>
      <c r="EU350" s="172"/>
      <c r="EV350" s="172"/>
      <c r="EW350" s="172"/>
      <c r="EX350" s="172"/>
      <c r="EY350" s="172"/>
      <c r="EZ350" s="172"/>
      <c r="FA350" s="172"/>
      <c r="FB350" s="172"/>
      <c r="FC350" s="172"/>
      <c r="FD350" s="172"/>
      <c r="FE350" s="172"/>
      <c r="FF350" s="172"/>
      <c r="FG350" s="172"/>
      <c r="FH350" s="172"/>
      <c r="FI350" s="172"/>
      <c r="FJ350" s="172"/>
      <c r="FK350" s="172"/>
      <c r="FL350" s="172"/>
      <c r="FM350" s="172"/>
      <c r="FN350" s="172"/>
      <c r="FO350" s="172"/>
      <c r="FP350" s="172"/>
      <c r="FQ350" s="172"/>
      <c r="FR350" s="172"/>
      <c r="FS350" s="172"/>
      <c r="FT350" s="172"/>
      <c r="FU350" s="172"/>
      <c r="FV350" s="172"/>
      <c r="FW350" s="172"/>
      <c r="FX350" s="172"/>
      <c r="FY350" s="172"/>
      <c r="FZ350" s="172"/>
      <c r="GA350" s="172"/>
      <c r="GB350" s="172"/>
      <c r="GC350" s="172"/>
      <c r="GD350" s="172"/>
      <c r="GE350" s="172"/>
      <c r="GF350" s="172"/>
      <c r="GG350" s="172"/>
      <c r="GH350" s="172"/>
      <c r="GI350" s="172"/>
      <c r="GJ350" s="172"/>
      <c r="GK350" s="172"/>
      <c r="GL350" s="172"/>
      <c r="GM350" s="172"/>
      <c r="GN350" s="172"/>
      <c r="GO350" s="172"/>
      <c r="GP350" s="172"/>
      <c r="GQ350" s="172"/>
      <c r="GR350" s="172"/>
      <c r="GS350" s="172"/>
      <c r="GT350" s="172"/>
      <c r="GU350" s="172"/>
      <c r="GV350" s="172"/>
      <c r="GW350" s="172"/>
      <c r="GX350" s="172"/>
      <c r="GY350" s="172"/>
      <c r="GZ350" s="172"/>
      <c r="HA350" s="172"/>
      <c r="HB350" s="172"/>
      <c r="HC350" s="172"/>
      <c r="HD350" s="172"/>
      <c r="HE350" s="172"/>
      <c r="HF350" s="172"/>
      <c r="HG350" s="172"/>
      <c r="HH350" s="172"/>
      <c r="HI350" s="172"/>
      <c r="HJ350" s="172"/>
      <c r="HK350" s="172"/>
      <c r="HL350" s="172"/>
      <c r="HM350" s="172"/>
      <c r="HN350" s="172"/>
      <c r="HO350" s="172"/>
      <c r="HP350" s="172"/>
      <c r="HQ350" s="172"/>
      <c r="HR350" s="172"/>
      <c r="HS350" s="172"/>
      <c r="HT350" s="172"/>
      <c r="HU350" s="172"/>
      <c r="HV350" s="172"/>
      <c r="HW350" s="172"/>
      <c r="HX350" s="172"/>
      <c r="HY350" s="172"/>
      <c r="HZ350" s="172"/>
      <c r="IA350" s="172"/>
      <c r="IB350" s="172"/>
      <c r="IC350" s="172"/>
      <c r="ID350" s="172"/>
      <c r="IE350" s="172"/>
      <c r="IF350" s="172"/>
      <c r="IG350" s="172"/>
      <c r="IH350" s="172"/>
      <c r="II350" s="172"/>
      <c r="IJ350" s="172"/>
      <c r="IK350" s="172"/>
      <c r="IL350" s="172"/>
      <c r="IM350" s="172"/>
      <c r="IN350" s="172"/>
      <c r="IO350" s="172"/>
      <c r="IP350" s="172"/>
      <c r="IQ350" s="172"/>
      <c r="IR350" s="172"/>
      <c r="IS350" s="172"/>
      <c r="IT350" s="172"/>
      <c r="IU350" s="172"/>
      <c r="IV350" s="172"/>
    </row>
    <row r="351" spans="1:256" ht="15">
      <c r="A351" s="836"/>
      <c r="B351" s="839"/>
      <c r="C351" s="161" t="s">
        <v>1</v>
      </c>
      <c r="D351" s="173">
        <f>D357+D360+D363+D366+D369+D372+D375+D381+D378+D354</f>
        <v>8940550</v>
      </c>
      <c r="E351" s="163">
        <f t="shared" si="169"/>
        <v>3959721</v>
      </c>
      <c r="F351" s="163">
        <f t="shared" si="169"/>
        <v>1000000</v>
      </c>
      <c r="G351" s="163">
        <f t="shared" si="169"/>
        <v>0</v>
      </c>
      <c r="H351" s="163">
        <f t="shared" si="169"/>
        <v>1000000</v>
      </c>
      <c r="I351" s="163">
        <f t="shared" si="169"/>
        <v>2940478</v>
      </c>
      <c r="J351" s="163">
        <f t="shared" si="169"/>
        <v>0</v>
      </c>
      <c r="K351" s="163">
        <f t="shared" si="169"/>
        <v>19243</v>
      </c>
      <c r="L351" s="163">
        <f t="shared" si="169"/>
        <v>0</v>
      </c>
      <c r="M351" s="163">
        <f t="shared" si="169"/>
        <v>4980829</v>
      </c>
      <c r="N351" s="163">
        <f t="shared" si="169"/>
        <v>4980829</v>
      </c>
      <c r="O351" s="163">
        <f t="shared" si="169"/>
        <v>55454</v>
      </c>
      <c r="P351" s="163">
        <f t="shared" si="169"/>
        <v>0</v>
      </c>
      <c r="Q351" s="171"/>
      <c r="R351" s="171"/>
      <c r="S351" s="171"/>
      <c r="T351" s="171"/>
      <c r="U351" s="171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C351" s="172"/>
      <c r="BD351" s="172"/>
      <c r="BE351" s="172"/>
      <c r="BF351" s="172"/>
      <c r="BG351" s="172"/>
      <c r="BH351" s="172"/>
      <c r="BI351" s="172"/>
      <c r="BJ351" s="172"/>
      <c r="BK351" s="172"/>
      <c r="BL351" s="172"/>
      <c r="BM351" s="172"/>
      <c r="BN351" s="172"/>
      <c r="BO351" s="172"/>
      <c r="BP351" s="172"/>
      <c r="BQ351" s="172"/>
      <c r="BR351" s="172"/>
      <c r="BS351" s="172"/>
      <c r="BT351" s="172"/>
      <c r="BU351" s="172"/>
      <c r="BV351" s="172"/>
      <c r="BW351" s="172"/>
      <c r="BX351" s="172"/>
      <c r="BY351" s="172"/>
      <c r="BZ351" s="172"/>
      <c r="CA351" s="172"/>
      <c r="CB351" s="172"/>
      <c r="CC351" s="172"/>
      <c r="CD351" s="172"/>
      <c r="CE351" s="172"/>
      <c r="CF351" s="172"/>
      <c r="CG351" s="172"/>
      <c r="CH351" s="172"/>
      <c r="CI351" s="172"/>
      <c r="CJ351" s="172"/>
      <c r="CK351" s="172"/>
      <c r="CL351" s="172"/>
      <c r="CM351" s="172"/>
      <c r="CN351" s="172"/>
      <c r="CO351" s="172"/>
      <c r="CP351" s="172"/>
      <c r="CQ351" s="172"/>
      <c r="CR351" s="172"/>
      <c r="CS351" s="172"/>
      <c r="CT351" s="172"/>
      <c r="CU351" s="172"/>
      <c r="CV351" s="172"/>
      <c r="CW351" s="172"/>
      <c r="CX351" s="172"/>
      <c r="CY351" s="172"/>
      <c r="CZ351" s="172"/>
      <c r="DA351" s="172"/>
      <c r="DB351" s="172"/>
      <c r="DC351" s="172"/>
      <c r="DD351" s="172"/>
      <c r="DE351" s="172"/>
      <c r="DF351" s="172"/>
      <c r="DG351" s="172"/>
      <c r="DH351" s="172"/>
      <c r="DI351" s="172"/>
      <c r="DJ351" s="172"/>
      <c r="DK351" s="172"/>
      <c r="DL351" s="172"/>
      <c r="DM351" s="172"/>
      <c r="DN351" s="172"/>
      <c r="DO351" s="172"/>
      <c r="DP351" s="172"/>
      <c r="DQ351" s="172"/>
      <c r="DR351" s="172"/>
      <c r="DS351" s="172"/>
      <c r="DT351" s="172"/>
      <c r="DU351" s="172"/>
      <c r="DV351" s="172"/>
      <c r="DW351" s="172"/>
      <c r="DX351" s="172"/>
      <c r="DY351" s="172"/>
      <c r="DZ351" s="172"/>
      <c r="EA351" s="172"/>
      <c r="EB351" s="172"/>
      <c r="EC351" s="172"/>
      <c r="ED351" s="172"/>
      <c r="EE351" s="172"/>
      <c r="EF351" s="172"/>
      <c r="EG351" s="172"/>
      <c r="EH351" s="172"/>
      <c r="EI351" s="172"/>
      <c r="EJ351" s="172"/>
      <c r="EK351" s="172"/>
      <c r="EL351" s="172"/>
      <c r="EM351" s="172"/>
      <c r="EN351" s="172"/>
      <c r="EO351" s="172"/>
      <c r="EP351" s="172"/>
      <c r="EQ351" s="172"/>
      <c r="ER351" s="172"/>
      <c r="ES351" s="172"/>
      <c r="ET351" s="172"/>
      <c r="EU351" s="172"/>
      <c r="EV351" s="172"/>
      <c r="EW351" s="172"/>
      <c r="EX351" s="172"/>
      <c r="EY351" s="172"/>
      <c r="EZ351" s="172"/>
      <c r="FA351" s="172"/>
      <c r="FB351" s="172"/>
      <c r="FC351" s="172"/>
      <c r="FD351" s="172"/>
      <c r="FE351" s="172"/>
      <c r="FF351" s="172"/>
      <c r="FG351" s="172"/>
      <c r="FH351" s="172"/>
      <c r="FI351" s="172"/>
      <c r="FJ351" s="172"/>
      <c r="FK351" s="172"/>
      <c r="FL351" s="172"/>
      <c r="FM351" s="172"/>
      <c r="FN351" s="172"/>
      <c r="FO351" s="172"/>
      <c r="FP351" s="172"/>
      <c r="FQ351" s="172"/>
      <c r="FR351" s="172"/>
      <c r="FS351" s="172"/>
      <c r="FT351" s="172"/>
      <c r="FU351" s="172"/>
      <c r="FV351" s="172"/>
      <c r="FW351" s="172"/>
      <c r="FX351" s="172"/>
      <c r="FY351" s="172"/>
      <c r="FZ351" s="172"/>
      <c r="GA351" s="172"/>
      <c r="GB351" s="172"/>
      <c r="GC351" s="172"/>
      <c r="GD351" s="172"/>
      <c r="GE351" s="172"/>
      <c r="GF351" s="172"/>
      <c r="GG351" s="172"/>
      <c r="GH351" s="172"/>
      <c r="GI351" s="172"/>
      <c r="GJ351" s="172"/>
      <c r="GK351" s="172"/>
      <c r="GL351" s="172"/>
      <c r="GM351" s="172"/>
      <c r="GN351" s="172"/>
      <c r="GO351" s="172"/>
      <c r="GP351" s="172"/>
      <c r="GQ351" s="172"/>
      <c r="GR351" s="172"/>
      <c r="GS351" s="172"/>
      <c r="GT351" s="172"/>
      <c r="GU351" s="172"/>
      <c r="GV351" s="172"/>
      <c r="GW351" s="172"/>
      <c r="GX351" s="172"/>
      <c r="GY351" s="172"/>
      <c r="GZ351" s="172"/>
      <c r="HA351" s="172"/>
      <c r="HB351" s="172"/>
      <c r="HC351" s="172"/>
      <c r="HD351" s="172"/>
      <c r="HE351" s="172"/>
      <c r="HF351" s="172"/>
      <c r="HG351" s="172"/>
      <c r="HH351" s="172"/>
      <c r="HI351" s="172"/>
      <c r="HJ351" s="172"/>
      <c r="HK351" s="172"/>
      <c r="HL351" s="172"/>
      <c r="HM351" s="172"/>
      <c r="HN351" s="172"/>
      <c r="HO351" s="172"/>
      <c r="HP351" s="172"/>
      <c r="HQ351" s="172"/>
      <c r="HR351" s="172"/>
      <c r="HS351" s="172"/>
      <c r="HT351" s="172"/>
      <c r="HU351" s="172"/>
      <c r="HV351" s="172"/>
      <c r="HW351" s="172"/>
      <c r="HX351" s="172"/>
      <c r="HY351" s="172"/>
      <c r="HZ351" s="172"/>
      <c r="IA351" s="172"/>
      <c r="IB351" s="172"/>
      <c r="IC351" s="172"/>
      <c r="ID351" s="172"/>
      <c r="IE351" s="172"/>
      <c r="IF351" s="172"/>
      <c r="IG351" s="172"/>
      <c r="IH351" s="172"/>
      <c r="II351" s="172"/>
      <c r="IJ351" s="172"/>
      <c r="IK351" s="172"/>
      <c r="IL351" s="172"/>
      <c r="IM351" s="172"/>
      <c r="IN351" s="172"/>
      <c r="IO351" s="172"/>
      <c r="IP351" s="172"/>
      <c r="IQ351" s="172"/>
      <c r="IR351" s="172"/>
      <c r="IS351" s="172"/>
      <c r="IT351" s="172"/>
      <c r="IU351" s="172"/>
      <c r="IV351" s="172"/>
    </row>
    <row r="352" spans="1:256" ht="15">
      <c r="A352" s="837"/>
      <c r="B352" s="840"/>
      <c r="C352" s="161" t="s">
        <v>2</v>
      </c>
      <c r="D352" s="173">
        <f>D351+D350</f>
        <v>346805548</v>
      </c>
      <c r="E352" s="163">
        <f t="shared" ref="E352:P352" si="170">E351+E350</f>
        <v>188427364</v>
      </c>
      <c r="F352" s="163">
        <f t="shared" si="170"/>
        <v>11655549</v>
      </c>
      <c r="G352" s="163">
        <f t="shared" si="170"/>
        <v>130549</v>
      </c>
      <c r="H352" s="163">
        <f t="shared" si="170"/>
        <v>11525000</v>
      </c>
      <c r="I352" s="163">
        <f t="shared" si="170"/>
        <v>174403558</v>
      </c>
      <c r="J352" s="163">
        <f t="shared" si="170"/>
        <v>450000</v>
      </c>
      <c r="K352" s="163">
        <f t="shared" si="170"/>
        <v>1918257</v>
      </c>
      <c r="L352" s="163">
        <f t="shared" si="170"/>
        <v>0</v>
      </c>
      <c r="M352" s="163">
        <f t="shared" si="170"/>
        <v>158378184</v>
      </c>
      <c r="N352" s="163">
        <f t="shared" si="170"/>
        <v>158378184</v>
      </c>
      <c r="O352" s="163">
        <f t="shared" si="170"/>
        <v>1133150</v>
      </c>
      <c r="P352" s="163">
        <f t="shared" si="170"/>
        <v>0</v>
      </c>
      <c r="Q352" s="171"/>
      <c r="R352" s="171"/>
      <c r="S352" s="171"/>
      <c r="T352" s="171"/>
      <c r="U352" s="171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C352" s="172"/>
      <c r="BD352" s="172"/>
      <c r="BE352" s="172"/>
      <c r="BF352" s="172"/>
      <c r="BG352" s="172"/>
      <c r="BH352" s="172"/>
      <c r="BI352" s="172"/>
      <c r="BJ352" s="172"/>
      <c r="BK352" s="172"/>
      <c r="BL352" s="172"/>
      <c r="BM352" s="172"/>
      <c r="BN352" s="172"/>
      <c r="BO352" s="172"/>
      <c r="BP352" s="172"/>
      <c r="BQ352" s="172"/>
      <c r="BR352" s="172"/>
      <c r="BS352" s="172"/>
      <c r="BT352" s="172"/>
      <c r="BU352" s="172"/>
      <c r="BV352" s="172"/>
      <c r="BW352" s="172"/>
      <c r="BX352" s="172"/>
      <c r="BY352" s="172"/>
      <c r="BZ352" s="172"/>
      <c r="CA352" s="172"/>
      <c r="CB352" s="172"/>
      <c r="CC352" s="172"/>
      <c r="CD352" s="172"/>
      <c r="CE352" s="172"/>
      <c r="CF352" s="172"/>
      <c r="CG352" s="172"/>
      <c r="CH352" s="172"/>
      <c r="CI352" s="172"/>
      <c r="CJ352" s="172"/>
      <c r="CK352" s="172"/>
      <c r="CL352" s="172"/>
      <c r="CM352" s="172"/>
      <c r="CN352" s="172"/>
      <c r="CO352" s="172"/>
      <c r="CP352" s="172"/>
      <c r="CQ352" s="172"/>
      <c r="CR352" s="172"/>
      <c r="CS352" s="172"/>
      <c r="CT352" s="172"/>
      <c r="CU352" s="172"/>
      <c r="CV352" s="172"/>
      <c r="CW352" s="172"/>
      <c r="CX352" s="172"/>
      <c r="CY352" s="172"/>
      <c r="CZ352" s="172"/>
      <c r="DA352" s="172"/>
      <c r="DB352" s="172"/>
      <c r="DC352" s="172"/>
      <c r="DD352" s="172"/>
      <c r="DE352" s="172"/>
      <c r="DF352" s="172"/>
      <c r="DG352" s="172"/>
      <c r="DH352" s="172"/>
      <c r="DI352" s="172"/>
      <c r="DJ352" s="172"/>
      <c r="DK352" s="172"/>
      <c r="DL352" s="172"/>
      <c r="DM352" s="172"/>
      <c r="DN352" s="172"/>
      <c r="DO352" s="172"/>
      <c r="DP352" s="172"/>
      <c r="DQ352" s="172"/>
      <c r="DR352" s="172"/>
      <c r="DS352" s="172"/>
      <c r="DT352" s="172"/>
      <c r="DU352" s="172"/>
      <c r="DV352" s="172"/>
      <c r="DW352" s="172"/>
      <c r="DX352" s="172"/>
      <c r="DY352" s="172"/>
      <c r="DZ352" s="172"/>
      <c r="EA352" s="172"/>
      <c r="EB352" s="172"/>
      <c r="EC352" s="172"/>
      <c r="ED352" s="172"/>
      <c r="EE352" s="172"/>
      <c r="EF352" s="172"/>
      <c r="EG352" s="172"/>
      <c r="EH352" s="172"/>
      <c r="EI352" s="172"/>
      <c r="EJ352" s="172"/>
      <c r="EK352" s="172"/>
      <c r="EL352" s="172"/>
      <c r="EM352" s="172"/>
      <c r="EN352" s="172"/>
      <c r="EO352" s="172"/>
      <c r="EP352" s="172"/>
      <c r="EQ352" s="172"/>
      <c r="ER352" s="172"/>
      <c r="ES352" s="172"/>
      <c r="ET352" s="172"/>
      <c r="EU352" s="172"/>
      <c r="EV352" s="172"/>
      <c r="EW352" s="172"/>
      <c r="EX352" s="172"/>
      <c r="EY352" s="172"/>
      <c r="EZ352" s="172"/>
      <c r="FA352" s="172"/>
      <c r="FB352" s="172"/>
      <c r="FC352" s="172"/>
      <c r="FD352" s="172"/>
      <c r="FE352" s="172"/>
      <c r="FF352" s="172"/>
      <c r="FG352" s="172"/>
      <c r="FH352" s="172"/>
      <c r="FI352" s="172"/>
      <c r="FJ352" s="172"/>
      <c r="FK352" s="172"/>
      <c r="FL352" s="172"/>
      <c r="FM352" s="172"/>
      <c r="FN352" s="172"/>
      <c r="FO352" s="172"/>
      <c r="FP352" s="172"/>
      <c r="FQ352" s="172"/>
      <c r="FR352" s="172"/>
      <c r="FS352" s="172"/>
      <c r="FT352" s="172"/>
      <c r="FU352" s="172"/>
      <c r="FV352" s="172"/>
      <c r="FW352" s="172"/>
      <c r="FX352" s="172"/>
      <c r="FY352" s="172"/>
      <c r="FZ352" s="172"/>
      <c r="GA352" s="172"/>
      <c r="GB352" s="172"/>
      <c r="GC352" s="172"/>
      <c r="GD352" s="172"/>
      <c r="GE352" s="172"/>
      <c r="GF352" s="172"/>
      <c r="GG352" s="172"/>
      <c r="GH352" s="172"/>
      <c r="GI352" s="172"/>
      <c r="GJ352" s="172"/>
      <c r="GK352" s="172"/>
      <c r="GL352" s="172"/>
      <c r="GM352" s="172"/>
      <c r="GN352" s="172"/>
      <c r="GO352" s="172"/>
      <c r="GP352" s="172"/>
      <c r="GQ352" s="172"/>
      <c r="GR352" s="172"/>
      <c r="GS352" s="172"/>
      <c r="GT352" s="172"/>
      <c r="GU352" s="172"/>
      <c r="GV352" s="172"/>
      <c r="GW352" s="172"/>
      <c r="GX352" s="172"/>
      <c r="GY352" s="172"/>
      <c r="GZ352" s="172"/>
      <c r="HA352" s="172"/>
      <c r="HB352" s="172"/>
      <c r="HC352" s="172"/>
      <c r="HD352" s="172"/>
      <c r="HE352" s="172"/>
      <c r="HF352" s="172"/>
      <c r="HG352" s="172"/>
      <c r="HH352" s="172"/>
      <c r="HI352" s="172"/>
      <c r="HJ352" s="172"/>
      <c r="HK352" s="172"/>
      <c r="HL352" s="172"/>
      <c r="HM352" s="172"/>
      <c r="HN352" s="172"/>
      <c r="HO352" s="172"/>
      <c r="HP352" s="172"/>
      <c r="HQ352" s="172"/>
      <c r="HR352" s="172"/>
      <c r="HS352" s="172"/>
      <c r="HT352" s="172"/>
      <c r="HU352" s="172"/>
      <c r="HV352" s="172"/>
      <c r="HW352" s="172"/>
      <c r="HX352" s="172"/>
      <c r="HY352" s="172"/>
      <c r="HZ352" s="172"/>
      <c r="IA352" s="172"/>
      <c r="IB352" s="172"/>
      <c r="IC352" s="172"/>
      <c r="ID352" s="172"/>
      <c r="IE352" s="172"/>
      <c r="IF352" s="172"/>
      <c r="IG352" s="172"/>
      <c r="IH352" s="172"/>
      <c r="II352" s="172"/>
      <c r="IJ352" s="172"/>
      <c r="IK352" s="172"/>
      <c r="IL352" s="172"/>
      <c r="IM352" s="172"/>
      <c r="IN352" s="172"/>
      <c r="IO352" s="172"/>
      <c r="IP352" s="172"/>
      <c r="IQ352" s="172"/>
      <c r="IR352" s="172"/>
      <c r="IS352" s="172"/>
      <c r="IT352" s="172"/>
      <c r="IU352" s="172"/>
      <c r="IV352" s="172"/>
    </row>
    <row r="353" spans="1:256">
      <c r="A353" s="823" t="s">
        <v>277</v>
      </c>
      <c r="B353" s="826" t="s">
        <v>122</v>
      </c>
      <c r="C353" s="157" t="s">
        <v>0</v>
      </c>
      <c r="D353" s="158">
        <f>E353+M353</f>
        <v>0</v>
      </c>
      <c r="E353" s="159">
        <f>F353+I353+J353+K353+L353</f>
        <v>0</v>
      </c>
      <c r="F353" s="159">
        <f>G353+H353</f>
        <v>0</v>
      </c>
      <c r="G353" s="159">
        <v>0</v>
      </c>
      <c r="H353" s="159">
        <v>0</v>
      </c>
      <c r="I353" s="159">
        <v>0</v>
      </c>
      <c r="J353" s="159">
        <v>0</v>
      </c>
      <c r="K353" s="159">
        <v>0</v>
      </c>
      <c r="L353" s="159">
        <v>0</v>
      </c>
      <c r="M353" s="159">
        <f>N353+P353</f>
        <v>0</v>
      </c>
      <c r="N353" s="159">
        <v>0</v>
      </c>
      <c r="O353" s="159">
        <v>0</v>
      </c>
      <c r="P353" s="159">
        <v>0</v>
      </c>
      <c r="Q353" s="166"/>
      <c r="R353" s="166"/>
      <c r="S353" s="166"/>
      <c r="T353" s="166"/>
      <c r="U353" s="166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0"/>
      <c r="CA353" s="130"/>
      <c r="CB353" s="130"/>
      <c r="CC353" s="130"/>
      <c r="CD353" s="130"/>
      <c r="CE353" s="130"/>
      <c r="CF353" s="130"/>
      <c r="CG353" s="130"/>
      <c r="CH353" s="130"/>
      <c r="CI353" s="130"/>
      <c r="CJ353" s="130"/>
      <c r="CK353" s="130"/>
      <c r="CL353" s="130"/>
      <c r="CM353" s="130"/>
      <c r="CN353" s="130"/>
      <c r="CO353" s="130"/>
      <c r="CP353" s="130"/>
      <c r="CQ353" s="130"/>
      <c r="CR353" s="130"/>
      <c r="CS353" s="130"/>
      <c r="CT353" s="130"/>
      <c r="CU353" s="130"/>
      <c r="CV353" s="130"/>
      <c r="CW353" s="130"/>
      <c r="CX353" s="130"/>
      <c r="CY353" s="130"/>
      <c r="CZ353" s="130"/>
      <c r="DA353" s="130"/>
      <c r="DB353" s="130"/>
      <c r="DC353" s="130"/>
      <c r="DD353" s="130"/>
      <c r="DE353" s="130"/>
      <c r="DF353" s="130"/>
      <c r="DG353" s="130"/>
      <c r="DH353" s="130"/>
      <c r="DI353" s="130"/>
      <c r="DJ353" s="130"/>
      <c r="DK353" s="130"/>
      <c r="DL353" s="130"/>
      <c r="DM353" s="130"/>
      <c r="DN353" s="130"/>
      <c r="DO353" s="130"/>
      <c r="DP353" s="130"/>
      <c r="DQ353" s="130"/>
      <c r="DR353" s="130"/>
      <c r="DS353" s="130"/>
      <c r="DT353" s="130"/>
      <c r="DU353" s="130"/>
      <c r="DV353" s="130"/>
      <c r="DW353" s="130"/>
      <c r="DX353" s="130"/>
      <c r="DY353" s="130"/>
      <c r="DZ353" s="130"/>
      <c r="EA353" s="130"/>
      <c r="EB353" s="130"/>
      <c r="EC353" s="130"/>
      <c r="ED353" s="130"/>
      <c r="EE353" s="130"/>
      <c r="EF353" s="130"/>
      <c r="EG353" s="130"/>
      <c r="EH353" s="130"/>
      <c r="EI353" s="130"/>
      <c r="EJ353" s="130"/>
      <c r="EK353" s="130"/>
      <c r="EL353" s="130"/>
      <c r="EM353" s="130"/>
      <c r="EN353" s="130"/>
      <c r="EO353" s="130"/>
      <c r="EP353" s="130"/>
      <c r="EQ353" s="130"/>
      <c r="ER353" s="130"/>
      <c r="ES353" s="130"/>
      <c r="ET353" s="130"/>
      <c r="EU353" s="130"/>
      <c r="EV353" s="130"/>
      <c r="EW353" s="130"/>
      <c r="EX353" s="130"/>
      <c r="EY353" s="130"/>
      <c r="EZ353" s="130"/>
      <c r="FA353" s="130"/>
      <c r="FB353" s="130"/>
      <c r="FC353" s="130"/>
      <c r="FD353" s="130"/>
      <c r="FE353" s="130"/>
      <c r="FF353" s="130"/>
      <c r="FG353" s="130"/>
      <c r="FH353" s="130"/>
      <c r="FI353" s="130"/>
      <c r="FJ353" s="130"/>
      <c r="FK353" s="130"/>
      <c r="FL353" s="130"/>
      <c r="FM353" s="130"/>
      <c r="FN353" s="130"/>
      <c r="FO353" s="130"/>
      <c r="FP353" s="130"/>
      <c r="FQ353" s="130"/>
      <c r="FR353" s="130"/>
      <c r="FS353" s="130"/>
      <c r="FT353" s="130"/>
      <c r="FU353" s="130"/>
      <c r="FV353" s="130"/>
      <c r="FW353" s="130"/>
      <c r="FX353" s="130"/>
      <c r="FY353" s="130"/>
      <c r="FZ353" s="130"/>
      <c r="GA353" s="130"/>
      <c r="GB353" s="130"/>
      <c r="GC353" s="130"/>
      <c r="GD353" s="130"/>
      <c r="GE353" s="130"/>
      <c r="GF353" s="130"/>
      <c r="GG353" s="130"/>
      <c r="GH353" s="130"/>
      <c r="GI353" s="130"/>
      <c r="GJ353" s="130"/>
      <c r="GK353" s="130"/>
      <c r="GL353" s="130"/>
      <c r="GM353" s="130"/>
      <c r="GN353" s="130"/>
      <c r="GO353" s="130"/>
      <c r="GP353" s="130"/>
      <c r="GQ353" s="130"/>
      <c r="GR353" s="130"/>
      <c r="GS353" s="130"/>
      <c r="GT353" s="130"/>
      <c r="GU353" s="130"/>
      <c r="GV353" s="130"/>
      <c r="GW353" s="130"/>
      <c r="GX353" s="130"/>
      <c r="GY353" s="130"/>
      <c r="GZ353" s="130"/>
      <c r="HA353" s="130"/>
      <c r="HB353" s="130"/>
      <c r="HC353" s="130"/>
      <c r="HD353" s="130"/>
      <c r="HE353" s="130"/>
      <c r="HF353" s="130"/>
      <c r="HG353" s="130"/>
      <c r="HH353" s="130"/>
      <c r="HI353" s="130"/>
      <c r="HJ353" s="130"/>
      <c r="HK353" s="130"/>
      <c r="HL353" s="130"/>
      <c r="HM353" s="130"/>
      <c r="HN353" s="130"/>
      <c r="HO353" s="130"/>
      <c r="HP353" s="130"/>
      <c r="HQ353" s="130"/>
      <c r="HR353" s="130"/>
      <c r="HS353" s="130"/>
      <c r="HT353" s="130"/>
      <c r="HU353" s="130"/>
      <c r="HV353" s="130"/>
      <c r="HW353" s="130"/>
      <c r="HX353" s="130"/>
      <c r="HY353" s="130"/>
      <c r="HZ353" s="130"/>
      <c r="IA353" s="130"/>
      <c r="IB353" s="130"/>
      <c r="IC353" s="130"/>
      <c r="ID353" s="130"/>
      <c r="IE353" s="130"/>
      <c r="IF353" s="130"/>
      <c r="IG353" s="130"/>
      <c r="IH353" s="130"/>
      <c r="II353" s="130"/>
      <c r="IJ353" s="130"/>
      <c r="IK353" s="130"/>
      <c r="IL353" s="130"/>
      <c r="IM353" s="130"/>
      <c r="IN353" s="130"/>
      <c r="IO353" s="130"/>
      <c r="IP353" s="130"/>
      <c r="IQ353" s="130"/>
      <c r="IR353" s="130"/>
      <c r="IS353" s="130"/>
      <c r="IT353" s="130"/>
      <c r="IU353" s="130"/>
      <c r="IV353" s="130"/>
    </row>
    <row r="354" spans="1:256">
      <c r="A354" s="824"/>
      <c r="B354" s="827"/>
      <c r="C354" s="157" t="s">
        <v>1</v>
      </c>
      <c r="D354" s="158">
        <f>E354+M354</f>
        <v>640000</v>
      </c>
      <c r="E354" s="159">
        <f>F354+I354+J354+K354+L354</f>
        <v>640000</v>
      </c>
      <c r="F354" s="159">
        <f>G354+H354</f>
        <v>0</v>
      </c>
      <c r="G354" s="159"/>
      <c r="H354" s="159"/>
      <c r="I354" s="159">
        <v>640000</v>
      </c>
      <c r="J354" s="159"/>
      <c r="K354" s="159"/>
      <c r="L354" s="159"/>
      <c r="M354" s="159">
        <f>N354+P354</f>
        <v>0</v>
      </c>
      <c r="N354" s="159"/>
      <c r="O354" s="159"/>
      <c r="P354" s="159"/>
      <c r="Q354" s="166"/>
      <c r="R354" s="166"/>
      <c r="S354" s="166"/>
      <c r="T354" s="166"/>
      <c r="U354" s="166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0"/>
      <c r="BZ354" s="130"/>
      <c r="CA354" s="130"/>
      <c r="CB354" s="130"/>
      <c r="CC354" s="130"/>
      <c r="CD354" s="130"/>
      <c r="CE354" s="130"/>
      <c r="CF354" s="130"/>
      <c r="CG354" s="130"/>
      <c r="CH354" s="130"/>
      <c r="CI354" s="130"/>
      <c r="CJ354" s="130"/>
      <c r="CK354" s="130"/>
      <c r="CL354" s="130"/>
      <c r="CM354" s="130"/>
      <c r="CN354" s="130"/>
      <c r="CO354" s="130"/>
      <c r="CP354" s="130"/>
      <c r="CQ354" s="130"/>
      <c r="CR354" s="130"/>
      <c r="CS354" s="130"/>
      <c r="CT354" s="130"/>
      <c r="CU354" s="130"/>
      <c r="CV354" s="130"/>
      <c r="CW354" s="130"/>
      <c r="CX354" s="130"/>
      <c r="CY354" s="130"/>
      <c r="CZ354" s="130"/>
      <c r="DA354" s="130"/>
      <c r="DB354" s="130"/>
      <c r="DC354" s="130"/>
      <c r="DD354" s="130"/>
      <c r="DE354" s="130"/>
      <c r="DF354" s="130"/>
      <c r="DG354" s="130"/>
      <c r="DH354" s="130"/>
      <c r="DI354" s="130"/>
      <c r="DJ354" s="130"/>
      <c r="DK354" s="130"/>
      <c r="DL354" s="130"/>
      <c r="DM354" s="130"/>
      <c r="DN354" s="130"/>
      <c r="DO354" s="130"/>
      <c r="DP354" s="130"/>
      <c r="DQ354" s="130"/>
      <c r="DR354" s="130"/>
      <c r="DS354" s="130"/>
      <c r="DT354" s="130"/>
      <c r="DU354" s="130"/>
      <c r="DV354" s="130"/>
      <c r="DW354" s="130"/>
      <c r="DX354" s="130"/>
      <c r="DY354" s="130"/>
      <c r="DZ354" s="130"/>
      <c r="EA354" s="130"/>
      <c r="EB354" s="130"/>
      <c r="EC354" s="130"/>
      <c r="ED354" s="130"/>
      <c r="EE354" s="130"/>
      <c r="EF354" s="130"/>
      <c r="EG354" s="130"/>
      <c r="EH354" s="130"/>
      <c r="EI354" s="130"/>
      <c r="EJ354" s="130"/>
      <c r="EK354" s="130"/>
      <c r="EL354" s="130"/>
      <c r="EM354" s="130"/>
      <c r="EN354" s="130"/>
      <c r="EO354" s="130"/>
      <c r="EP354" s="130"/>
      <c r="EQ354" s="130"/>
      <c r="ER354" s="130"/>
      <c r="ES354" s="130"/>
      <c r="ET354" s="130"/>
      <c r="EU354" s="130"/>
      <c r="EV354" s="130"/>
      <c r="EW354" s="130"/>
      <c r="EX354" s="130"/>
      <c r="EY354" s="130"/>
      <c r="EZ354" s="130"/>
      <c r="FA354" s="130"/>
      <c r="FB354" s="130"/>
      <c r="FC354" s="130"/>
      <c r="FD354" s="130"/>
      <c r="FE354" s="130"/>
      <c r="FF354" s="130"/>
      <c r="FG354" s="130"/>
      <c r="FH354" s="130"/>
      <c r="FI354" s="130"/>
      <c r="FJ354" s="130"/>
      <c r="FK354" s="130"/>
      <c r="FL354" s="130"/>
      <c r="FM354" s="130"/>
      <c r="FN354" s="130"/>
      <c r="FO354" s="130"/>
      <c r="FP354" s="130"/>
      <c r="FQ354" s="130"/>
      <c r="FR354" s="130"/>
      <c r="FS354" s="130"/>
      <c r="FT354" s="130"/>
      <c r="FU354" s="130"/>
      <c r="FV354" s="130"/>
      <c r="FW354" s="130"/>
      <c r="FX354" s="130"/>
      <c r="FY354" s="130"/>
      <c r="FZ354" s="130"/>
      <c r="GA354" s="130"/>
      <c r="GB354" s="130"/>
      <c r="GC354" s="130"/>
      <c r="GD354" s="130"/>
      <c r="GE354" s="130"/>
      <c r="GF354" s="130"/>
      <c r="GG354" s="130"/>
      <c r="GH354" s="130"/>
      <c r="GI354" s="130"/>
      <c r="GJ354" s="130"/>
      <c r="GK354" s="130"/>
      <c r="GL354" s="130"/>
      <c r="GM354" s="130"/>
      <c r="GN354" s="130"/>
      <c r="GO354" s="130"/>
      <c r="GP354" s="130"/>
      <c r="GQ354" s="130"/>
      <c r="GR354" s="130"/>
      <c r="GS354" s="130"/>
      <c r="GT354" s="130"/>
      <c r="GU354" s="130"/>
      <c r="GV354" s="130"/>
      <c r="GW354" s="130"/>
      <c r="GX354" s="130"/>
      <c r="GY354" s="130"/>
      <c r="GZ354" s="130"/>
      <c r="HA354" s="130"/>
      <c r="HB354" s="130"/>
      <c r="HC354" s="130"/>
      <c r="HD354" s="130"/>
      <c r="HE354" s="130"/>
      <c r="HF354" s="130"/>
      <c r="HG354" s="130"/>
      <c r="HH354" s="130"/>
      <c r="HI354" s="130"/>
      <c r="HJ354" s="130"/>
      <c r="HK354" s="130"/>
      <c r="HL354" s="130"/>
      <c r="HM354" s="130"/>
      <c r="HN354" s="130"/>
      <c r="HO354" s="130"/>
      <c r="HP354" s="130"/>
      <c r="HQ354" s="130"/>
      <c r="HR354" s="130"/>
      <c r="HS354" s="130"/>
      <c r="HT354" s="130"/>
      <c r="HU354" s="130"/>
      <c r="HV354" s="130"/>
      <c r="HW354" s="130"/>
      <c r="HX354" s="130"/>
      <c r="HY354" s="130"/>
      <c r="HZ354" s="130"/>
      <c r="IA354" s="130"/>
      <c r="IB354" s="130"/>
      <c r="IC354" s="130"/>
      <c r="ID354" s="130"/>
      <c r="IE354" s="130"/>
      <c r="IF354" s="130"/>
      <c r="IG354" s="130"/>
      <c r="IH354" s="130"/>
      <c r="II354" s="130"/>
      <c r="IJ354" s="130"/>
      <c r="IK354" s="130"/>
      <c r="IL354" s="130"/>
      <c r="IM354" s="130"/>
      <c r="IN354" s="130"/>
      <c r="IO354" s="130"/>
      <c r="IP354" s="130"/>
      <c r="IQ354" s="130"/>
      <c r="IR354" s="130"/>
      <c r="IS354" s="130"/>
      <c r="IT354" s="130"/>
      <c r="IU354" s="130"/>
      <c r="IV354" s="130"/>
    </row>
    <row r="355" spans="1:256">
      <c r="A355" s="825"/>
      <c r="B355" s="828"/>
      <c r="C355" s="157" t="s">
        <v>2</v>
      </c>
      <c r="D355" s="158">
        <f>D354+D353</f>
        <v>640000</v>
      </c>
      <c r="E355" s="159">
        <f t="shared" ref="E355:P355" si="171">E354+E353</f>
        <v>640000</v>
      </c>
      <c r="F355" s="159">
        <f t="shared" si="171"/>
        <v>0</v>
      </c>
      <c r="G355" s="159">
        <f t="shared" si="171"/>
        <v>0</v>
      </c>
      <c r="H355" s="159">
        <f t="shared" si="171"/>
        <v>0</v>
      </c>
      <c r="I355" s="159">
        <f t="shared" si="171"/>
        <v>640000</v>
      </c>
      <c r="J355" s="159">
        <f t="shared" si="171"/>
        <v>0</v>
      </c>
      <c r="K355" s="159">
        <f t="shared" si="171"/>
        <v>0</v>
      </c>
      <c r="L355" s="159">
        <f t="shared" si="171"/>
        <v>0</v>
      </c>
      <c r="M355" s="159">
        <f t="shared" si="171"/>
        <v>0</v>
      </c>
      <c r="N355" s="159">
        <f t="shared" si="171"/>
        <v>0</v>
      </c>
      <c r="O355" s="159">
        <f t="shared" si="171"/>
        <v>0</v>
      </c>
      <c r="P355" s="159">
        <f t="shared" si="171"/>
        <v>0</v>
      </c>
      <c r="Q355" s="166"/>
      <c r="R355" s="166"/>
      <c r="S355" s="166"/>
      <c r="T355" s="166"/>
      <c r="U355" s="166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0"/>
      <c r="BZ355" s="130"/>
      <c r="CA355" s="130"/>
      <c r="CB355" s="130"/>
      <c r="CC355" s="130"/>
      <c r="CD355" s="130"/>
      <c r="CE355" s="130"/>
      <c r="CF355" s="130"/>
      <c r="CG355" s="130"/>
      <c r="CH355" s="130"/>
      <c r="CI355" s="130"/>
      <c r="CJ355" s="130"/>
      <c r="CK355" s="130"/>
      <c r="CL355" s="130"/>
      <c r="CM355" s="130"/>
      <c r="CN355" s="130"/>
      <c r="CO355" s="130"/>
      <c r="CP355" s="130"/>
      <c r="CQ355" s="130"/>
      <c r="CR355" s="130"/>
      <c r="CS355" s="130"/>
      <c r="CT355" s="130"/>
      <c r="CU355" s="130"/>
      <c r="CV355" s="130"/>
      <c r="CW355" s="130"/>
      <c r="CX355" s="130"/>
      <c r="CY355" s="130"/>
      <c r="CZ355" s="130"/>
      <c r="DA355" s="130"/>
      <c r="DB355" s="130"/>
      <c r="DC355" s="130"/>
      <c r="DD355" s="130"/>
      <c r="DE355" s="130"/>
      <c r="DF355" s="130"/>
      <c r="DG355" s="130"/>
      <c r="DH355" s="130"/>
      <c r="DI355" s="130"/>
      <c r="DJ355" s="130"/>
      <c r="DK355" s="130"/>
      <c r="DL355" s="130"/>
      <c r="DM355" s="130"/>
      <c r="DN355" s="130"/>
      <c r="DO355" s="130"/>
      <c r="DP355" s="130"/>
      <c r="DQ355" s="130"/>
      <c r="DR355" s="130"/>
      <c r="DS355" s="130"/>
      <c r="DT355" s="130"/>
      <c r="DU355" s="130"/>
      <c r="DV355" s="130"/>
      <c r="DW355" s="130"/>
      <c r="DX355" s="130"/>
      <c r="DY355" s="130"/>
      <c r="DZ355" s="130"/>
      <c r="EA355" s="130"/>
      <c r="EB355" s="130"/>
      <c r="EC355" s="130"/>
      <c r="ED355" s="130"/>
      <c r="EE355" s="130"/>
      <c r="EF355" s="130"/>
      <c r="EG355" s="130"/>
      <c r="EH355" s="130"/>
      <c r="EI355" s="130"/>
      <c r="EJ355" s="130"/>
      <c r="EK355" s="130"/>
      <c r="EL355" s="130"/>
      <c r="EM355" s="130"/>
      <c r="EN355" s="130"/>
      <c r="EO355" s="130"/>
      <c r="EP355" s="130"/>
      <c r="EQ355" s="130"/>
      <c r="ER355" s="130"/>
      <c r="ES355" s="130"/>
      <c r="ET355" s="130"/>
      <c r="EU355" s="130"/>
      <c r="EV355" s="130"/>
      <c r="EW355" s="130"/>
      <c r="EX355" s="130"/>
      <c r="EY355" s="130"/>
      <c r="EZ355" s="130"/>
      <c r="FA355" s="130"/>
      <c r="FB355" s="130"/>
      <c r="FC355" s="130"/>
      <c r="FD355" s="130"/>
      <c r="FE355" s="130"/>
      <c r="FF355" s="130"/>
      <c r="FG355" s="130"/>
      <c r="FH355" s="130"/>
      <c r="FI355" s="130"/>
      <c r="FJ355" s="130"/>
      <c r="FK355" s="130"/>
      <c r="FL355" s="130"/>
      <c r="FM355" s="130"/>
      <c r="FN355" s="130"/>
      <c r="FO355" s="130"/>
      <c r="FP355" s="130"/>
      <c r="FQ355" s="130"/>
      <c r="FR355" s="130"/>
      <c r="FS355" s="130"/>
      <c r="FT355" s="130"/>
      <c r="FU355" s="130"/>
      <c r="FV355" s="130"/>
      <c r="FW355" s="130"/>
      <c r="FX355" s="130"/>
      <c r="FY355" s="130"/>
      <c r="FZ355" s="130"/>
      <c r="GA355" s="130"/>
      <c r="GB355" s="130"/>
      <c r="GC355" s="130"/>
      <c r="GD355" s="130"/>
      <c r="GE355" s="130"/>
      <c r="GF355" s="130"/>
      <c r="GG355" s="130"/>
      <c r="GH355" s="130"/>
      <c r="GI355" s="130"/>
      <c r="GJ355" s="130"/>
      <c r="GK355" s="130"/>
      <c r="GL355" s="130"/>
      <c r="GM355" s="130"/>
      <c r="GN355" s="130"/>
      <c r="GO355" s="130"/>
      <c r="GP355" s="130"/>
      <c r="GQ355" s="130"/>
      <c r="GR355" s="130"/>
      <c r="GS355" s="130"/>
      <c r="GT355" s="130"/>
      <c r="GU355" s="130"/>
      <c r="GV355" s="130"/>
      <c r="GW355" s="130"/>
      <c r="GX355" s="130"/>
      <c r="GY355" s="130"/>
      <c r="GZ355" s="130"/>
      <c r="HA355" s="130"/>
      <c r="HB355" s="130"/>
      <c r="HC355" s="130"/>
      <c r="HD355" s="130"/>
      <c r="HE355" s="130"/>
      <c r="HF355" s="130"/>
      <c r="HG355" s="130"/>
      <c r="HH355" s="130"/>
      <c r="HI355" s="130"/>
      <c r="HJ355" s="130"/>
      <c r="HK355" s="130"/>
      <c r="HL355" s="130"/>
      <c r="HM355" s="130"/>
      <c r="HN355" s="130"/>
      <c r="HO355" s="130"/>
      <c r="HP355" s="130"/>
      <c r="HQ355" s="130"/>
      <c r="HR355" s="130"/>
      <c r="HS355" s="130"/>
      <c r="HT355" s="130"/>
      <c r="HU355" s="130"/>
      <c r="HV355" s="130"/>
      <c r="HW355" s="130"/>
      <c r="HX355" s="130"/>
      <c r="HY355" s="130"/>
      <c r="HZ355" s="130"/>
      <c r="IA355" s="130"/>
      <c r="IB355" s="130"/>
      <c r="IC355" s="130"/>
      <c r="ID355" s="130"/>
      <c r="IE355" s="130"/>
      <c r="IF355" s="130"/>
      <c r="IG355" s="130"/>
      <c r="IH355" s="130"/>
      <c r="II355" s="130"/>
      <c r="IJ355" s="130"/>
      <c r="IK355" s="130"/>
      <c r="IL355" s="130"/>
      <c r="IM355" s="130"/>
      <c r="IN355" s="130"/>
      <c r="IO355" s="130"/>
      <c r="IP355" s="130"/>
      <c r="IQ355" s="130"/>
      <c r="IR355" s="130"/>
      <c r="IS355" s="130"/>
      <c r="IT355" s="130"/>
      <c r="IU355" s="130"/>
      <c r="IV355" s="130"/>
    </row>
    <row r="356" spans="1:256">
      <c r="A356" s="823">
        <v>92106</v>
      </c>
      <c r="B356" s="826" t="s">
        <v>278</v>
      </c>
      <c r="C356" s="157" t="s">
        <v>0</v>
      </c>
      <c r="D356" s="158">
        <f t="shared" ref="D356:D381" si="172">E356+M356</f>
        <v>143864764</v>
      </c>
      <c r="E356" s="159">
        <f t="shared" ref="E356:E381" si="173">F356+I356+J356+K356+L356</f>
        <v>54362672</v>
      </c>
      <c r="F356" s="159">
        <f t="shared" ref="F356:F381" si="174">G356+H356</f>
        <v>0</v>
      </c>
      <c r="G356" s="159">
        <v>0</v>
      </c>
      <c r="H356" s="159">
        <v>0</v>
      </c>
      <c r="I356" s="159">
        <v>54362672</v>
      </c>
      <c r="J356" s="159">
        <v>0</v>
      </c>
      <c r="K356" s="159">
        <v>0</v>
      </c>
      <c r="L356" s="159">
        <v>0</v>
      </c>
      <c r="M356" s="159">
        <f t="shared" ref="M356:M381" si="175">N356+P356</f>
        <v>89502092</v>
      </c>
      <c r="N356" s="159">
        <v>89502092</v>
      </c>
      <c r="O356" s="159">
        <v>0</v>
      </c>
      <c r="P356" s="159">
        <v>0</v>
      </c>
      <c r="Q356" s="166"/>
      <c r="R356" s="166"/>
      <c r="S356" s="166"/>
      <c r="T356" s="166"/>
      <c r="U356" s="166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0"/>
      <c r="BZ356" s="130"/>
      <c r="CA356" s="130"/>
      <c r="CB356" s="130"/>
      <c r="CC356" s="130"/>
      <c r="CD356" s="130"/>
      <c r="CE356" s="130"/>
      <c r="CF356" s="130"/>
      <c r="CG356" s="130"/>
      <c r="CH356" s="130"/>
      <c r="CI356" s="130"/>
      <c r="CJ356" s="130"/>
      <c r="CK356" s="130"/>
      <c r="CL356" s="130"/>
      <c r="CM356" s="130"/>
      <c r="CN356" s="130"/>
      <c r="CO356" s="130"/>
      <c r="CP356" s="130"/>
      <c r="CQ356" s="130"/>
      <c r="CR356" s="130"/>
      <c r="CS356" s="130"/>
      <c r="CT356" s="130"/>
      <c r="CU356" s="130"/>
      <c r="CV356" s="130"/>
      <c r="CW356" s="130"/>
      <c r="CX356" s="130"/>
      <c r="CY356" s="130"/>
      <c r="CZ356" s="130"/>
      <c r="DA356" s="130"/>
      <c r="DB356" s="130"/>
      <c r="DC356" s="130"/>
      <c r="DD356" s="130"/>
      <c r="DE356" s="130"/>
      <c r="DF356" s="130"/>
      <c r="DG356" s="130"/>
      <c r="DH356" s="130"/>
      <c r="DI356" s="130"/>
      <c r="DJ356" s="130"/>
      <c r="DK356" s="130"/>
      <c r="DL356" s="130"/>
      <c r="DM356" s="130"/>
      <c r="DN356" s="130"/>
      <c r="DO356" s="130"/>
      <c r="DP356" s="130"/>
      <c r="DQ356" s="130"/>
      <c r="DR356" s="130"/>
      <c r="DS356" s="130"/>
      <c r="DT356" s="130"/>
      <c r="DU356" s="130"/>
      <c r="DV356" s="130"/>
      <c r="DW356" s="130"/>
      <c r="DX356" s="130"/>
      <c r="DY356" s="130"/>
      <c r="DZ356" s="130"/>
      <c r="EA356" s="130"/>
      <c r="EB356" s="130"/>
      <c r="EC356" s="130"/>
      <c r="ED356" s="130"/>
      <c r="EE356" s="130"/>
      <c r="EF356" s="130"/>
      <c r="EG356" s="130"/>
      <c r="EH356" s="130"/>
      <c r="EI356" s="130"/>
      <c r="EJ356" s="130"/>
      <c r="EK356" s="130"/>
      <c r="EL356" s="130"/>
      <c r="EM356" s="130"/>
      <c r="EN356" s="130"/>
      <c r="EO356" s="130"/>
      <c r="EP356" s="130"/>
      <c r="EQ356" s="130"/>
      <c r="ER356" s="130"/>
      <c r="ES356" s="130"/>
      <c r="ET356" s="130"/>
      <c r="EU356" s="130"/>
      <c r="EV356" s="130"/>
      <c r="EW356" s="130"/>
      <c r="EX356" s="130"/>
      <c r="EY356" s="130"/>
      <c r="EZ356" s="130"/>
      <c r="FA356" s="130"/>
      <c r="FB356" s="130"/>
      <c r="FC356" s="130"/>
      <c r="FD356" s="130"/>
      <c r="FE356" s="130"/>
      <c r="FF356" s="130"/>
      <c r="FG356" s="130"/>
      <c r="FH356" s="130"/>
      <c r="FI356" s="130"/>
      <c r="FJ356" s="130"/>
      <c r="FK356" s="130"/>
      <c r="FL356" s="130"/>
      <c r="FM356" s="130"/>
      <c r="FN356" s="130"/>
      <c r="FO356" s="130"/>
      <c r="FP356" s="130"/>
      <c r="FQ356" s="130"/>
      <c r="FR356" s="130"/>
      <c r="FS356" s="130"/>
      <c r="FT356" s="130"/>
      <c r="FU356" s="130"/>
      <c r="FV356" s="130"/>
      <c r="FW356" s="130"/>
      <c r="FX356" s="130"/>
      <c r="FY356" s="130"/>
      <c r="FZ356" s="130"/>
      <c r="GA356" s="130"/>
      <c r="GB356" s="130"/>
      <c r="GC356" s="130"/>
      <c r="GD356" s="130"/>
      <c r="GE356" s="130"/>
      <c r="GF356" s="130"/>
      <c r="GG356" s="130"/>
      <c r="GH356" s="130"/>
      <c r="GI356" s="130"/>
      <c r="GJ356" s="130"/>
      <c r="GK356" s="130"/>
      <c r="GL356" s="130"/>
      <c r="GM356" s="130"/>
      <c r="GN356" s="130"/>
      <c r="GO356" s="130"/>
      <c r="GP356" s="130"/>
      <c r="GQ356" s="130"/>
      <c r="GR356" s="130"/>
      <c r="GS356" s="130"/>
      <c r="GT356" s="130"/>
      <c r="GU356" s="130"/>
      <c r="GV356" s="130"/>
      <c r="GW356" s="130"/>
      <c r="GX356" s="130"/>
      <c r="GY356" s="130"/>
      <c r="GZ356" s="130"/>
      <c r="HA356" s="130"/>
      <c r="HB356" s="130"/>
      <c r="HC356" s="130"/>
      <c r="HD356" s="130"/>
      <c r="HE356" s="130"/>
      <c r="HF356" s="130"/>
      <c r="HG356" s="130"/>
      <c r="HH356" s="130"/>
      <c r="HI356" s="130"/>
      <c r="HJ356" s="130"/>
      <c r="HK356" s="130"/>
      <c r="HL356" s="130"/>
      <c r="HM356" s="130"/>
      <c r="HN356" s="130"/>
      <c r="HO356" s="130"/>
      <c r="HP356" s="130"/>
      <c r="HQ356" s="130"/>
      <c r="HR356" s="130"/>
      <c r="HS356" s="130"/>
      <c r="HT356" s="130"/>
      <c r="HU356" s="130"/>
      <c r="HV356" s="130"/>
      <c r="HW356" s="130"/>
      <c r="HX356" s="130"/>
      <c r="HY356" s="130"/>
      <c r="HZ356" s="130"/>
      <c r="IA356" s="130"/>
      <c r="IB356" s="130"/>
      <c r="IC356" s="130"/>
      <c r="ID356" s="130"/>
      <c r="IE356" s="130"/>
      <c r="IF356" s="130"/>
      <c r="IG356" s="130"/>
      <c r="IH356" s="130"/>
      <c r="II356" s="130"/>
      <c r="IJ356" s="130"/>
      <c r="IK356" s="130"/>
      <c r="IL356" s="130"/>
      <c r="IM356" s="130"/>
      <c r="IN356" s="130"/>
      <c r="IO356" s="130"/>
      <c r="IP356" s="130"/>
      <c r="IQ356" s="130"/>
      <c r="IR356" s="130"/>
      <c r="IS356" s="130"/>
      <c r="IT356" s="130"/>
      <c r="IU356" s="130"/>
      <c r="IV356" s="130"/>
    </row>
    <row r="357" spans="1:256">
      <c r="A357" s="824"/>
      <c r="B357" s="827"/>
      <c r="C357" s="157" t="s">
        <v>1</v>
      </c>
      <c r="D357" s="158">
        <f t="shared" si="172"/>
        <v>923500</v>
      </c>
      <c r="E357" s="159">
        <f t="shared" si="173"/>
        <v>383500</v>
      </c>
      <c r="F357" s="159">
        <f t="shared" si="174"/>
        <v>0</v>
      </c>
      <c r="G357" s="159"/>
      <c r="H357" s="159"/>
      <c r="I357" s="159">
        <v>383500</v>
      </c>
      <c r="J357" s="159"/>
      <c r="K357" s="159"/>
      <c r="L357" s="159"/>
      <c r="M357" s="159">
        <f t="shared" si="175"/>
        <v>540000</v>
      </c>
      <c r="N357" s="159">
        <v>540000</v>
      </c>
      <c r="O357" s="159"/>
      <c r="P357" s="159"/>
      <c r="Q357" s="166"/>
      <c r="R357" s="166"/>
      <c r="S357" s="166"/>
      <c r="T357" s="166"/>
      <c r="U357" s="166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0"/>
      <c r="CA357" s="130"/>
      <c r="CB357" s="130"/>
      <c r="CC357" s="130"/>
      <c r="CD357" s="130"/>
      <c r="CE357" s="130"/>
      <c r="CF357" s="130"/>
      <c r="CG357" s="130"/>
      <c r="CH357" s="130"/>
      <c r="CI357" s="130"/>
      <c r="CJ357" s="130"/>
      <c r="CK357" s="130"/>
      <c r="CL357" s="130"/>
      <c r="CM357" s="130"/>
      <c r="CN357" s="130"/>
      <c r="CO357" s="130"/>
      <c r="CP357" s="130"/>
      <c r="CQ357" s="130"/>
      <c r="CR357" s="130"/>
      <c r="CS357" s="130"/>
      <c r="CT357" s="130"/>
      <c r="CU357" s="130"/>
      <c r="CV357" s="130"/>
      <c r="CW357" s="130"/>
      <c r="CX357" s="130"/>
      <c r="CY357" s="130"/>
      <c r="CZ357" s="130"/>
      <c r="DA357" s="130"/>
      <c r="DB357" s="130"/>
      <c r="DC357" s="130"/>
      <c r="DD357" s="130"/>
      <c r="DE357" s="130"/>
      <c r="DF357" s="130"/>
      <c r="DG357" s="130"/>
      <c r="DH357" s="130"/>
      <c r="DI357" s="130"/>
      <c r="DJ357" s="130"/>
      <c r="DK357" s="130"/>
      <c r="DL357" s="130"/>
      <c r="DM357" s="130"/>
      <c r="DN357" s="130"/>
      <c r="DO357" s="130"/>
      <c r="DP357" s="130"/>
      <c r="DQ357" s="130"/>
      <c r="DR357" s="130"/>
      <c r="DS357" s="130"/>
      <c r="DT357" s="130"/>
      <c r="DU357" s="130"/>
      <c r="DV357" s="130"/>
      <c r="DW357" s="130"/>
      <c r="DX357" s="130"/>
      <c r="DY357" s="130"/>
      <c r="DZ357" s="130"/>
      <c r="EA357" s="130"/>
      <c r="EB357" s="130"/>
      <c r="EC357" s="130"/>
      <c r="ED357" s="130"/>
      <c r="EE357" s="130"/>
      <c r="EF357" s="130"/>
      <c r="EG357" s="130"/>
      <c r="EH357" s="130"/>
      <c r="EI357" s="130"/>
      <c r="EJ357" s="130"/>
      <c r="EK357" s="130"/>
      <c r="EL357" s="130"/>
      <c r="EM357" s="130"/>
      <c r="EN357" s="130"/>
      <c r="EO357" s="130"/>
      <c r="EP357" s="130"/>
      <c r="EQ357" s="130"/>
      <c r="ER357" s="130"/>
      <c r="ES357" s="130"/>
      <c r="ET357" s="130"/>
      <c r="EU357" s="130"/>
      <c r="EV357" s="130"/>
      <c r="EW357" s="130"/>
      <c r="EX357" s="130"/>
      <c r="EY357" s="130"/>
      <c r="EZ357" s="130"/>
      <c r="FA357" s="130"/>
      <c r="FB357" s="130"/>
      <c r="FC357" s="130"/>
      <c r="FD357" s="130"/>
      <c r="FE357" s="130"/>
      <c r="FF357" s="130"/>
      <c r="FG357" s="130"/>
      <c r="FH357" s="130"/>
      <c r="FI357" s="130"/>
      <c r="FJ357" s="130"/>
      <c r="FK357" s="130"/>
      <c r="FL357" s="130"/>
      <c r="FM357" s="130"/>
      <c r="FN357" s="130"/>
      <c r="FO357" s="130"/>
      <c r="FP357" s="130"/>
      <c r="FQ357" s="130"/>
      <c r="FR357" s="130"/>
      <c r="FS357" s="130"/>
      <c r="FT357" s="130"/>
      <c r="FU357" s="130"/>
      <c r="FV357" s="130"/>
      <c r="FW357" s="130"/>
      <c r="FX357" s="130"/>
      <c r="FY357" s="130"/>
      <c r="FZ357" s="130"/>
      <c r="GA357" s="130"/>
      <c r="GB357" s="130"/>
      <c r="GC357" s="130"/>
      <c r="GD357" s="130"/>
      <c r="GE357" s="130"/>
      <c r="GF357" s="130"/>
      <c r="GG357" s="130"/>
      <c r="GH357" s="130"/>
      <c r="GI357" s="130"/>
      <c r="GJ357" s="130"/>
      <c r="GK357" s="130"/>
      <c r="GL357" s="130"/>
      <c r="GM357" s="130"/>
      <c r="GN357" s="130"/>
      <c r="GO357" s="130"/>
      <c r="GP357" s="130"/>
      <c r="GQ357" s="130"/>
      <c r="GR357" s="130"/>
      <c r="GS357" s="130"/>
      <c r="GT357" s="130"/>
      <c r="GU357" s="130"/>
      <c r="GV357" s="130"/>
      <c r="GW357" s="130"/>
      <c r="GX357" s="130"/>
      <c r="GY357" s="130"/>
      <c r="GZ357" s="130"/>
      <c r="HA357" s="130"/>
      <c r="HB357" s="130"/>
      <c r="HC357" s="130"/>
      <c r="HD357" s="130"/>
      <c r="HE357" s="130"/>
      <c r="HF357" s="130"/>
      <c r="HG357" s="130"/>
      <c r="HH357" s="130"/>
      <c r="HI357" s="130"/>
      <c r="HJ357" s="130"/>
      <c r="HK357" s="130"/>
      <c r="HL357" s="130"/>
      <c r="HM357" s="130"/>
      <c r="HN357" s="130"/>
      <c r="HO357" s="130"/>
      <c r="HP357" s="130"/>
      <c r="HQ357" s="130"/>
      <c r="HR357" s="130"/>
      <c r="HS357" s="130"/>
      <c r="HT357" s="130"/>
      <c r="HU357" s="130"/>
      <c r="HV357" s="130"/>
      <c r="HW357" s="130"/>
      <c r="HX357" s="130"/>
      <c r="HY357" s="130"/>
      <c r="HZ357" s="130"/>
      <c r="IA357" s="130"/>
      <c r="IB357" s="130"/>
      <c r="IC357" s="130"/>
      <c r="ID357" s="130"/>
      <c r="IE357" s="130"/>
      <c r="IF357" s="130"/>
      <c r="IG357" s="130"/>
      <c r="IH357" s="130"/>
      <c r="II357" s="130"/>
      <c r="IJ357" s="130"/>
      <c r="IK357" s="130"/>
      <c r="IL357" s="130"/>
      <c r="IM357" s="130"/>
      <c r="IN357" s="130"/>
      <c r="IO357" s="130"/>
      <c r="IP357" s="130"/>
      <c r="IQ357" s="130"/>
      <c r="IR357" s="130"/>
      <c r="IS357" s="130"/>
      <c r="IT357" s="130"/>
      <c r="IU357" s="130"/>
      <c r="IV357" s="130"/>
    </row>
    <row r="358" spans="1:256">
      <c r="A358" s="825"/>
      <c r="B358" s="828"/>
      <c r="C358" s="157" t="s">
        <v>2</v>
      </c>
      <c r="D358" s="158">
        <f>D357+D356</f>
        <v>144788264</v>
      </c>
      <c r="E358" s="159">
        <f t="shared" ref="E358:P358" si="176">E357+E356</f>
        <v>54746172</v>
      </c>
      <c r="F358" s="159">
        <f t="shared" si="176"/>
        <v>0</v>
      </c>
      <c r="G358" s="159">
        <f t="shared" si="176"/>
        <v>0</v>
      </c>
      <c r="H358" s="159">
        <f t="shared" si="176"/>
        <v>0</v>
      </c>
      <c r="I358" s="159">
        <f t="shared" si="176"/>
        <v>54746172</v>
      </c>
      <c r="J358" s="159">
        <f t="shared" si="176"/>
        <v>0</v>
      </c>
      <c r="K358" s="159">
        <f t="shared" si="176"/>
        <v>0</v>
      </c>
      <c r="L358" s="159">
        <f t="shared" si="176"/>
        <v>0</v>
      </c>
      <c r="M358" s="159">
        <f t="shared" si="176"/>
        <v>90042092</v>
      </c>
      <c r="N358" s="159">
        <f t="shared" si="176"/>
        <v>90042092</v>
      </c>
      <c r="O358" s="159">
        <f t="shared" si="176"/>
        <v>0</v>
      </c>
      <c r="P358" s="159">
        <f t="shared" si="176"/>
        <v>0</v>
      </c>
      <c r="Q358" s="166"/>
      <c r="R358" s="166"/>
      <c r="S358" s="166"/>
      <c r="T358" s="166"/>
      <c r="U358" s="166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0"/>
      <c r="BZ358" s="130"/>
      <c r="CA358" s="130"/>
      <c r="CB358" s="130"/>
      <c r="CC358" s="130"/>
      <c r="CD358" s="130"/>
      <c r="CE358" s="130"/>
      <c r="CF358" s="130"/>
      <c r="CG358" s="130"/>
      <c r="CH358" s="130"/>
      <c r="CI358" s="130"/>
      <c r="CJ358" s="130"/>
      <c r="CK358" s="130"/>
      <c r="CL358" s="130"/>
      <c r="CM358" s="130"/>
      <c r="CN358" s="130"/>
      <c r="CO358" s="130"/>
      <c r="CP358" s="130"/>
      <c r="CQ358" s="130"/>
      <c r="CR358" s="130"/>
      <c r="CS358" s="130"/>
      <c r="CT358" s="130"/>
      <c r="CU358" s="130"/>
      <c r="CV358" s="130"/>
      <c r="CW358" s="130"/>
      <c r="CX358" s="130"/>
      <c r="CY358" s="130"/>
      <c r="CZ358" s="130"/>
      <c r="DA358" s="130"/>
      <c r="DB358" s="130"/>
      <c r="DC358" s="130"/>
      <c r="DD358" s="130"/>
      <c r="DE358" s="130"/>
      <c r="DF358" s="130"/>
      <c r="DG358" s="130"/>
      <c r="DH358" s="130"/>
      <c r="DI358" s="130"/>
      <c r="DJ358" s="130"/>
      <c r="DK358" s="130"/>
      <c r="DL358" s="130"/>
      <c r="DM358" s="130"/>
      <c r="DN358" s="130"/>
      <c r="DO358" s="130"/>
      <c r="DP358" s="130"/>
      <c r="DQ358" s="130"/>
      <c r="DR358" s="130"/>
      <c r="DS358" s="130"/>
      <c r="DT358" s="130"/>
      <c r="DU358" s="130"/>
      <c r="DV358" s="130"/>
      <c r="DW358" s="130"/>
      <c r="DX358" s="130"/>
      <c r="DY358" s="130"/>
      <c r="DZ358" s="130"/>
      <c r="EA358" s="130"/>
      <c r="EB358" s="130"/>
      <c r="EC358" s="130"/>
      <c r="ED358" s="130"/>
      <c r="EE358" s="130"/>
      <c r="EF358" s="130"/>
      <c r="EG358" s="130"/>
      <c r="EH358" s="130"/>
      <c r="EI358" s="130"/>
      <c r="EJ358" s="130"/>
      <c r="EK358" s="130"/>
      <c r="EL358" s="130"/>
      <c r="EM358" s="130"/>
      <c r="EN358" s="130"/>
      <c r="EO358" s="130"/>
      <c r="EP358" s="130"/>
      <c r="EQ358" s="130"/>
      <c r="ER358" s="130"/>
      <c r="ES358" s="130"/>
      <c r="ET358" s="130"/>
      <c r="EU358" s="130"/>
      <c r="EV358" s="130"/>
      <c r="EW358" s="130"/>
      <c r="EX358" s="130"/>
      <c r="EY358" s="130"/>
      <c r="EZ358" s="130"/>
      <c r="FA358" s="130"/>
      <c r="FB358" s="130"/>
      <c r="FC358" s="130"/>
      <c r="FD358" s="130"/>
      <c r="FE358" s="130"/>
      <c r="FF358" s="130"/>
      <c r="FG358" s="130"/>
      <c r="FH358" s="130"/>
      <c r="FI358" s="130"/>
      <c r="FJ358" s="130"/>
      <c r="FK358" s="130"/>
      <c r="FL358" s="130"/>
      <c r="FM358" s="130"/>
      <c r="FN358" s="130"/>
      <c r="FO358" s="130"/>
      <c r="FP358" s="130"/>
      <c r="FQ358" s="130"/>
      <c r="FR358" s="130"/>
      <c r="FS358" s="130"/>
      <c r="FT358" s="130"/>
      <c r="FU358" s="130"/>
      <c r="FV358" s="130"/>
      <c r="FW358" s="130"/>
      <c r="FX358" s="130"/>
      <c r="FY358" s="130"/>
      <c r="FZ358" s="130"/>
      <c r="GA358" s="130"/>
      <c r="GB358" s="130"/>
      <c r="GC358" s="130"/>
      <c r="GD358" s="130"/>
      <c r="GE358" s="130"/>
      <c r="GF358" s="130"/>
      <c r="GG358" s="130"/>
      <c r="GH358" s="130"/>
      <c r="GI358" s="130"/>
      <c r="GJ358" s="130"/>
      <c r="GK358" s="130"/>
      <c r="GL358" s="130"/>
      <c r="GM358" s="130"/>
      <c r="GN358" s="130"/>
      <c r="GO358" s="130"/>
      <c r="GP358" s="130"/>
      <c r="GQ358" s="130"/>
      <c r="GR358" s="130"/>
      <c r="GS358" s="130"/>
      <c r="GT358" s="130"/>
      <c r="GU358" s="130"/>
      <c r="GV358" s="130"/>
      <c r="GW358" s="130"/>
      <c r="GX358" s="130"/>
      <c r="GY358" s="130"/>
      <c r="GZ358" s="130"/>
      <c r="HA358" s="130"/>
      <c r="HB358" s="130"/>
      <c r="HC358" s="130"/>
      <c r="HD358" s="130"/>
      <c r="HE358" s="130"/>
      <c r="HF358" s="130"/>
      <c r="HG358" s="130"/>
      <c r="HH358" s="130"/>
      <c r="HI358" s="130"/>
      <c r="HJ358" s="130"/>
      <c r="HK358" s="130"/>
      <c r="HL358" s="130"/>
      <c r="HM358" s="130"/>
      <c r="HN358" s="130"/>
      <c r="HO358" s="130"/>
      <c r="HP358" s="130"/>
      <c r="HQ358" s="130"/>
      <c r="HR358" s="130"/>
      <c r="HS358" s="130"/>
      <c r="HT358" s="130"/>
      <c r="HU358" s="130"/>
      <c r="HV358" s="130"/>
      <c r="HW358" s="130"/>
      <c r="HX358" s="130"/>
      <c r="HY358" s="130"/>
      <c r="HZ358" s="130"/>
      <c r="IA358" s="130"/>
      <c r="IB358" s="130"/>
      <c r="IC358" s="130"/>
      <c r="ID358" s="130"/>
      <c r="IE358" s="130"/>
      <c r="IF358" s="130"/>
      <c r="IG358" s="130"/>
      <c r="IH358" s="130"/>
      <c r="II358" s="130"/>
      <c r="IJ358" s="130"/>
      <c r="IK358" s="130"/>
      <c r="IL358" s="130"/>
      <c r="IM358" s="130"/>
      <c r="IN358" s="130"/>
      <c r="IO358" s="130"/>
      <c r="IP358" s="130"/>
      <c r="IQ358" s="130"/>
      <c r="IR358" s="130"/>
      <c r="IS358" s="130"/>
      <c r="IT358" s="130"/>
      <c r="IU358" s="130"/>
      <c r="IV358" s="130"/>
    </row>
    <row r="359" spans="1:256">
      <c r="A359" s="823">
        <v>92108</v>
      </c>
      <c r="B359" s="826" t="s">
        <v>279</v>
      </c>
      <c r="C359" s="157" t="s">
        <v>0</v>
      </c>
      <c r="D359" s="158">
        <f t="shared" si="172"/>
        <v>31175174</v>
      </c>
      <c r="E359" s="159">
        <f t="shared" si="173"/>
        <v>17352000</v>
      </c>
      <c r="F359" s="159">
        <f t="shared" si="174"/>
        <v>0</v>
      </c>
      <c r="G359" s="159">
        <v>0</v>
      </c>
      <c r="H359" s="159">
        <v>0</v>
      </c>
      <c r="I359" s="159">
        <v>17352000</v>
      </c>
      <c r="J359" s="159">
        <v>0</v>
      </c>
      <c r="K359" s="159">
        <v>0</v>
      </c>
      <c r="L359" s="159">
        <v>0</v>
      </c>
      <c r="M359" s="159">
        <f t="shared" si="175"/>
        <v>13823174</v>
      </c>
      <c r="N359" s="159">
        <v>13823174</v>
      </c>
      <c r="O359" s="159">
        <v>0</v>
      </c>
      <c r="P359" s="159">
        <v>0</v>
      </c>
      <c r="Q359" s="166"/>
      <c r="R359" s="166"/>
      <c r="S359" s="166"/>
      <c r="T359" s="166"/>
      <c r="U359" s="166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/>
      <c r="BS359" s="130"/>
      <c r="BT359" s="130"/>
      <c r="BU359" s="130"/>
      <c r="BV359" s="130"/>
      <c r="BW359" s="130"/>
      <c r="BX359" s="130"/>
      <c r="BY359" s="130"/>
      <c r="BZ359" s="130"/>
      <c r="CA359" s="130"/>
      <c r="CB359" s="130"/>
      <c r="CC359" s="130"/>
      <c r="CD359" s="130"/>
      <c r="CE359" s="130"/>
      <c r="CF359" s="130"/>
      <c r="CG359" s="130"/>
      <c r="CH359" s="130"/>
      <c r="CI359" s="130"/>
      <c r="CJ359" s="130"/>
      <c r="CK359" s="130"/>
      <c r="CL359" s="130"/>
      <c r="CM359" s="130"/>
      <c r="CN359" s="130"/>
      <c r="CO359" s="130"/>
      <c r="CP359" s="130"/>
      <c r="CQ359" s="130"/>
      <c r="CR359" s="130"/>
      <c r="CS359" s="130"/>
      <c r="CT359" s="130"/>
      <c r="CU359" s="130"/>
      <c r="CV359" s="130"/>
      <c r="CW359" s="130"/>
      <c r="CX359" s="130"/>
      <c r="CY359" s="130"/>
      <c r="CZ359" s="130"/>
      <c r="DA359" s="130"/>
      <c r="DB359" s="130"/>
      <c r="DC359" s="130"/>
      <c r="DD359" s="130"/>
      <c r="DE359" s="130"/>
      <c r="DF359" s="130"/>
      <c r="DG359" s="130"/>
      <c r="DH359" s="130"/>
      <c r="DI359" s="130"/>
      <c r="DJ359" s="130"/>
      <c r="DK359" s="130"/>
      <c r="DL359" s="130"/>
      <c r="DM359" s="130"/>
      <c r="DN359" s="130"/>
      <c r="DO359" s="130"/>
      <c r="DP359" s="130"/>
      <c r="DQ359" s="130"/>
      <c r="DR359" s="130"/>
      <c r="DS359" s="130"/>
      <c r="DT359" s="130"/>
      <c r="DU359" s="130"/>
      <c r="DV359" s="130"/>
      <c r="DW359" s="130"/>
      <c r="DX359" s="130"/>
      <c r="DY359" s="130"/>
      <c r="DZ359" s="130"/>
      <c r="EA359" s="130"/>
      <c r="EB359" s="130"/>
      <c r="EC359" s="130"/>
      <c r="ED359" s="130"/>
      <c r="EE359" s="130"/>
      <c r="EF359" s="130"/>
      <c r="EG359" s="130"/>
      <c r="EH359" s="130"/>
      <c r="EI359" s="130"/>
      <c r="EJ359" s="130"/>
      <c r="EK359" s="130"/>
      <c r="EL359" s="130"/>
      <c r="EM359" s="130"/>
      <c r="EN359" s="130"/>
      <c r="EO359" s="130"/>
      <c r="EP359" s="130"/>
      <c r="EQ359" s="130"/>
      <c r="ER359" s="130"/>
      <c r="ES359" s="130"/>
      <c r="ET359" s="130"/>
      <c r="EU359" s="130"/>
      <c r="EV359" s="130"/>
      <c r="EW359" s="130"/>
      <c r="EX359" s="130"/>
      <c r="EY359" s="130"/>
      <c r="EZ359" s="130"/>
      <c r="FA359" s="130"/>
      <c r="FB359" s="130"/>
      <c r="FC359" s="130"/>
      <c r="FD359" s="130"/>
      <c r="FE359" s="130"/>
      <c r="FF359" s="130"/>
      <c r="FG359" s="130"/>
      <c r="FH359" s="130"/>
      <c r="FI359" s="130"/>
      <c r="FJ359" s="130"/>
      <c r="FK359" s="130"/>
      <c r="FL359" s="130"/>
      <c r="FM359" s="130"/>
      <c r="FN359" s="130"/>
      <c r="FO359" s="130"/>
      <c r="FP359" s="130"/>
      <c r="FQ359" s="130"/>
      <c r="FR359" s="130"/>
      <c r="FS359" s="130"/>
      <c r="FT359" s="130"/>
      <c r="FU359" s="130"/>
      <c r="FV359" s="130"/>
      <c r="FW359" s="130"/>
      <c r="FX359" s="130"/>
      <c r="FY359" s="130"/>
      <c r="FZ359" s="130"/>
      <c r="GA359" s="130"/>
      <c r="GB359" s="130"/>
      <c r="GC359" s="130"/>
      <c r="GD359" s="130"/>
      <c r="GE359" s="130"/>
      <c r="GF359" s="130"/>
      <c r="GG359" s="130"/>
      <c r="GH359" s="130"/>
      <c r="GI359" s="130"/>
      <c r="GJ359" s="130"/>
      <c r="GK359" s="130"/>
      <c r="GL359" s="130"/>
      <c r="GM359" s="130"/>
      <c r="GN359" s="130"/>
      <c r="GO359" s="130"/>
      <c r="GP359" s="130"/>
      <c r="GQ359" s="130"/>
      <c r="GR359" s="130"/>
      <c r="GS359" s="130"/>
      <c r="GT359" s="130"/>
      <c r="GU359" s="130"/>
      <c r="GV359" s="130"/>
      <c r="GW359" s="130"/>
      <c r="GX359" s="130"/>
      <c r="GY359" s="130"/>
      <c r="GZ359" s="130"/>
      <c r="HA359" s="130"/>
      <c r="HB359" s="130"/>
      <c r="HC359" s="130"/>
      <c r="HD359" s="130"/>
      <c r="HE359" s="130"/>
      <c r="HF359" s="130"/>
      <c r="HG359" s="130"/>
      <c r="HH359" s="130"/>
      <c r="HI359" s="130"/>
      <c r="HJ359" s="130"/>
      <c r="HK359" s="130"/>
      <c r="HL359" s="130"/>
      <c r="HM359" s="130"/>
      <c r="HN359" s="130"/>
      <c r="HO359" s="130"/>
      <c r="HP359" s="130"/>
      <c r="HQ359" s="130"/>
      <c r="HR359" s="130"/>
      <c r="HS359" s="130"/>
      <c r="HT359" s="130"/>
      <c r="HU359" s="130"/>
      <c r="HV359" s="130"/>
      <c r="HW359" s="130"/>
      <c r="HX359" s="130"/>
      <c r="HY359" s="130"/>
      <c r="HZ359" s="130"/>
      <c r="IA359" s="130"/>
      <c r="IB359" s="130"/>
      <c r="IC359" s="130"/>
      <c r="ID359" s="130"/>
      <c r="IE359" s="130"/>
      <c r="IF359" s="130"/>
      <c r="IG359" s="130"/>
      <c r="IH359" s="130"/>
      <c r="II359" s="130"/>
      <c r="IJ359" s="130"/>
      <c r="IK359" s="130"/>
      <c r="IL359" s="130"/>
      <c r="IM359" s="130"/>
      <c r="IN359" s="130"/>
      <c r="IO359" s="130"/>
      <c r="IP359" s="130"/>
      <c r="IQ359" s="130"/>
      <c r="IR359" s="130"/>
      <c r="IS359" s="130"/>
      <c r="IT359" s="130"/>
      <c r="IU359" s="130"/>
      <c r="IV359" s="130"/>
    </row>
    <row r="360" spans="1:256">
      <c r="A360" s="824"/>
      <c r="B360" s="827"/>
      <c r="C360" s="157" t="s">
        <v>1</v>
      </c>
      <c r="D360" s="158">
        <f t="shared" si="172"/>
        <v>300000</v>
      </c>
      <c r="E360" s="159">
        <f t="shared" si="173"/>
        <v>0</v>
      </c>
      <c r="F360" s="159">
        <f t="shared" si="174"/>
        <v>0</v>
      </c>
      <c r="G360" s="159"/>
      <c r="H360" s="159"/>
      <c r="I360" s="159"/>
      <c r="J360" s="159"/>
      <c r="K360" s="159"/>
      <c r="L360" s="159"/>
      <c r="M360" s="159">
        <f t="shared" si="175"/>
        <v>300000</v>
      </c>
      <c r="N360" s="159">
        <v>300000</v>
      </c>
      <c r="O360" s="159"/>
      <c r="P360" s="159"/>
      <c r="Q360" s="166"/>
      <c r="R360" s="166"/>
      <c r="S360" s="166"/>
      <c r="T360" s="166"/>
      <c r="U360" s="166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  <c r="BQ360" s="130"/>
      <c r="BR360" s="130"/>
      <c r="BS360" s="130"/>
      <c r="BT360" s="130"/>
      <c r="BU360" s="130"/>
      <c r="BV360" s="130"/>
      <c r="BW360" s="130"/>
      <c r="BX360" s="130"/>
      <c r="BY360" s="130"/>
      <c r="BZ360" s="130"/>
      <c r="CA360" s="130"/>
      <c r="CB360" s="130"/>
      <c r="CC360" s="130"/>
      <c r="CD360" s="130"/>
      <c r="CE360" s="130"/>
      <c r="CF360" s="130"/>
      <c r="CG360" s="130"/>
      <c r="CH360" s="130"/>
      <c r="CI360" s="130"/>
      <c r="CJ360" s="130"/>
      <c r="CK360" s="130"/>
      <c r="CL360" s="130"/>
      <c r="CM360" s="130"/>
      <c r="CN360" s="130"/>
      <c r="CO360" s="130"/>
      <c r="CP360" s="130"/>
      <c r="CQ360" s="130"/>
      <c r="CR360" s="130"/>
      <c r="CS360" s="130"/>
      <c r="CT360" s="130"/>
      <c r="CU360" s="130"/>
      <c r="CV360" s="130"/>
      <c r="CW360" s="130"/>
      <c r="CX360" s="130"/>
      <c r="CY360" s="130"/>
      <c r="CZ360" s="130"/>
      <c r="DA360" s="130"/>
      <c r="DB360" s="130"/>
      <c r="DC360" s="130"/>
      <c r="DD360" s="130"/>
      <c r="DE360" s="130"/>
      <c r="DF360" s="130"/>
      <c r="DG360" s="130"/>
      <c r="DH360" s="130"/>
      <c r="DI360" s="130"/>
      <c r="DJ360" s="130"/>
      <c r="DK360" s="130"/>
      <c r="DL360" s="130"/>
      <c r="DM360" s="130"/>
      <c r="DN360" s="130"/>
      <c r="DO360" s="130"/>
      <c r="DP360" s="130"/>
      <c r="DQ360" s="130"/>
      <c r="DR360" s="130"/>
      <c r="DS360" s="130"/>
      <c r="DT360" s="130"/>
      <c r="DU360" s="130"/>
      <c r="DV360" s="130"/>
      <c r="DW360" s="130"/>
      <c r="DX360" s="130"/>
      <c r="DY360" s="130"/>
      <c r="DZ360" s="130"/>
      <c r="EA360" s="130"/>
      <c r="EB360" s="130"/>
      <c r="EC360" s="130"/>
      <c r="ED360" s="130"/>
      <c r="EE360" s="130"/>
      <c r="EF360" s="130"/>
      <c r="EG360" s="130"/>
      <c r="EH360" s="130"/>
      <c r="EI360" s="130"/>
      <c r="EJ360" s="130"/>
      <c r="EK360" s="130"/>
      <c r="EL360" s="130"/>
      <c r="EM360" s="130"/>
      <c r="EN360" s="130"/>
      <c r="EO360" s="130"/>
      <c r="EP360" s="130"/>
      <c r="EQ360" s="130"/>
      <c r="ER360" s="130"/>
      <c r="ES360" s="130"/>
      <c r="ET360" s="130"/>
      <c r="EU360" s="130"/>
      <c r="EV360" s="130"/>
      <c r="EW360" s="130"/>
      <c r="EX360" s="130"/>
      <c r="EY360" s="130"/>
      <c r="EZ360" s="130"/>
      <c r="FA360" s="130"/>
      <c r="FB360" s="130"/>
      <c r="FC360" s="130"/>
      <c r="FD360" s="130"/>
      <c r="FE360" s="130"/>
      <c r="FF360" s="130"/>
      <c r="FG360" s="130"/>
      <c r="FH360" s="130"/>
      <c r="FI360" s="130"/>
      <c r="FJ360" s="130"/>
      <c r="FK360" s="130"/>
      <c r="FL360" s="130"/>
      <c r="FM360" s="130"/>
      <c r="FN360" s="130"/>
      <c r="FO360" s="130"/>
      <c r="FP360" s="130"/>
      <c r="FQ360" s="130"/>
      <c r="FR360" s="130"/>
      <c r="FS360" s="130"/>
      <c r="FT360" s="130"/>
      <c r="FU360" s="130"/>
      <c r="FV360" s="130"/>
      <c r="FW360" s="130"/>
      <c r="FX360" s="130"/>
      <c r="FY360" s="130"/>
      <c r="FZ360" s="130"/>
      <c r="GA360" s="130"/>
      <c r="GB360" s="130"/>
      <c r="GC360" s="130"/>
      <c r="GD360" s="130"/>
      <c r="GE360" s="130"/>
      <c r="GF360" s="130"/>
      <c r="GG360" s="130"/>
      <c r="GH360" s="130"/>
      <c r="GI360" s="130"/>
      <c r="GJ360" s="130"/>
      <c r="GK360" s="130"/>
      <c r="GL360" s="130"/>
      <c r="GM360" s="130"/>
      <c r="GN360" s="130"/>
      <c r="GO360" s="130"/>
      <c r="GP360" s="130"/>
      <c r="GQ360" s="130"/>
      <c r="GR360" s="130"/>
      <c r="GS360" s="130"/>
      <c r="GT360" s="130"/>
      <c r="GU360" s="130"/>
      <c r="GV360" s="130"/>
      <c r="GW360" s="130"/>
      <c r="GX360" s="130"/>
      <c r="GY360" s="130"/>
      <c r="GZ360" s="130"/>
      <c r="HA360" s="130"/>
      <c r="HB360" s="130"/>
      <c r="HC360" s="130"/>
      <c r="HD360" s="130"/>
      <c r="HE360" s="130"/>
      <c r="HF360" s="130"/>
      <c r="HG360" s="130"/>
      <c r="HH360" s="130"/>
      <c r="HI360" s="130"/>
      <c r="HJ360" s="130"/>
      <c r="HK360" s="130"/>
      <c r="HL360" s="130"/>
      <c r="HM360" s="130"/>
      <c r="HN360" s="130"/>
      <c r="HO360" s="130"/>
      <c r="HP360" s="130"/>
      <c r="HQ360" s="130"/>
      <c r="HR360" s="130"/>
      <c r="HS360" s="130"/>
      <c r="HT360" s="130"/>
      <c r="HU360" s="130"/>
      <c r="HV360" s="130"/>
      <c r="HW360" s="130"/>
      <c r="HX360" s="130"/>
      <c r="HY360" s="130"/>
      <c r="HZ360" s="130"/>
      <c r="IA360" s="130"/>
      <c r="IB360" s="130"/>
      <c r="IC360" s="130"/>
      <c r="ID360" s="130"/>
      <c r="IE360" s="130"/>
      <c r="IF360" s="130"/>
      <c r="IG360" s="130"/>
      <c r="IH360" s="130"/>
      <c r="II360" s="130"/>
      <c r="IJ360" s="130"/>
      <c r="IK360" s="130"/>
      <c r="IL360" s="130"/>
      <c r="IM360" s="130"/>
      <c r="IN360" s="130"/>
      <c r="IO360" s="130"/>
      <c r="IP360" s="130"/>
      <c r="IQ360" s="130"/>
      <c r="IR360" s="130"/>
      <c r="IS360" s="130"/>
      <c r="IT360" s="130"/>
      <c r="IU360" s="130"/>
      <c r="IV360" s="130"/>
    </row>
    <row r="361" spans="1:256">
      <c r="A361" s="825"/>
      <c r="B361" s="828"/>
      <c r="C361" s="157" t="s">
        <v>2</v>
      </c>
      <c r="D361" s="158">
        <f>D360+D359</f>
        <v>31475174</v>
      </c>
      <c r="E361" s="159">
        <f t="shared" ref="E361:P361" si="177">E360+E359</f>
        <v>17352000</v>
      </c>
      <c r="F361" s="159">
        <f t="shared" si="177"/>
        <v>0</v>
      </c>
      <c r="G361" s="159">
        <f t="shared" si="177"/>
        <v>0</v>
      </c>
      <c r="H361" s="159">
        <f t="shared" si="177"/>
        <v>0</v>
      </c>
      <c r="I361" s="159">
        <f t="shared" si="177"/>
        <v>17352000</v>
      </c>
      <c r="J361" s="159">
        <f t="shared" si="177"/>
        <v>0</v>
      </c>
      <c r="K361" s="159">
        <f t="shared" si="177"/>
        <v>0</v>
      </c>
      <c r="L361" s="159">
        <f t="shared" si="177"/>
        <v>0</v>
      </c>
      <c r="M361" s="159">
        <f t="shared" si="177"/>
        <v>14123174</v>
      </c>
      <c r="N361" s="159">
        <f t="shared" si="177"/>
        <v>14123174</v>
      </c>
      <c r="O361" s="159">
        <f t="shared" si="177"/>
        <v>0</v>
      </c>
      <c r="P361" s="159">
        <f t="shared" si="177"/>
        <v>0</v>
      </c>
      <c r="Q361" s="166"/>
      <c r="R361" s="166"/>
      <c r="S361" s="166"/>
      <c r="T361" s="166"/>
      <c r="U361" s="166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S361" s="130"/>
      <c r="BT361" s="130"/>
      <c r="BU361" s="130"/>
      <c r="BV361" s="130"/>
      <c r="BW361" s="130"/>
      <c r="BX361" s="130"/>
      <c r="BY361" s="130"/>
      <c r="BZ361" s="130"/>
      <c r="CA361" s="130"/>
      <c r="CB361" s="130"/>
      <c r="CC361" s="130"/>
      <c r="CD361" s="130"/>
      <c r="CE361" s="130"/>
      <c r="CF361" s="130"/>
      <c r="CG361" s="130"/>
      <c r="CH361" s="130"/>
      <c r="CI361" s="130"/>
      <c r="CJ361" s="130"/>
      <c r="CK361" s="130"/>
      <c r="CL361" s="130"/>
      <c r="CM361" s="130"/>
      <c r="CN361" s="130"/>
      <c r="CO361" s="130"/>
      <c r="CP361" s="130"/>
      <c r="CQ361" s="130"/>
      <c r="CR361" s="130"/>
      <c r="CS361" s="130"/>
      <c r="CT361" s="130"/>
      <c r="CU361" s="130"/>
      <c r="CV361" s="130"/>
      <c r="CW361" s="130"/>
      <c r="CX361" s="130"/>
      <c r="CY361" s="130"/>
      <c r="CZ361" s="130"/>
      <c r="DA361" s="130"/>
      <c r="DB361" s="130"/>
      <c r="DC361" s="130"/>
      <c r="DD361" s="130"/>
      <c r="DE361" s="130"/>
      <c r="DF361" s="130"/>
      <c r="DG361" s="130"/>
      <c r="DH361" s="130"/>
      <c r="DI361" s="130"/>
      <c r="DJ361" s="130"/>
      <c r="DK361" s="130"/>
      <c r="DL361" s="130"/>
      <c r="DM361" s="130"/>
      <c r="DN361" s="130"/>
      <c r="DO361" s="130"/>
      <c r="DP361" s="130"/>
      <c r="DQ361" s="130"/>
      <c r="DR361" s="130"/>
      <c r="DS361" s="130"/>
      <c r="DT361" s="130"/>
      <c r="DU361" s="130"/>
      <c r="DV361" s="130"/>
      <c r="DW361" s="130"/>
      <c r="DX361" s="130"/>
      <c r="DY361" s="130"/>
      <c r="DZ361" s="130"/>
      <c r="EA361" s="130"/>
      <c r="EB361" s="130"/>
      <c r="EC361" s="130"/>
      <c r="ED361" s="130"/>
      <c r="EE361" s="130"/>
      <c r="EF361" s="130"/>
      <c r="EG361" s="130"/>
      <c r="EH361" s="130"/>
      <c r="EI361" s="130"/>
      <c r="EJ361" s="130"/>
      <c r="EK361" s="130"/>
      <c r="EL361" s="130"/>
      <c r="EM361" s="130"/>
      <c r="EN361" s="130"/>
      <c r="EO361" s="130"/>
      <c r="EP361" s="130"/>
      <c r="EQ361" s="130"/>
      <c r="ER361" s="130"/>
      <c r="ES361" s="130"/>
      <c r="ET361" s="130"/>
      <c r="EU361" s="130"/>
      <c r="EV361" s="130"/>
      <c r="EW361" s="130"/>
      <c r="EX361" s="130"/>
      <c r="EY361" s="130"/>
      <c r="EZ361" s="130"/>
      <c r="FA361" s="130"/>
      <c r="FB361" s="130"/>
      <c r="FC361" s="130"/>
      <c r="FD361" s="130"/>
      <c r="FE361" s="130"/>
      <c r="FF361" s="130"/>
      <c r="FG361" s="130"/>
      <c r="FH361" s="130"/>
      <c r="FI361" s="130"/>
      <c r="FJ361" s="130"/>
      <c r="FK361" s="130"/>
      <c r="FL361" s="130"/>
      <c r="FM361" s="130"/>
      <c r="FN361" s="130"/>
      <c r="FO361" s="130"/>
      <c r="FP361" s="130"/>
      <c r="FQ361" s="130"/>
      <c r="FR361" s="130"/>
      <c r="FS361" s="130"/>
      <c r="FT361" s="130"/>
      <c r="FU361" s="130"/>
      <c r="FV361" s="130"/>
      <c r="FW361" s="130"/>
      <c r="FX361" s="130"/>
      <c r="FY361" s="130"/>
      <c r="FZ361" s="130"/>
      <c r="GA361" s="130"/>
      <c r="GB361" s="130"/>
      <c r="GC361" s="130"/>
      <c r="GD361" s="130"/>
      <c r="GE361" s="130"/>
      <c r="GF361" s="130"/>
      <c r="GG361" s="130"/>
      <c r="GH361" s="130"/>
      <c r="GI361" s="130"/>
      <c r="GJ361" s="130"/>
      <c r="GK361" s="130"/>
      <c r="GL361" s="130"/>
      <c r="GM361" s="130"/>
      <c r="GN361" s="130"/>
      <c r="GO361" s="130"/>
      <c r="GP361" s="130"/>
      <c r="GQ361" s="130"/>
      <c r="GR361" s="130"/>
      <c r="GS361" s="130"/>
      <c r="GT361" s="130"/>
      <c r="GU361" s="130"/>
      <c r="GV361" s="130"/>
      <c r="GW361" s="130"/>
      <c r="GX361" s="130"/>
      <c r="GY361" s="130"/>
      <c r="GZ361" s="130"/>
      <c r="HA361" s="130"/>
      <c r="HB361" s="130"/>
      <c r="HC361" s="130"/>
      <c r="HD361" s="130"/>
      <c r="HE361" s="130"/>
      <c r="HF361" s="130"/>
      <c r="HG361" s="130"/>
      <c r="HH361" s="130"/>
      <c r="HI361" s="130"/>
      <c r="HJ361" s="130"/>
      <c r="HK361" s="130"/>
      <c r="HL361" s="130"/>
      <c r="HM361" s="130"/>
      <c r="HN361" s="130"/>
      <c r="HO361" s="130"/>
      <c r="HP361" s="130"/>
      <c r="HQ361" s="130"/>
      <c r="HR361" s="130"/>
      <c r="HS361" s="130"/>
      <c r="HT361" s="130"/>
      <c r="HU361" s="130"/>
      <c r="HV361" s="130"/>
      <c r="HW361" s="130"/>
      <c r="HX361" s="130"/>
      <c r="HY361" s="130"/>
      <c r="HZ361" s="130"/>
      <c r="IA361" s="130"/>
      <c r="IB361" s="130"/>
      <c r="IC361" s="130"/>
      <c r="ID361" s="130"/>
      <c r="IE361" s="130"/>
      <c r="IF361" s="130"/>
      <c r="IG361" s="130"/>
      <c r="IH361" s="130"/>
      <c r="II361" s="130"/>
      <c r="IJ361" s="130"/>
      <c r="IK361" s="130"/>
      <c r="IL361" s="130"/>
      <c r="IM361" s="130"/>
      <c r="IN361" s="130"/>
      <c r="IO361" s="130"/>
      <c r="IP361" s="130"/>
      <c r="IQ361" s="130"/>
      <c r="IR361" s="130"/>
      <c r="IS361" s="130"/>
      <c r="IT361" s="130"/>
      <c r="IU361" s="130"/>
      <c r="IV361" s="130"/>
    </row>
    <row r="362" spans="1:256">
      <c r="A362" s="823">
        <v>92109</v>
      </c>
      <c r="B362" s="826" t="s">
        <v>280</v>
      </c>
      <c r="C362" s="157" t="s">
        <v>0</v>
      </c>
      <c r="D362" s="158">
        <f t="shared" si="172"/>
        <v>53263239</v>
      </c>
      <c r="E362" s="159">
        <f t="shared" si="173"/>
        <v>19112812</v>
      </c>
      <c r="F362" s="159">
        <f t="shared" si="174"/>
        <v>0</v>
      </c>
      <c r="G362" s="159">
        <v>0</v>
      </c>
      <c r="H362" s="159">
        <v>0</v>
      </c>
      <c r="I362" s="159">
        <v>19112812</v>
      </c>
      <c r="J362" s="159">
        <v>0</v>
      </c>
      <c r="K362" s="159">
        <v>0</v>
      </c>
      <c r="L362" s="159">
        <v>0</v>
      </c>
      <c r="M362" s="159">
        <f t="shared" si="175"/>
        <v>34150427</v>
      </c>
      <c r="N362" s="159">
        <v>34150427</v>
      </c>
      <c r="O362" s="159">
        <v>0</v>
      </c>
      <c r="P362" s="159">
        <v>0</v>
      </c>
      <c r="Q362" s="166"/>
      <c r="R362" s="166"/>
      <c r="S362" s="166"/>
      <c r="T362" s="166"/>
      <c r="U362" s="166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S362" s="130"/>
      <c r="BT362" s="130"/>
      <c r="BU362" s="130"/>
      <c r="BV362" s="130"/>
      <c r="BW362" s="130"/>
      <c r="BX362" s="130"/>
      <c r="BY362" s="130"/>
      <c r="BZ362" s="130"/>
      <c r="CA362" s="130"/>
      <c r="CB362" s="130"/>
      <c r="CC362" s="130"/>
      <c r="CD362" s="130"/>
      <c r="CE362" s="130"/>
      <c r="CF362" s="130"/>
      <c r="CG362" s="130"/>
      <c r="CH362" s="130"/>
      <c r="CI362" s="130"/>
      <c r="CJ362" s="130"/>
      <c r="CK362" s="130"/>
      <c r="CL362" s="130"/>
      <c r="CM362" s="130"/>
      <c r="CN362" s="130"/>
      <c r="CO362" s="130"/>
      <c r="CP362" s="130"/>
      <c r="CQ362" s="130"/>
      <c r="CR362" s="130"/>
      <c r="CS362" s="130"/>
      <c r="CT362" s="130"/>
      <c r="CU362" s="130"/>
      <c r="CV362" s="130"/>
      <c r="CW362" s="130"/>
      <c r="CX362" s="130"/>
      <c r="CY362" s="130"/>
      <c r="CZ362" s="130"/>
      <c r="DA362" s="130"/>
      <c r="DB362" s="130"/>
      <c r="DC362" s="130"/>
      <c r="DD362" s="130"/>
      <c r="DE362" s="130"/>
      <c r="DF362" s="130"/>
      <c r="DG362" s="130"/>
      <c r="DH362" s="130"/>
      <c r="DI362" s="130"/>
      <c r="DJ362" s="130"/>
      <c r="DK362" s="130"/>
      <c r="DL362" s="130"/>
      <c r="DM362" s="130"/>
      <c r="DN362" s="130"/>
      <c r="DO362" s="130"/>
      <c r="DP362" s="130"/>
      <c r="DQ362" s="130"/>
      <c r="DR362" s="130"/>
      <c r="DS362" s="130"/>
      <c r="DT362" s="130"/>
      <c r="DU362" s="130"/>
      <c r="DV362" s="130"/>
      <c r="DW362" s="130"/>
      <c r="DX362" s="130"/>
      <c r="DY362" s="130"/>
      <c r="DZ362" s="130"/>
      <c r="EA362" s="130"/>
      <c r="EB362" s="130"/>
      <c r="EC362" s="130"/>
      <c r="ED362" s="130"/>
      <c r="EE362" s="130"/>
      <c r="EF362" s="130"/>
      <c r="EG362" s="130"/>
      <c r="EH362" s="130"/>
      <c r="EI362" s="130"/>
      <c r="EJ362" s="130"/>
      <c r="EK362" s="130"/>
      <c r="EL362" s="130"/>
      <c r="EM362" s="130"/>
      <c r="EN362" s="130"/>
      <c r="EO362" s="130"/>
      <c r="EP362" s="130"/>
      <c r="EQ362" s="130"/>
      <c r="ER362" s="130"/>
      <c r="ES362" s="130"/>
      <c r="ET362" s="130"/>
      <c r="EU362" s="130"/>
      <c r="EV362" s="130"/>
      <c r="EW362" s="130"/>
      <c r="EX362" s="130"/>
      <c r="EY362" s="130"/>
      <c r="EZ362" s="130"/>
      <c r="FA362" s="130"/>
      <c r="FB362" s="130"/>
      <c r="FC362" s="130"/>
      <c r="FD362" s="130"/>
      <c r="FE362" s="130"/>
      <c r="FF362" s="130"/>
      <c r="FG362" s="130"/>
      <c r="FH362" s="130"/>
      <c r="FI362" s="130"/>
      <c r="FJ362" s="130"/>
      <c r="FK362" s="130"/>
      <c r="FL362" s="130"/>
      <c r="FM362" s="130"/>
      <c r="FN362" s="130"/>
      <c r="FO362" s="130"/>
      <c r="FP362" s="130"/>
      <c r="FQ362" s="130"/>
      <c r="FR362" s="130"/>
      <c r="FS362" s="130"/>
      <c r="FT362" s="130"/>
      <c r="FU362" s="130"/>
      <c r="FV362" s="130"/>
      <c r="FW362" s="130"/>
      <c r="FX362" s="130"/>
      <c r="FY362" s="130"/>
      <c r="FZ362" s="130"/>
      <c r="GA362" s="130"/>
      <c r="GB362" s="130"/>
      <c r="GC362" s="130"/>
      <c r="GD362" s="130"/>
      <c r="GE362" s="130"/>
      <c r="GF362" s="130"/>
      <c r="GG362" s="130"/>
      <c r="GH362" s="130"/>
      <c r="GI362" s="130"/>
      <c r="GJ362" s="130"/>
      <c r="GK362" s="130"/>
      <c r="GL362" s="130"/>
      <c r="GM362" s="130"/>
      <c r="GN362" s="130"/>
      <c r="GO362" s="130"/>
      <c r="GP362" s="130"/>
      <c r="GQ362" s="130"/>
      <c r="GR362" s="130"/>
      <c r="GS362" s="130"/>
      <c r="GT362" s="130"/>
      <c r="GU362" s="130"/>
      <c r="GV362" s="130"/>
      <c r="GW362" s="130"/>
      <c r="GX362" s="130"/>
      <c r="GY362" s="130"/>
      <c r="GZ362" s="130"/>
      <c r="HA362" s="130"/>
      <c r="HB362" s="130"/>
      <c r="HC362" s="130"/>
      <c r="HD362" s="130"/>
      <c r="HE362" s="130"/>
      <c r="HF362" s="130"/>
      <c r="HG362" s="130"/>
      <c r="HH362" s="130"/>
      <c r="HI362" s="130"/>
      <c r="HJ362" s="130"/>
      <c r="HK362" s="130"/>
      <c r="HL362" s="130"/>
      <c r="HM362" s="130"/>
      <c r="HN362" s="130"/>
      <c r="HO362" s="130"/>
      <c r="HP362" s="130"/>
      <c r="HQ362" s="130"/>
      <c r="HR362" s="130"/>
      <c r="HS362" s="130"/>
      <c r="HT362" s="130"/>
      <c r="HU362" s="130"/>
      <c r="HV362" s="130"/>
      <c r="HW362" s="130"/>
      <c r="HX362" s="130"/>
      <c r="HY362" s="130"/>
      <c r="HZ362" s="130"/>
      <c r="IA362" s="130"/>
      <c r="IB362" s="130"/>
      <c r="IC362" s="130"/>
      <c r="ID362" s="130"/>
      <c r="IE362" s="130"/>
      <c r="IF362" s="130"/>
      <c r="IG362" s="130"/>
      <c r="IH362" s="130"/>
      <c r="II362" s="130"/>
      <c r="IJ362" s="130"/>
      <c r="IK362" s="130"/>
      <c r="IL362" s="130"/>
      <c r="IM362" s="130"/>
      <c r="IN362" s="130"/>
      <c r="IO362" s="130"/>
      <c r="IP362" s="130"/>
      <c r="IQ362" s="130"/>
      <c r="IR362" s="130"/>
      <c r="IS362" s="130"/>
      <c r="IT362" s="130"/>
      <c r="IU362" s="130"/>
      <c r="IV362" s="130"/>
    </row>
    <row r="363" spans="1:256">
      <c r="A363" s="824"/>
      <c r="B363" s="827"/>
      <c r="C363" s="157" t="s">
        <v>1</v>
      </c>
      <c r="D363" s="158">
        <f t="shared" si="172"/>
        <v>2521526</v>
      </c>
      <c r="E363" s="159">
        <f t="shared" si="173"/>
        <v>593334</v>
      </c>
      <c r="F363" s="159">
        <f t="shared" si="174"/>
        <v>0</v>
      </c>
      <c r="G363" s="159"/>
      <c r="H363" s="159"/>
      <c r="I363" s="159">
        <f>558695+34639</f>
        <v>593334</v>
      </c>
      <c r="J363" s="159"/>
      <c r="K363" s="159"/>
      <c r="L363" s="159"/>
      <c r="M363" s="159">
        <f t="shared" si="175"/>
        <v>1928192</v>
      </c>
      <c r="N363" s="159">
        <v>1928192</v>
      </c>
      <c r="O363" s="159"/>
      <c r="P363" s="159"/>
      <c r="Q363" s="166"/>
      <c r="R363" s="166"/>
      <c r="S363" s="166"/>
      <c r="T363" s="166"/>
      <c r="U363" s="166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S363" s="130"/>
      <c r="BT363" s="130"/>
      <c r="BU363" s="130"/>
      <c r="BV363" s="130"/>
      <c r="BW363" s="130"/>
      <c r="BX363" s="130"/>
      <c r="BY363" s="130"/>
      <c r="BZ363" s="130"/>
      <c r="CA363" s="130"/>
      <c r="CB363" s="130"/>
      <c r="CC363" s="130"/>
      <c r="CD363" s="130"/>
      <c r="CE363" s="130"/>
      <c r="CF363" s="130"/>
      <c r="CG363" s="130"/>
      <c r="CH363" s="130"/>
      <c r="CI363" s="130"/>
      <c r="CJ363" s="130"/>
      <c r="CK363" s="130"/>
      <c r="CL363" s="130"/>
      <c r="CM363" s="130"/>
      <c r="CN363" s="130"/>
      <c r="CO363" s="130"/>
      <c r="CP363" s="130"/>
      <c r="CQ363" s="130"/>
      <c r="CR363" s="130"/>
      <c r="CS363" s="130"/>
      <c r="CT363" s="130"/>
      <c r="CU363" s="130"/>
      <c r="CV363" s="130"/>
      <c r="CW363" s="130"/>
      <c r="CX363" s="130"/>
      <c r="CY363" s="130"/>
      <c r="CZ363" s="130"/>
      <c r="DA363" s="130"/>
      <c r="DB363" s="130"/>
      <c r="DC363" s="130"/>
      <c r="DD363" s="130"/>
      <c r="DE363" s="130"/>
      <c r="DF363" s="130"/>
      <c r="DG363" s="130"/>
      <c r="DH363" s="130"/>
      <c r="DI363" s="130"/>
      <c r="DJ363" s="130"/>
      <c r="DK363" s="130"/>
      <c r="DL363" s="130"/>
      <c r="DM363" s="130"/>
      <c r="DN363" s="130"/>
      <c r="DO363" s="130"/>
      <c r="DP363" s="130"/>
      <c r="DQ363" s="130"/>
      <c r="DR363" s="130"/>
      <c r="DS363" s="130"/>
      <c r="DT363" s="130"/>
      <c r="DU363" s="130"/>
      <c r="DV363" s="130"/>
      <c r="DW363" s="130"/>
      <c r="DX363" s="130"/>
      <c r="DY363" s="130"/>
      <c r="DZ363" s="130"/>
      <c r="EA363" s="130"/>
      <c r="EB363" s="130"/>
      <c r="EC363" s="130"/>
      <c r="ED363" s="130"/>
      <c r="EE363" s="130"/>
      <c r="EF363" s="130"/>
      <c r="EG363" s="130"/>
      <c r="EH363" s="130"/>
      <c r="EI363" s="130"/>
      <c r="EJ363" s="130"/>
      <c r="EK363" s="130"/>
      <c r="EL363" s="130"/>
      <c r="EM363" s="130"/>
      <c r="EN363" s="130"/>
      <c r="EO363" s="130"/>
      <c r="EP363" s="130"/>
      <c r="EQ363" s="130"/>
      <c r="ER363" s="130"/>
      <c r="ES363" s="130"/>
      <c r="ET363" s="130"/>
      <c r="EU363" s="130"/>
      <c r="EV363" s="130"/>
      <c r="EW363" s="130"/>
      <c r="EX363" s="130"/>
      <c r="EY363" s="130"/>
      <c r="EZ363" s="130"/>
      <c r="FA363" s="130"/>
      <c r="FB363" s="130"/>
      <c r="FC363" s="130"/>
      <c r="FD363" s="130"/>
      <c r="FE363" s="130"/>
      <c r="FF363" s="130"/>
      <c r="FG363" s="130"/>
      <c r="FH363" s="130"/>
      <c r="FI363" s="130"/>
      <c r="FJ363" s="130"/>
      <c r="FK363" s="130"/>
      <c r="FL363" s="130"/>
      <c r="FM363" s="130"/>
      <c r="FN363" s="130"/>
      <c r="FO363" s="130"/>
      <c r="FP363" s="130"/>
      <c r="FQ363" s="130"/>
      <c r="FR363" s="130"/>
      <c r="FS363" s="130"/>
      <c r="FT363" s="130"/>
      <c r="FU363" s="130"/>
      <c r="FV363" s="130"/>
      <c r="FW363" s="130"/>
      <c r="FX363" s="130"/>
      <c r="FY363" s="130"/>
      <c r="FZ363" s="130"/>
      <c r="GA363" s="130"/>
      <c r="GB363" s="130"/>
      <c r="GC363" s="130"/>
      <c r="GD363" s="130"/>
      <c r="GE363" s="130"/>
      <c r="GF363" s="130"/>
      <c r="GG363" s="130"/>
      <c r="GH363" s="130"/>
      <c r="GI363" s="130"/>
      <c r="GJ363" s="130"/>
      <c r="GK363" s="130"/>
      <c r="GL363" s="130"/>
      <c r="GM363" s="130"/>
      <c r="GN363" s="130"/>
      <c r="GO363" s="130"/>
      <c r="GP363" s="130"/>
      <c r="GQ363" s="130"/>
      <c r="GR363" s="130"/>
      <c r="GS363" s="130"/>
      <c r="GT363" s="130"/>
      <c r="GU363" s="130"/>
      <c r="GV363" s="130"/>
      <c r="GW363" s="130"/>
      <c r="GX363" s="130"/>
      <c r="GY363" s="130"/>
      <c r="GZ363" s="130"/>
      <c r="HA363" s="130"/>
      <c r="HB363" s="130"/>
      <c r="HC363" s="130"/>
      <c r="HD363" s="130"/>
      <c r="HE363" s="130"/>
      <c r="HF363" s="130"/>
      <c r="HG363" s="130"/>
      <c r="HH363" s="130"/>
      <c r="HI363" s="130"/>
      <c r="HJ363" s="130"/>
      <c r="HK363" s="130"/>
      <c r="HL363" s="130"/>
      <c r="HM363" s="130"/>
      <c r="HN363" s="130"/>
      <c r="HO363" s="130"/>
      <c r="HP363" s="130"/>
      <c r="HQ363" s="130"/>
      <c r="HR363" s="130"/>
      <c r="HS363" s="130"/>
      <c r="HT363" s="130"/>
      <c r="HU363" s="130"/>
      <c r="HV363" s="130"/>
      <c r="HW363" s="130"/>
      <c r="HX363" s="130"/>
      <c r="HY363" s="130"/>
      <c r="HZ363" s="130"/>
      <c r="IA363" s="130"/>
      <c r="IB363" s="130"/>
      <c r="IC363" s="130"/>
      <c r="ID363" s="130"/>
      <c r="IE363" s="130"/>
      <c r="IF363" s="130"/>
      <c r="IG363" s="130"/>
      <c r="IH363" s="130"/>
      <c r="II363" s="130"/>
      <c r="IJ363" s="130"/>
      <c r="IK363" s="130"/>
      <c r="IL363" s="130"/>
      <c r="IM363" s="130"/>
      <c r="IN363" s="130"/>
      <c r="IO363" s="130"/>
      <c r="IP363" s="130"/>
      <c r="IQ363" s="130"/>
      <c r="IR363" s="130"/>
      <c r="IS363" s="130"/>
      <c r="IT363" s="130"/>
      <c r="IU363" s="130"/>
      <c r="IV363" s="130"/>
    </row>
    <row r="364" spans="1:256">
      <c r="A364" s="825"/>
      <c r="B364" s="828"/>
      <c r="C364" s="157" t="s">
        <v>2</v>
      </c>
      <c r="D364" s="158">
        <f>D363+D362</f>
        <v>55784765</v>
      </c>
      <c r="E364" s="159">
        <f t="shared" ref="E364:P364" si="178">E363+E362</f>
        <v>19706146</v>
      </c>
      <c r="F364" s="159">
        <f t="shared" si="178"/>
        <v>0</v>
      </c>
      <c r="G364" s="159">
        <f t="shared" si="178"/>
        <v>0</v>
      </c>
      <c r="H364" s="159">
        <f t="shared" si="178"/>
        <v>0</v>
      </c>
      <c r="I364" s="159">
        <f t="shared" si="178"/>
        <v>19706146</v>
      </c>
      <c r="J364" s="159">
        <f t="shared" si="178"/>
        <v>0</v>
      </c>
      <c r="K364" s="159">
        <f t="shared" si="178"/>
        <v>0</v>
      </c>
      <c r="L364" s="159">
        <f t="shared" si="178"/>
        <v>0</v>
      </c>
      <c r="M364" s="159">
        <f t="shared" si="178"/>
        <v>36078619</v>
      </c>
      <c r="N364" s="159">
        <f t="shared" si="178"/>
        <v>36078619</v>
      </c>
      <c r="O364" s="159">
        <f t="shared" si="178"/>
        <v>0</v>
      </c>
      <c r="P364" s="159">
        <f t="shared" si="178"/>
        <v>0</v>
      </c>
      <c r="Q364" s="166"/>
      <c r="R364" s="166"/>
      <c r="S364" s="166"/>
      <c r="T364" s="166"/>
      <c r="U364" s="166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0"/>
      <c r="BQ364" s="130"/>
      <c r="BR364" s="130"/>
      <c r="BS364" s="130"/>
      <c r="BT364" s="130"/>
      <c r="BU364" s="130"/>
      <c r="BV364" s="130"/>
      <c r="BW364" s="130"/>
      <c r="BX364" s="130"/>
      <c r="BY364" s="130"/>
      <c r="BZ364" s="130"/>
      <c r="CA364" s="130"/>
      <c r="CB364" s="130"/>
      <c r="CC364" s="130"/>
      <c r="CD364" s="130"/>
      <c r="CE364" s="130"/>
      <c r="CF364" s="130"/>
      <c r="CG364" s="130"/>
      <c r="CH364" s="130"/>
      <c r="CI364" s="130"/>
      <c r="CJ364" s="130"/>
      <c r="CK364" s="130"/>
      <c r="CL364" s="130"/>
      <c r="CM364" s="130"/>
      <c r="CN364" s="130"/>
      <c r="CO364" s="130"/>
      <c r="CP364" s="130"/>
      <c r="CQ364" s="130"/>
      <c r="CR364" s="130"/>
      <c r="CS364" s="130"/>
      <c r="CT364" s="130"/>
      <c r="CU364" s="130"/>
      <c r="CV364" s="130"/>
      <c r="CW364" s="130"/>
      <c r="CX364" s="130"/>
      <c r="CY364" s="130"/>
      <c r="CZ364" s="130"/>
      <c r="DA364" s="130"/>
      <c r="DB364" s="130"/>
      <c r="DC364" s="130"/>
      <c r="DD364" s="130"/>
      <c r="DE364" s="130"/>
      <c r="DF364" s="130"/>
      <c r="DG364" s="130"/>
      <c r="DH364" s="130"/>
      <c r="DI364" s="130"/>
      <c r="DJ364" s="130"/>
      <c r="DK364" s="130"/>
      <c r="DL364" s="130"/>
      <c r="DM364" s="130"/>
      <c r="DN364" s="130"/>
      <c r="DO364" s="130"/>
      <c r="DP364" s="130"/>
      <c r="DQ364" s="130"/>
      <c r="DR364" s="130"/>
      <c r="DS364" s="130"/>
      <c r="DT364" s="130"/>
      <c r="DU364" s="130"/>
      <c r="DV364" s="130"/>
      <c r="DW364" s="130"/>
      <c r="DX364" s="130"/>
      <c r="DY364" s="130"/>
      <c r="DZ364" s="130"/>
      <c r="EA364" s="130"/>
      <c r="EB364" s="130"/>
      <c r="EC364" s="130"/>
      <c r="ED364" s="130"/>
      <c r="EE364" s="130"/>
      <c r="EF364" s="130"/>
      <c r="EG364" s="130"/>
      <c r="EH364" s="130"/>
      <c r="EI364" s="130"/>
      <c r="EJ364" s="130"/>
      <c r="EK364" s="130"/>
      <c r="EL364" s="130"/>
      <c r="EM364" s="130"/>
      <c r="EN364" s="130"/>
      <c r="EO364" s="130"/>
      <c r="EP364" s="130"/>
      <c r="EQ364" s="130"/>
      <c r="ER364" s="130"/>
      <c r="ES364" s="130"/>
      <c r="ET364" s="130"/>
      <c r="EU364" s="130"/>
      <c r="EV364" s="130"/>
      <c r="EW364" s="130"/>
      <c r="EX364" s="130"/>
      <c r="EY364" s="130"/>
      <c r="EZ364" s="130"/>
      <c r="FA364" s="130"/>
      <c r="FB364" s="130"/>
      <c r="FC364" s="130"/>
      <c r="FD364" s="130"/>
      <c r="FE364" s="130"/>
      <c r="FF364" s="130"/>
      <c r="FG364" s="130"/>
      <c r="FH364" s="130"/>
      <c r="FI364" s="130"/>
      <c r="FJ364" s="130"/>
      <c r="FK364" s="130"/>
      <c r="FL364" s="130"/>
      <c r="FM364" s="130"/>
      <c r="FN364" s="130"/>
      <c r="FO364" s="130"/>
      <c r="FP364" s="130"/>
      <c r="FQ364" s="130"/>
      <c r="FR364" s="130"/>
      <c r="FS364" s="130"/>
      <c r="FT364" s="130"/>
      <c r="FU364" s="130"/>
      <c r="FV364" s="130"/>
      <c r="FW364" s="130"/>
      <c r="FX364" s="130"/>
      <c r="FY364" s="130"/>
      <c r="FZ364" s="130"/>
      <c r="GA364" s="130"/>
      <c r="GB364" s="130"/>
      <c r="GC364" s="130"/>
      <c r="GD364" s="130"/>
      <c r="GE364" s="130"/>
      <c r="GF364" s="130"/>
      <c r="GG364" s="130"/>
      <c r="GH364" s="130"/>
      <c r="GI364" s="130"/>
      <c r="GJ364" s="130"/>
      <c r="GK364" s="130"/>
      <c r="GL364" s="130"/>
      <c r="GM364" s="130"/>
      <c r="GN364" s="130"/>
      <c r="GO364" s="130"/>
      <c r="GP364" s="130"/>
      <c r="GQ364" s="130"/>
      <c r="GR364" s="130"/>
      <c r="GS364" s="130"/>
      <c r="GT364" s="130"/>
      <c r="GU364" s="130"/>
      <c r="GV364" s="130"/>
      <c r="GW364" s="130"/>
      <c r="GX364" s="130"/>
      <c r="GY364" s="130"/>
      <c r="GZ364" s="130"/>
      <c r="HA364" s="130"/>
      <c r="HB364" s="130"/>
      <c r="HC364" s="130"/>
      <c r="HD364" s="130"/>
      <c r="HE364" s="130"/>
      <c r="HF364" s="130"/>
      <c r="HG364" s="130"/>
      <c r="HH364" s="130"/>
      <c r="HI364" s="130"/>
      <c r="HJ364" s="130"/>
      <c r="HK364" s="130"/>
      <c r="HL364" s="130"/>
      <c r="HM364" s="130"/>
      <c r="HN364" s="130"/>
      <c r="HO364" s="130"/>
      <c r="HP364" s="130"/>
      <c r="HQ364" s="130"/>
      <c r="HR364" s="130"/>
      <c r="HS364" s="130"/>
      <c r="HT364" s="130"/>
      <c r="HU364" s="130"/>
      <c r="HV364" s="130"/>
      <c r="HW364" s="130"/>
      <c r="HX364" s="130"/>
      <c r="HY364" s="130"/>
      <c r="HZ364" s="130"/>
      <c r="IA364" s="130"/>
      <c r="IB364" s="130"/>
      <c r="IC364" s="130"/>
      <c r="ID364" s="130"/>
      <c r="IE364" s="130"/>
      <c r="IF364" s="130"/>
      <c r="IG364" s="130"/>
      <c r="IH364" s="130"/>
      <c r="II364" s="130"/>
      <c r="IJ364" s="130"/>
      <c r="IK364" s="130"/>
      <c r="IL364" s="130"/>
      <c r="IM364" s="130"/>
      <c r="IN364" s="130"/>
      <c r="IO364" s="130"/>
      <c r="IP364" s="130"/>
      <c r="IQ364" s="130"/>
      <c r="IR364" s="130"/>
      <c r="IS364" s="130"/>
      <c r="IT364" s="130"/>
      <c r="IU364" s="130"/>
      <c r="IV364" s="130"/>
    </row>
    <row r="365" spans="1:256">
      <c r="A365" s="823">
        <v>92110</v>
      </c>
      <c r="B365" s="826" t="s">
        <v>281</v>
      </c>
      <c r="C365" s="157" t="s">
        <v>0</v>
      </c>
      <c r="D365" s="158">
        <f t="shared" si="172"/>
        <v>5239756</v>
      </c>
      <c r="E365" s="159">
        <f t="shared" si="173"/>
        <v>5104000</v>
      </c>
      <c r="F365" s="159">
        <f t="shared" si="174"/>
        <v>0</v>
      </c>
      <c r="G365" s="159">
        <v>0</v>
      </c>
      <c r="H365" s="159">
        <v>0</v>
      </c>
      <c r="I365" s="159">
        <v>5104000</v>
      </c>
      <c r="J365" s="159">
        <v>0</v>
      </c>
      <c r="K365" s="159">
        <v>0</v>
      </c>
      <c r="L365" s="159">
        <v>0</v>
      </c>
      <c r="M365" s="159">
        <f t="shared" si="175"/>
        <v>135756</v>
      </c>
      <c r="N365" s="159">
        <v>135756</v>
      </c>
      <c r="O365" s="159">
        <v>0</v>
      </c>
      <c r="P365" s="159">
        <v>0</v>
      </c>
      <c r="Q365" s="166"/>
      <c r="R365" s="166"/>
      <c r="S365" s="166"/>
      <c r="T365" s="166"/>
      <c r="U365" s="166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  <c r="BQ365" s="130"/>
      <c r="BR365" s="130"/>
      <c r="BS365" s="130"/>
      <c r="BT365" s="130"/>
      <c r="BU365" s="130"/>
      <c r="BV365" s="130"/>
      <c r="BW365" s="130"/>
      <c r="BX365" s="130"/>
      <c r="BY365" s="130"/>
      <c r="BZ365" s="130"/>
      <c r="CA365" s="130"/>
      <c r="CB365" s="130"/>
      <c r="CC365" s="130"/>
      <c r="CD365" s="130"/>
      <c r="CE365" s="130"/>
      <c r="CF365" s="130"/>
      <c r="CG365" s="130"/>
      <c r="CH365" s="130"/>
      <c r="CI365" s="130"/>
      <c r="CJ365" s="130"/>
      <c r="CK365" s="130"/>
      <c r="CL365" s="130"/>
      <c r="CM365" s="130"/>
      <c r="CN365" s="130"/>
      <c r="CO365" s="130"/>
      <c r="CP365" s="130"/>
      <c r="CQ365" s="130"/>
      <c r="CR365" s="130"/>
      <c r="CS365" s="130"/>
      <c r="CT365" s="130"/>
      <c r="CU365" s="130"/>
      <c r="CV365" s="130"/>
      <c r="CW365" s="130"/>
      <c r="CX365" s="130"/>
      <c r="CY365" s="130"/>
      <c r="CZ365" s="130"/>
      <c r="DA365" s="130"/>
      <c r="DB365" s="130"/>
      <c r="DC365" s="130"/>
      <c r="DD365" s="130"/>
      <c r="DE365" s="130"/>
      <c r="DF365" s="130"/>
      <c r="DG365" s="130"/>
      <c r="DH365" s="130"/>
      <c r="DI365" s="130"/>
      <c r="DJ365" s="130"/>
      <c r="DK365" s="130"/>
      <c r="DL365" s="130"/>
      <c r="DM365" s="130"/>
      <c r="DN365" s="130"/>
      <c r="DO365" s="130"/>
      <c r="DP365" s="130"/>
      <c r="DQ365" s="130"/>
      <c r="DR365" s="130"/>
      <c r="DS365" s="130"/>
      <c r="DT365" s="130"/>
      <c r="DU365" s="130"/>
      <c r="DV365" s="130"/>
      <c r="DW365" s="130"/>
      <c r="DX365" s="130"/>
      <c r="DY365" s="130"/>
      <c r="DZ365" s="130"/>
      <c r="EA365" s="130"/>
      <c r="EB365" s="130"/>
      <c r="EC365" s="130"/>
      <c r="ED365" s="130"/>
      <c r="EE365" s="130"/>
      <c r="EF365" s="130"/>
      <c r="EG365" s="130"/>
      <c r="EH365" s="130"/>
      <c r="EI365" s="130"/>
      <c r="EJ365" s="130"/>
      <c r="EK365" s="130"/>
      <c r="EL365" s="130"/>
      <c r="EM365" s="130"/>
      <c r="EN365" s="130"/>
      <c r="EO365" s="130"/>
      <c r="EP365" s="130"/>
      <c r="EQ365" s="130"/>
      <c r="ER365" s="130"/>
      <c r="ES365" s="130"/>
      <c r="ET365" s="130"/>
      <c r="EU365" s="130"/>
      <c r="EV365" s="130"/>
      <c r="EW365" s="130"/>
      <c r="EX365" s="130"/>
      <c r="EY365" s="130"/>
      <c r="EZ365" s="130"/>
      <c r="FA365" s="130"/>
      <c r="FB365" s="130"/>
      <c r="FC365" s="130"/>
      <c r="FD365" s="130"/>
      <c r="FE365" s="130"/>
      <c r="FF365" s="130"/>
      <c r="FG365" s="130"/>
      <c r="FH365" s="130"/>
      <c r="FI365" s="130"/>
      <c r="FJ365" s="130"/>
      <c r="FK365" s="130"/>
      <c r="FL365" s="130"/>
      <c r="FM365" s="130"/>
      <c r="FN365" s="130"/>
      <c r="FO365" s="130"/>
      <c r="FP365" s="130"/>
      <c r="FQ365" s="130"/>
      <c r="FR365" s="130"/>
      <c r="FS365" s="130"/>
      <c r="FT365" s="130"/>
      <c r="FU365" s="130"/>
      <c r="FV365" s="130"/>
      <c r="FW365" s="130"/>
      <c r="FX365" s="130"/>
      <c r="FY365" s="130"/>
      <c r="FZ365" s="130"/>
      <c r="GA365" s="130"/>
      <c r="GB365" s="130"/>
      <c r="GC365" s="130"/>
      <c r="GD365" s="130"/>
      <c r="GE365" s="130"/>
      <c r="GF365" s="130"/>
      <c r="GG365" s="130"/>
      <c r="GH365" s="130"/>
      <c r="GI365" s="130"/>
      <c r="GJ365" s="130"/>
      <c r="GK365" s="130"/>
      <c r="GL365" s="130"/>
      <c r="GM365" s="130"/>
      <c r="GN365" s="130"/>
      <c r="GO365" s="130"/>
      <c r="GP365" s="130"/>
      <c r="GQ365" s="130"/>
      <c r="GR365" s="130"/>
      <c r="GS365" s="130"/>
      <c r="GT365" s="130"/>
      <c r="GU365" s="130"/>
      <c r="GV365" s="130"/>
      <c r="GW365" s="130"/>
      <c r="GX365" s="130"/>
      <c r="GY365" s="130"/>
      <c r="GZ365" s="130"/>
      <c r="HA365" s="130"/>
      <c r="HB365" s="130"/>
      <c r="HC365" s="130"/>
      <c r="HD365" s="130"/>
      <c r="HE365" s="130"/>
      <c r="HF365" s="130"/>
      <c r="HG365" s="130"/>
      <c r="HH365" s="130"/>
      <c r="HI365" s="130"/>
      <c r="HJ365" s="130"/>
      <c r="HK365" s="130"/>
      <c r="HL365" s="130"/>
      <c r="HM365" s="130"/>
      <c r="HN365" s="130"/>
      <c r="HO365" s="130"/>
      <c r="HP365" s="130"/>
      <c r="HQ365" s="130"/>
      <c r="HR365" s="130"/>
      <c r="HS365" s="130"/>
      <c r="HT365" s="130"/>
      <c r="HU365" s="130"/>
      <c r="HV365" s="130"/>
      <c r="HW365" s="130"/>
      <c r="HX365" s="130"/>
      <c r="HY365" s="130"/>
      <c r="HZ365" s="130"/>
      <c r="IA365" s="130"/>
      <c r="IB365" s="130"/>
      <c r="IC365" s="130"/>
      <c r="ID365" s="130"/>
      <c r="IE365" s="130"/>
      <c r="IF365" s="130"/>
      <c r="IG365" s="130"/>
      <c r="IH365" s="130"/>
      <c r="II365" s="130"/>
      <c r="IJ365" s="130"/>
      <c r="IK365" s="130"/>
      <c r="IL365" s="130"/>
      <c r="IM365" s="130"/>
      <c r="IN365" s="130"/>
      <c r="IO365" s="130"/>
      <c r="IP365" s="130"/>
      <c r="IQ365" s="130"/>
      <c r="IR365" s="130"/>
      <c r="IS365" s="130"/>
      <c r="IT365" s="130"/>
      <c r="IU365" s="130"/>
      <c r="IV365" s="130"/>
    </row>
    <row r="366" spans="1:256">
      <c r="A366" s="824"/>
      <c r="B366" s="827"/>
      <c r="C366" s="157" t="s">
        <v>1</v>
      </c>
      <c r="D366" s="158">
        <f t="shared" si="172"/>
        <v>217422</v>
      </c>
      <c r="E366" s="159">
        <f t="shared" si="173"/>
        <v>17422</v>
      </c>
      <c r="F366" s="159">
        <f t="shared" si="174"/>
        <v>0</v>
      </c>
      <c r="G366" s="159"/>
      <c r="H366" s="159"/>
      <c r="I366" s="159">
        <v>17422</v>
      </c>
      <c r="J366" s="159"/>
      <c r="K366" s="159"/>
      <c r="L366" s="159"/>
      <c r="M366" s="159">
        <f t="shared" si="175"/>
        <v>200000</v>
      </c>
      <c r="N366" s="159">
        <v>200000</v>
      </c>
      <c r="O366" s="159"/>
      <c r="P366" s="159"/>
      <c r="Q366" s="166"/>
      <c r="R366" s="166"/>
      <c r="S366" s="166"/>
      <c r="T366" s="166"/>
      <c r="U366" s="166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0"/>
      <c r="BW366" s="130"/>
      <c r="BX366" s="130"/>
      <c r="BY366" s="130"/>
      <c r="BZ366" s="130"/>
      <c r="CA366" s="130"/>
      <c r="CB366" s="130"/>
      <c r="CC366" s="130"/>
      <c r="CD366" s="130"/>
      <c r="CE366" s="130"/>
      <c r="CF366" s="130"/>
      <c r="CG366" s="130"/>
      <c r="CH366" s="130"/>
      <c r="CI366" s="130"/>
      <c r="CJ366" s="130"/>
      <c r="CK366" s="130"/>
      <c r="CL366" s="130"/>
      <c r="CM366" s="130"/>
      <c r="CN366" s="130"/>
      <c r="CO366" s="130"/>
      <c r="CP366" s="130"/>
      <c r="CQ366" s="130"/>
      <c r="CR366" s="130"/>
      <c r="CS366" s="130"/>
      <c r="CT366" s="130"/>
      <c r="CU366" s="130"/>
      <c r="CV366" s="130"/>
      <c r="CW366" s="130"/>
      <c r="CX366" s="130"/>
      <c r="CY366" s="130"/>
      <c r="CZ366" s="130"/>
      <c r="DA366" s="130"/>
      <c r="DB366" s="130"/>
      <c r="DC366" s="130"/>
      <c r="DD366" s="130"/>
      <c r="DE366" s="130"/>
      <c r="DF366" s="130"/>
      <c r="DG366" s="130"/>
      <c r="DH366" s="130"/>
      <c r="DI366" s="130"/>
      <c r="DJ366" s="130"/>
      <c r="DK366" s="130"/>
      <c r="DL366" s="130"/>
      <c r="DM366" s="130"/>
      <c r="DN366" s="130"/>
      <c r="DO366" s="130"/>
      <c r="DP366" s="130"/>
      <c r="DQ366" s="130"/>
      <c r="DR366" s="130"/>
      <c r="DS366" s="130"/>
      <c r="DT366" s="130"/>
      <c r="DU366" s="130"/>
      <c r="DV366" s="130"/>
      <c r="DW366" s="130"/>
      <c r="DX366" s="130"/>
      <c r="DY366" s="130"/>
      <c r="DZ366" s="130"/>
      <c r="EA366" s="130"/>
      <c r="EB366" s="130"/>
      <c r="EC366" s="130"/>
      <c r="ED366" s="130"/>
      <c r="EE366" s="130"/>
      <c r="EF366" s="130"/>
      <c r="EG366" s="130"/>
      <c r="EH366" s="130"/>
      <c r="EI366" s="130"/>
      <c r="EJ366" s="130"/>
      <c r="EK366" s="130"/>
      <c r="EL366" s="130"/>
      <c r="EM366" s="130"/>
      <c r="EN366" s="130"/>
      <c r="EO366" s="130"/>
      <c r="EP366" s="130"/>
      <c r="EQ366" s="130"/>
      <c r="ER366" s="130"/>
      <c r="ES366" s="130"/>
      <c r="ET366" s="130"/>
      <c r="EU366" s="130"/>
      <c r="EV366" s="130"/>
      <c r="EW366" s="130"/>
      <c r="EX366" s="130"/>
      <c r="EY366" s="130"/>
      <c r="EZ366" s="130"/>
      <c r="FA366" s="130"/>
      <c r="FB366" s="130"/>
      <c r="FC366" s="130"/>
      <c r="FD366" s="130"/>
      <c r="FE366" s="130"/>
      <c r="FF366" s="130"/>
      <c r="FG366" s="130"/>
      <c r="FH366" s="130"/>
      <c r="FI366" s="130"/>
      <c r="FJ366" s="130"/>
      <c r="FK366" s="130"/>
      <c r="FL366" s="130"/>
      <c r="FM366" s="130"/>
      <c r="FN366" s="130"/>
      <c r="FO366" s="130"/>
      <c r="FP366" s="130"/>
      <c r="FQ366" s="130"/>
      <c r="FR366" s="130"/>
      <c r="FS366" s="130"/>
      <c r="FT366" s="130"/>
      <c r="FU366" s="130"/>
      <c r="FV366" s="130"/>
      <c r="FW366" s="130"/>
      <c r="FX366" s="130"/>
      <c r="FY366" s="130"/>
      <c r="FZ366" s="130"/>
      <c r="GA366" s="130"/>
      <c r="GB366" s="130"/>
      <c r="GC366" s="130"/>
      <c r="GD366" s="130"/>
      <c r="GE366" s="130"/>
      <c r="GF366" s="130"/>
      <c r="GG366" s="130"/>
      <c r="GH366" s="130"/>
      <c r="GI366" s="130"/>
      <c r="GJ366" s="130"/>
      <c r="GK366" s="130"/>
      <c r="GL366" s="130"/>
      <c r="GM366" s="130"/>
      <c r="GN366" s="130"/>
      <c r="GO366" s="130"/>
      <c r="GP366" s="130"/>
      <c r="GQ366" s="130"/>
      <c r="GR366" s="130"/>
      <c r="GS366" s="130"/>
      <c r="GT366" s="130"/>
      <c r="GU366" s="130"/>
      <c r="GV366" s="130"/>
      <c r="GW366" s="130"/>
      <c r="GX366" s="130"/>
      <c r="GY366" s="130"/>
      <c r="GZ366" s="130"/>
      <c r="HA366" s="130"/>
      <c r="HB366" s="130"/>
      <c r="HC366" s="130"/>
      <c r="HD366" s="130"/>
      <c r="HE366" s="130"/>
      <c r="HF366" s="130"/>
      <c r="HG366" s="130"/>
      <c r="HH366" s="130"/>
      <c r="HI366" s="130"/>
      <c r="HJ366" s="130"/>
      <c r="HK366" s="130"/>
      <c r="HL366" s="130"/>
      <c r="HM366" s="130"/>
      <c r="HN366" s="130"/>
      <c r="HO366" s="130"/>
      <c r="HP366" s="130"/>
      <c r="HQ366" s="130"/>
      <c r="HR366" s="130"/>
      <c r="HS366" s="130"/>
      <c r="HT366" s="130"/>
      <c r="HU366" s="130"/>
      <c r="HV366" s="130"/>
      <c r="HW366" s="130"/>
      <c r="HX366" s="130"/>
      <c r="HY366" s="130"/>
      <c r="HZ366" s="130"/>
      <c r="IA366" s="130"/>
      <c r="IB366" s="130"/>
      <c r="IC366" s="130"/>
      <c r="ID366" s="130"/>
      <c r="IE366" s="130"/>
      <c r="IF366" s="130"/>
      <c r="IG366" s="130"/>
      <c r="IH366" s="130"/>
      <c r="II366" s="130"/>
      <c r="IJ366" s="130"/>
      <c r="IK366" s="130"/>
      <c r="IL366" s="130"/>
      <c r="IM366" s="130"/>
      <c r="IN366" s="130"/>
      <c r="IO366" s="130"/>
      <c r="IP366" s="130"/>
      <c r="IQ366" s="130"/>
      <c r="IR366" s="130"/>
      <c r="IS366" s="130"/>
      <c r="IT366" s="130"/>
      <c r="IU366" s="130"/>
      <c r="IV366" s="130"/>
    </row>
    <row r="367" spans="1:256">
      <c r="A367" s="825"/>
      <c r="B367" s="828"/>
      <c r="C367" s="157" t="s">
        <v>2</v>
      </c>
      <c r="D367" s="158">
        <f>D366+D365</f>
        <v>5457178</v>
      </c>
      <c r="E367" s="159">
        <f t="shared" ref="E367:P367" si="179">E366+E365</f>
        <v>5121422</v>
      </c>
      <c r="F367" s="159">
        <f t="shared" si="179"/>
        <v>0</v>
      </c>
      <c r="G367" s="159">
        <f t="shared" si="179"/>
        <v>0</v>
      </c>
      <c r="H367" s="159">
        <f t="shared" si="179"/>
        <v>0</v>
      </c>
      <c r="I367" s="159">
        <f t="shared" si="179"/>
        <v>5121422</v>
      </c>
      <c r="J367" s="159">
        <f t="shared" si="179"/>
        <v>0</v>
      </c>
      <c r="K367" s="159">
        <f t="shared" si="179"/>
        <v>0</v>
      </c>
      <c r="L367" s="159">
        <f t="shared" si="179"/>
        <v>0</v>
      </c>
      <c r="M367" s="159">
        <f t="shared" si="179"/>
        <v>335756</v>
      </c>
      <c r="N367" s="159">
        <f t="shared" si="179"/>
        <v>335756</v>
      </c>
      <c r="O367" s="159">
        <f t="shared" si="179"/>
        <v>0</v>
      </c>
      <c r="P367" s="159">
        <f t="shared" si="179"/>
        <v>0</v>
      </c>
      <c r="Q367" s="166"/>
      <c r="R367" s="166"/>
      <c r="S367" s="166"/>
      <c r="T367" s="166"/>
      <c r="U367" s="166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0"/>
      <c r="BW367" s="130"/>
      <c r="BX367" s="130"/>
      <c r="BY367" s="130"/>
      <c r="BZ367" s="130"/>
      <c r="CA367" s="130"/>
      <c r="CB367" s="130"/>
      <c r="CC367" s="130"/>
      <c r="CD367" s="130"/>
      <c r="CE367" s="130"/>
      <c r="CF367" s="130"/>
      <c r="CG367" s="130"/>
      <c r="CH367" s="130"/>
      <c r="CI367" s="130"/>
      <c r="CJ367" s="130"/>
      <c r="CK367" s="130"/>
      <c r="CL367" s="130"/>
      <c r="CM367" s="130"/>
      <c r="CN367" s="130"/>
      <c r="CO367" s="130"/>
      <c r="CP367" s="130"/>
      <c r="CQ367" s="130"/>
      <c r="CR367" s="130"/>
      <c r="CS367" s="130"/>
      <c r="CT367" s="130"/>
      <c r="CU367" s="130"/>
      <c r="CV367" s="130"/>
      <c r="CW367" s="130"/>
      <c r="CX367" s="130"/>
      <c r="CY367" s="130"/>
      <c r="CZ367" s="130"/>
      <c r="DA367" s="130"/>
      <c r="DB367" s="130"/>
      <c r="DC367" s="130"/>
      <c r="DD367" s="130"/>
      <c r="DE367" s="130"/>
      <c r="DF367" s="130"/>
      <c r="DG367" s="130"/>
      <c r="DH367" s="130"/>
      <c r="DI367" s="130"/>
      <c r="DJ367" s="130"/>
      <c r="DK367" s="130"/>
      <c r="DL367" s="130"/>
      <c r="DM367" s="130"/>
      <c r="DN367" s="130"/>
      <c r="DO367" s="130"/>
      <c r="DP367" s="130"/>
      <c r="DQ367" s="130"/>
      <c r="DR367" s="130"/>
      <c r="DS367" s="130"/>
      <c r="DT367" s="130"/>
      <c r="DU367" s="130"/>
      <c r="DV367" s="130"/>
      <c r="DW367" s="130"/>
      <c r="DX367" s="130"/>
      <c r="DY367" s="130"/>
      <c r="DZ367" s="130"/>
      <c r="EA367" s="130"/>
      <c r="EB367" s="130"/>
      <c r="EC367" s="130"/>
      <c r="ED367" s="130"/>
      <c r="EE367" s="130"/>
      <c r="EF367" s="130"/>
      <c r="EG367" s="130"/>
      <c r="EH367" s="130"/>
      <c r="EI367" s="130"/>
      <c r="EJ367" s="130"/>
      <c r="EK367" s="130"/>
      <c r="EL367" s="130"/>
      <c r="EM367" s="130"/>
      <c r="EN367" s="130"/>
      <c r="EO367" s="130"/>
      <c r="EP367" s="130"/>
      <c r="EQ367" s="130"/>
      <c r="ER367" s="130"/>
      <c r="ES367" s="130"/>
      <c r="ET367" s="130"/>
      <c r="EU367" s="130"/>
      <c r="EV367" s="130"/>
      <c r="EW367" s="130"/>
      <c r="EX367" s="130"/>
      <c r="EY367" s="130"/>
      <c r="EZ367" s="130"/>
      <c r="FA367" s="130"/>
      <c r="FB367" s="130"/>
      <c r="FC367" s="130"/>
      <c r="FD367" s="130"/>
      <c r="FE367" s="130"/>
      <c r="FF367" s="130"/>
      <c r="FG367" s="130"/>
      <c r="FH367" s="130"/>
      <c r="FI367" s="130"/>
      <c r="FJ367" s="130"/>
      <c r="FK367" s="130"/>
      <c r="FL367" s="130"/>
      <c r="FM367" s="130"/>
      <c r="FN367" s="130"/>
      <c r="FO367" s="130"/>
      <c r="FP367" s="130"/>
      <c r="FQ367" s="130"/>
      <c r="FR367" s="130"/>
      <c r="FS367" s="130"/>
      <c r="FT367" s="130"/>
      <c r="FU367" s="130"/>
      <c r="FV367" s="130"/>
      <c r="FW367" s="130"/>
      <c r="FX367" s="130"/>
      <c r="FY367" s="130"/>
      <c r="FZ367" s="130"/>
      <c r="GA367" s="130"/>
      <c r="GB367" s="130"/>
      <c r="GC367" s="130"/>
      <c r="GD367" s="130"/>
      <c r="GE367" s="130"/>
      <c r="GF367" s="130"/>
      <c r="GG367" s="130"/>
      <c r="GH367" s="130"/>
      <c r="GI367" s="130"/>
      <c r="GJ367" s="130"/>
      <c r="GK367" s="130"/>
      <c r="GL367" s="130"/>
      <c r="GM367" s="130"/>
      <c r="GN367" s="130"/>
      <c r="GO367" s="130"/>
      <c r="GP367" s="130"/>
      <c r="GQ367" s="130"/>
      <c r="GR367" s="130"/>
      <c r="GS367" s="130"/>
      <c r="GT367" s="130"/>
      <c r="GU367" s="130"/>
      <c r="GV367" s="130"/>
      <c r="GW367" s="130"/>
      <c r="GX367" s="130"/>
      <c r="GY367" s="130"/>
      <c r="GZ367" s="130"/>
      <c r="HA367" s="130"/>
      <c r="HB367" s="130"/>
      <c r="HC367" s="130"/>
      <c r="HD367" s="130"/>
      <c r="HE367" s="130"/>
      <c r="HF367" s="130"/>
      <c r="HG367" s="130"/>
      <c r="HH367" s="130"/>
      <c r="HI367" s="130"/>
      <c r="HJ367" s="130"/>
      <c r="HK367" s="130"/>
      <c r="HL367" s="130"/>
      <c r="HM367" s="130"/>
      <c r="HN367" s="130"/>
      <c r="HO367" s="130"/>
      <c r="HP367" s="130"/>
      <c r="HQ367" s="130"/>
      <c r="HR367" s="130"/>
      <c r="HS367" s="130"/>
      <c r="HT367" s="130"/>
      <c r="HU367" s="130"/>
      <c r="HV367" s="130"/>
      <c r="HW367" s="130"/>
      <c r="HX367" s="130"/>
      <c r="HY367" s="130"/>
      <c r="HZ367" s="130"/>
      <c r="IA367" s="130"/>
      <c r="IB367" s="130"/>
      <c r="IC367" s="130"/>
      <c r="ID367" s="130"/>
      <c r="IE367" s="130"/>
      <c r="IF367" s="130"/>
      <c r="IG367" s="130"/>
      <c r="IH367" s="130"/>
      <c r="II367" s="130"/>
      <c r="IJ367" s="130"/>
      <c r="IK367" s="130"/>
      <c r="IL367" s="130"/>
      <c r="IM367" s="130"/>
      <c r="IN367" s="130"/>
      <c r="IO367" s="130"/>
      <c r="IP367" s="130"/>
      <c r="IQ367" s="130"/>
      <c r="IR367" s="130"/>
      <c r="IS367" s="130"/>
      <c r="IT367" s="130"/>
      <c r="IU367" s="130"/>
      <c r="IV367" s="130"/>
    </row>
    <row r="368" spans="1:256" hidden="1">
      <c r="A368" s="823">
        <v>92113</v>
      </c>
      <c r="B368" s="826" t="s">
        <v>282</v>
      </c>
      <c r="C368" s="157" t="s">
        <v>0</v>
      </c>
      <c r="D368" s="158">
        <f t="shared" si="172"/>
        <v>2000000</v>
      </c>
      <c r="E368" s="159">
        <f t="shared" si="173"/>
        <v>2000000</v>
      </c>
      <c r="F368" s="159">
        <f t="shared" si="174"/>
        <v>0</v>
      </c>
      <c r="G368" s="159">
        <v>0</v>
      </c>
      <c r="H368" s="159">
        <v>0</v>
      </c>
      <c r="I368" s="159">
        <v>2000000</v>
      </c>
      <c r="J368" s="159">
        <v>0</v>
      </c>
      <c r="K368" s="159">
        <v>0</v>
      </c>
      <c r="L368" s="159">
        <v>0</v>
      </c>
      <c r="M368" s="159">
        <f t="shared" si="175"/>
        <v>0</v>
      </c>
      <c r="N368" s="159">
        <v>0</v>
      </c>
      <c r="O368" s="159">
        <v>0</v>
      </c>
      <c r="P368" s="159">
        <v>0</v>
      </c>
      <c r="Q368" s="166"/>
      <c r="R368" s="166"/>
      <c r="S368" s="166"/>
      <c r="T368" s="166"/>
      <c r="U368" s="166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0"/>
      <c r="BW368" s="130"/>
      <c r="BX368" s="130"/>
      <c r="BY368" s="130"/>
      <c r="BZ368" s="130"/>
      <c r="CA368" s="130"/>
      <c r="CB368" s="130"/>
      <c r="CC368" s="130"/>
      <c r="CD368" s="130"/>
      <c r="CE368" s="130"/>
      <c r="CF368" s="130"/>
      <c r="CG368" s="130"/>
      <c r="CH368" s="130"/>
      <c r="CI368" s="130"/>
      <c r="CJ368" s="130"/>
      <c r="CK368" s="130"/>
      <c r="CL368" s="130"/>
      <c r="CM368" s="130"/>
      <c r="CN368" s="130"/>
      <c r="CO368" s="130"/>
      <c r="CP368" s="130"/>
      <c r="CQ368" s="130"/>
      <c r="CR368" s="130"/>
      <c r="CS368" s="130"/>
      <c r="CT368" s="130"/>
      <c r="CU368" s="130"/>
      <c r="CV368" s="130"/>
      <c r="CW368" s="130"/>
      <c r="CX368" s="130"/>
      <c r="CY368" s="130"/>
      <c r="CZ368" s="130"/>
      <c r="DA368" s="130"/>
      <c r="DB368" s="130"/>
      <c r="DC368" s="130"/>
      <c r="DD368" s="130"/>
      <c r="DE368" s="130"/>
      <c r="DF368" s="130"/>
      <c r="DG368" s="130"/>
      <c r="DH368" s="130"/>
      <c r="DI368" s="130"/>
      <c r="DJ368" s="130"/>
      <c r="DK368" s="130"/>
      <c r="DL368" s="130"/>
      <c r="DM368" s="130"/>
      <c r="DN368" s="130"/>
      <c r="DO368" s="130"/>
      <c r="DP368" s="130"/>
      <c r="DQ368" s="130"/>
      <c r="DR368" s="130"/>
      <c r="DS368" s="130"/>
      <c r="DT368" s="130"/>
      <c r="DU368" s="130"/>
      <c r="DV368" s="130"/>
      <c r="DW368" s="130"/>
      <c r="DX368" s="130"/>
      <c r="DY368" s="130"/>
      <c r="DZ368" s="130"/>
      <c r="EA368" s="130"/>
      <c r="EB368" s="130"/>
      <c r="EC368" s="130"/>
      <c r="ED368" s="130"/>
      <c r="EE368" s="130"/>
      <c r="EF368" s="130"/>
      <c r="EG368" s="130"/>
      <c r="EH368" s="130"/>
      <c r="EI368" s="130"/>
      <c r="EJ368" s="130"/>
      <c r="EK368" s="130"/>
      <c r="EL368" s="130"/>
      <c r="EM368" s="130"/>
      <c r="EN368" s="130"/>
      <c r="EO368" s="130"/>
      <c r="EP368" s="130"/>
      <c r="EQ368" s="130"/>
      <c r="ER368" s="130"/>
      <c r="ES368" s="130"/>
      <c r="ET368" s="130"/>
      <c r="EU368" s="130"/>
      <c r="EV368" s="130"/>
      <c r="EW368" s="130"/>
      <c r="EX368" s="130"/>
      <c r="EY368" s="130"/>
      <c r="EZ368" s="130"/>
      <c r="FA368" s="130"/>
      <c r="FB368" s="130"/>
      <c r="FC368" s="130"/>
      <c r="FD368" s="130"/>
      <c r="FE368" s="130"/>
      <c r="FF368" s="130"/>
      <c r="FG368" s="130"/>
      <c r="FH368" s="130"/>
      <c r="FI368" s="130"/>
      <c r="FJ368" s="130"/>
      <c r="FK368" s="130"/>
      <c r="FL368" s="130"/>
      <c r="FM368" s="130"/>
      <c r="FN368" s="130"/>
      <c r="FO368" s="130"/>
      <c r="FP368" s="130"/>
      <c r="FQ368" s="130"/>
      <c r="FR368" s="130"/>
      <c r="FS368" s="130"/>
      <c r="FT368" s="130"/>
      <c r="FU368" s="130"/>
      <c r="FV368" s="130"/>
      <c r="FW368" s="130"/>
      <c r="FX368" s="130"/>
      <c r="FY368" s="130"/>
      <c r="FZ368" s="130"/>
      <c r="GA368" s="130"/>
      <c r="GB368" s="130"/>
      <c r="GC368" s="130"/>
      <c r="GD368" s="130"/>
      <c r="GE368" s="130"/>
      <c r="GF368" s="130"/>
      <c r="GG368" s="130"/>
      <c r="GH368" s="130"/>
      <c r="GI368" s="130"/>
      <c r="GJ368" s="130"/>
      <c r="GK368" s="130"/>
      <c r="GL368" s="130"/>
      <c r="GM368" s="130"/>
      <c r="GN368" s="130"/>
      <c r="GO368" s="130"/>
      <c r="GP368" s="130"/>
      <c r="GQ368" s="130"/>
      <c r="GR368" s="130"/>
      <c r="GS368" s="130"/>
      <c r="GT368" s="130"/>
      <c r="GU368" s="130"/>
      <c r="GV368" s="130"/>
      <c r="GW368" s="130"/>
      <c r="GX368" s="130"/>
      <c r="GY368" s="130"/>
      <c r="GZ368" s="130"/>
      <c r="HA368" s="130"/>
      <c r="HB368" s="130"/>
      <c r="HC368" s="130"/>
      <c r="HD368" s="130"/>
      <c r="HE368" s="130"/>
      <c r="HF368" s="130"/>
      <c r="HG368" s="130"/>
      <c r="HH368" s="130"/>
      <c r="HI368" s="130"/>
      <c r="HJ368" s="130"/>
      <c r="HK368" s="130"/>
      <c r="HL368" s="130"/>
      <c r="HM368" s="130"/>
      <c r="HN368" s="130"/>
      <c r="HO368" s="130"/>
      <c r="HP368" s="130"/>
      <c r="HQ368" s="130"/>
      <c r="HR368" s="130"/>
      <c r="HS368" s="130"/>
      <c r="HT368" s="130"/>
      <c r="HU368" s="130"/>
      <c r="HV368" s="130"/>
      <c r="HW368" s="130"/>
      <c r="HX368" s="130"/>
      <c r="HY368" s="130"/>
      <c r="HZ368" s="130"/>
      <c r="IA368" s="130"/>
      <c r="IB368" s="130"/>
      <c r="IC368" s="130"/>
      <c r="ID368" s="130"/>
      <c r="IE368" s="130"/>
      <c r="IF368" s="130"/>
      <c r="IG368" s="130"/>
      <c r="IH368" s="130"/>
      <c r="II368" s="130"/>
      <c r="IJ368" s="130"/>
      <c r="IK368" s="130"/>
      <c r="IL368" s="130"/>
      <c r="IM368" s="130"/>
      <c r="IN368" s="130"/>
      <c r="IO368" s="130"/>
      <c r="IP368" s="130"/>
      <c r="IQ368" s="130"/>
      <c r="IR368" s="130"/>
      <c r="IS368" s="130"/>
      <c r="IT368" s="130"/>
      <c r="IU368" s="130"/>
      <c r="IV368" s="130"/>
    </row>
    <row r="369" spans="1:256" hidden="1">
      <c r="A369" s="824"/>
      <c r="B369" s="827"/>
      <c r="C369" s="157" t="s">
        <v>1</v>
      </c>
      <c r="D369" s="158">
        <f t="shared" si="172"/>
        <v>0</v>
      </c>
      <c r="E369" s="159">
        <f t="shared" si="173"/>
        <v>0</v>
      </c>
      <c r="F369" s="159">
        <f t="shared" si="174"/>
        <v>0</v>
      </c>
      <c r="G369" s="159"/>
      <c r="H369" s="159"/>
      <c r="I369" s="159"/>
      <c r="J369" s="159"/>
      <c r="K369" s="159"/>
      <c r="L369" s="159"/>
      <c r="M369" s="159">
        <f t="shared" si="175"/>
        <v>0</v>
      </c>
      <c r="N369" s="159"/>
      <c r="O369" s="159"/>
      <c r="P369" s="159"/>
      <c r="Q369" s="166"/>
      <c r="R369" s="166"/>
      <c r="S369" s="166"/>
      <c r="T369" s="166"/>
      <c r="U369" s="166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  <c r="BQ369" s="130"/>
      <c r="BR369" s="130"/>
      <c r="BS369" s="130"/>
      <c r="BT369" s="130"/>
      <c r="BU369" s="130"/>
      <c r="BV369" s="130"/>
      <c r="BW369" s="130"/>
      <c r="BX369" s="130"/>
      <c r="BY369" s="130"/>
      <c r="BZ369" s="130"/>
      <c r="CA369" s="130"/>
      <c r="CB369" s="130"/>
      <c r="CC369" s="130"/>
      <c r="CD369" s="130"/>
      <c r="CE369" s="130"/>
      <c r="CF369" s="130"/>
      <c r="CG369" s="130"/>
      <c r="CH369" s="130"/>
      <c r="CI369" s="130"/>
      <c r="CJ369" s="130"/>
      <c r="CK369" s="130"/>
      <c r="CL369" s="130"/>
      <c r="CM369" s="130"/>
      <c r="CN369" s="130"/>
      <c r="CO369" s="130"/>
      <c r="CP369" s="130"/>
      <c r="CQ369" s="130"/>
      <c r="CR369" s="130"/>
      <c r="CS369" s="130"/>
      <c r="CT369" s="130"/>
      <c r="CU369" s="130"/>
      <c r="CV369" s="130"/>
      <c r="CW369" s="130"/>
      <c r="CX369" s="130"/>
      <c r="CY369" s="130"/>
      <c r="CZ369" s="130"/>
      <c r="DA369" s="130"/>
      <c r="DB369" s="130"/>
      <c r="DC369" s="130"/>
      <c r="DD369" s="130"/>
      <c r="DE369" s="130"/>
      <c r="DF369" s="130"/>
      <c r="DG369" s="130"/>
      <c r="DH369" s="130"/>
      <c r="DI369" s="130"/>
      <c r="DJ369" s="130"/>
      <c r="DK369" s="130"/>
      <c r="DL369" s="130"/>
      <c r="DM369" s="130"/>
      <c r="DN369" s="130"/>
      <c r="DO369" s="130"/>
      <c r="DP369" s="130"/>
      <c r="DQ369" s="130"/>
      <c r="DR369" s="130"/>
      <c r="DS369" s="130"/>
      <c r="DT369" s="130"/>
      <c r="DU369" s="130"/>
      <c r="DV369" s="130"/>
      <c r="DW369" s="130"/>
      <c r="DX369" s="130"/>
      <c r="DY369" s="130"/>
      <c r="DZ369" s="130"/>
      <c r="EA369" s="130"/>
      <c r="EB369" s="130"/>
      <c r="EC369" s="130"/>
      <c r="ED369" s="130"/>
      <c r="EE369" s="130"/>
      <c r="EF369" s="130"/>
      <c r="EG369" s="130"/>
      <c r="EH369" s="130"/>
      <c r="EI369" s="130"/>
      <c r="EJ369" s="130"/>
      <c r="EK369" s="130"/>
      <c r="EL369" s="130"/>
      <c r="EM369" s="130"/>
      <c r="EN369" s="130"/>
      <c r="EO369" s="130"/>
      <c r="EP369" s="130"/>
      <c r="EQ369" s="130"/>
      <c r="ER369" s="130"/>
      <c r="ES369" s="130"/>
      <c r="ET369" s="130"/>
      <c r="EU369" s="130"/>
      <c r="EV369" s="130"/>
      <c r="EW369" s="130"/>
      <c r="EX369" s="130"/>
      <c r="EY369" s="130"/>
      <c r="EZ369" s="130"/>
      <c r="FA369" s="130"/>
      <c r="FB369" s="130"/>
      <c r="FC369" s="130"/>
      <c r="FD369" s="130"/>
      <c r="FE369" s="130"/>
      <c r="FF369" s="130"/>
      <c r="FG369" s="130"/>
      <c r="FH369" s="130"/>
      <c r="FI369" s="130"/>
      <c r="FJ369" s="130"/>
      <c r="FK369" s="130"/>
      <c r="FL369" s="130"/>
      <c r="FM369" s="130"/>
      <c r="FN369" s="130"/>
      <c r="FO369" s="130"/>
      <c r="FP369" s="130"/>
      <c r="FQ369" s="130"/>
      <c r="FR369" s="130"/>
      <c r="FS369" s="130"/>
      <c r="FT369" s="130"/>
      <c r="FU369" s="130"/>
      <c r="FV369" s="130"/>
      <c r="FW369" s="130"/>
      <c r="FX369" s="130"/>
      <c r="FY369" s="130"/>
      <c r="FZ369" s="130"/>
      <c r="GA369" s="130"/>
      <c r="GB369" s="130"/>
      <c r="GC369" s="130"/>
      <c r="GD369" s="130"/>
      <c r="GE369" s="130"/>
      <c r="GF369" s="130"/>
      <c r="GG369" s="130"/>
      <c r="GH369" s="130"/>
      <c r="GI369" s="130"/>
      <c r="GJ369" s="130"/>
      <c r="GK369" s="130"/>
      <c r="GL369" s="130"/>
      <c r="GM369" s="130"/>
      <c r="GN369" s="130"/>
      <c r="GO369" s="130"/>
      <c r="GP369" s="130"/>
      <c r="GQ369" s="130"/>
      <c r="GR369" s="130"/>
      <c r="GS369" s="130"/>
      <c r="GT369" s="130"/>
      <c r="GU369" s="130"/>
      <c r="GV369" s="130"/>
      <c r="GW369" s="130"/>
      <c r="GX369" s="130"/>
      <c r="GY369" s="130"/>
      <c r="GZ369" s="130"/>
      <c r="HA369" s="130"/>
      <c r="HB369" s="130"/>
      <c r="HC369" s="130"/>
      <c r="HD369" s="130"/>
      <c r="HE369" s="130"/>
      <c r="HF369" s="130"/>
      <c r="HG369" s="130"/>
      <c r="HH369" s="130"/>
      <c r="HI369" s="130"/>
      <c r="HJ369" s="130"/>
      <c r="HK369" s="130"/>
      <c r="HL369" s="130"/>
      <c r="HM369" s="130"/>
      <c r="HN369" s="130"/>
      <c r="HO369" s="130"/>
      <c r="HP369" s="130"/>
      <c r="HQ369" s="130"/>
      <c r="HR369" s="130"/>
      <c r="HS369" s="130"/>
      <c r="HT369" s="130"/>
      <c r="HU369" s="130"/>
      <c r="HV369" s="130"/>
      <c r="HW369" s="130"/>
      <c r="HX369" s="130"/>
      <c r="HY369" s="130"/>
      <c r="HZ369" s="130"/>
      <c r="IA369" s="130"/>
      <c r="IB369" s="130"/>
      <c r="IC369" s="130"/>
      <c r="ID369" s="130"/>
      <c r="IE369" s="130"/>
      <c r="IF369" s="130"/>
      <c r="IG369" s="130"/>
      <c r="IH369" s="130"/>
      <c r="II369" s="130"/>
      <c r="IJ369" s="130"/>
      <c r="IK369" s="130"/>
      <c r="IL369" s="130"/>
      <c r="IM369" s="130"/>
      <c r="IN369" s="130"/>
      <c r="IO369" s="130"/>
      <c r="IP369" s="130"/>
      <c r="IQ369" s="130"/>
      <c r="IR369" s="130"/>
      <c r="IS369" s="130"/>
      <c r="IT369" s="130"/>
      <c r="IU369" s="130"/>
      <c r="IV369" s="130"/>
    </row>
    <row r="370" spans="1:256" hidden="1">
      <c r="A370" s="825"/>
      <c r="B370" s="828"/>
      <c r="C370" s="157" t="s">
        <v>2</v>
      </c>
      <c r="D370" s="158">
        <f>D369+D368</f>
        <v>2000000</v>
      </c>
      <c r="E370" s="159">
        <f t="shared" ref="E370:P370" si="180">E369+E368</f>
        <v>2000000</v>
      </c>
      <c r="F370" s="159">
        <f t="shared" si="180"/>
        <v>0</v>
      </c>
      <c r="G370" s="159">
        <f t="shared" si="180"/>
        <v>0</v>
      </c>
      <c r="H370" s="159">
        <f t="shared" si="180"/>
        <v>0</v>
      </c>
      <c r="I370" s="159">
        <f t="shared" si="180"/>
        <v>2000000</v>
      </c>
      <c r="J370" s="159">
        <f t="shared" si="180"/>
        <v>0</v>
      </c>
      <c r="K370" s="159">
        <f t="shared" si="180"/>
        <v>0</v>
      </c>
      <c r="L370" s="159">
        <f t="shared" si="180"/>
        <v>0</v>
      </c>
      <c r="M370" s="159">
        <f t="shared" si="180"/>
        <v>0</v>
      </c>
      <c r="N370" s="159">
        <f t="shared" si="180"/>
        <v>0</v>
      </c>
      <c r="O370" s="159">
        <f t="shared" si="180"/>
        <v>0</v>
      </c>
      <c r="P370" s="159">
        <f t="shared" si="180"/>
        <v>0</v>
      </c>
      <c r="Q370" s="166"/>
      <c r="R370" s="166"/>
      <c r="S370" s="166"/>
      <c r="T370" s="166"/>
      <c r="U370" s="166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0"/>
      <c r="BQ370" s="130"/>
      <c r="BR370" s="130"/>
      <c r="BS370" s="130"/>
      <c r="BT370" s="130"/>
      <c r="BU370" s="130"/>
      <c r="BV370" s="130"/>
      <c r="BW370" s="130"/>
      <c r="BX370" s="130"/>
      <c r="BY370" s="130"/>
      <c r="BZ370" s="130"/>
      <c r="CA370" s="130"/>
      <c r="CB370" s="130"/>
      <c r="CC370" s="130"/>
      <c r="CD370" s="130"/>
      <c r="CE370" s="130"/>
      <c r="CF370" s="130"/>
      <c r="CG370" s="130"/>
      <c r="CH370" s="130"/>
      <c r="CI370" s="130"/>
      <c r="CJ370" s="130"/>
      <c r="CK370" s="130"/>
      <c r="CL370" s="130"/>
      <c r="CM370" s="130"/>
      <c r="CN370" s="130"/>
      <c r="CO370" s="130"/>
      <c r="CP370" s="130"/>
      <c r="CQ370" s="130"/>
      <c r="CR370" s="130"/>
      <c r="CS370" s="130"/>
      <c r="CT370" s="130"/>
      <c r="CU370" s="130"/>
      <c r="CV370" s="130"/>
      <c r="CW370" s="130"/>
      <c r="CX370" s="130"/>
      <c r="CY370" s="130"/>
      <c r="CZ370" s="130"/>
      <c r="DA370" s="130"/>
      <c r="DB370" s="130"/>
      <c r="DC370" s="130"/>
      <c r="DD370" s="130"/>
      <c r="DE370" s="130"/>
      <c r="DF370" s="130"/>
      <c r="DG370" s="130"/>
      <c r="DH370" s="130"/>
      <c r="DI370" s="130"/>
      <c r="DJ370" s="130"/>
      <c r="DK370" s="130"/>
      <c r="DL370" s="130"/>
      <c r="DM370" s="130"/>
      <c r="DN370" s="130"/>
      <c r="DO370" s="130"/>
      <c r="DP370" s="130"/>
      <c r="DQ370" s="130"/>
      <c r="DR370" s="130"/>
      <c r="DS370" s="130"/>
      <c r="DT370" s="130"/>
      <c r="DU370" s="130"/>
      <c r="DV370" s="130"/>
      <c r="DW370" s="130"/>
      <c r="DX370" s="130"/>
      <c r="DY370" s="130"/>
      <c r="DZ370" s="130"/>
      <c r="EA370" s="130"/>
      <c r="EB370" s="130"/>
      <c r="EC370" s="130"/>
      <c r="ED370" s="130"/>
      <c r="EE370" s="130"/>
      <c r="EF370" s="130"/>
      <c r="EG370" s="130"/>
      <c r="EH370" s="130"/>
      <c r="EI370" s="130"/>
      <c r="EJ370" s="130"/>
      <c r="EK370" s="130"/>
      <c r="EL370" s="130"/>
      <c r="EM370" s="130"/>
      <c r="EN370" s="130"/>
      <c r="EO370" s="130"/>
      <c r="EP370" s="130"/>
      <c r="EQ370" s="130"/>
      <c r="ER370" s="130"/>
      <c r="ES370" s="130"/>
      <c r="ET370" s="130"/>
      <c r="EU370" s="130"/>
      <c r="EV370" s="130"/>
      <c r="EW370" s="130"/>
      <c r="EX370" s="130"/>
      <c r="EY370" s="130"/>
      <c r="EZ370" s="130"/>
      <c r="FA370" s="130"/>
      <c r="FB370" s="130"/>
      <c r="FC370" s="130"/>
      <c r="FD370" s="130"/>
      <c r="FE370" s="130"/>
      <c r="FF370" s="130"/>
      <c r="FG370" s="130"/>
      <c r="FH370" s="130"/>
      <c r="FI370" s="130"/>
      <c r="FJ370" s="130"/>
      <c r="FK370" s="130"/>
      <c r="FL370" s="130"/>
      <c r="FM370" s="130"/>
      <c r="FN370" s="130"/>
      <c r="FO370" s="130"/>
      <c r="FP370" s="130"/>
      <c r="FQ370" s="130"/>
      <c r="FR370" s="130"/>
      <c r="FS370" s="130"/>
      <c r="FT370" s="130"/>
      <c r="FU370" s="130"/>
      <c r="FV370" s="130"/>
      <c r="FW370" s="130"/>
      <c r="FX370" s="130"/>
      <c r="FY370" s="130"/>
      <c r="FZ370" s="130"/>
      <c r="GA370" s="130"/>
      <c r="GB370" s="130"/>
      <c r="GC370" s="130"/>
      <c r="GD370" s="130"/>
      <c r="GE370" s="130"/>
      <c r="GF370" s="130"/>
      <c r="GG370" s="130"/>
      <c r="GH370" s="130"/>
      <c r="GI370" s="130"/>
      <c r="GJ370" s="130"/>
      <c r="GK370" s="130"/>
      <c r="GL370" s="130"/>
      <c r="GM370" s="130"/>
      <c r="GN370" s="130"/>
      <c r="GO370" s="130"/>
      <c r="GP370" s="130"/>
      <c r="GQ370" s="130"/>
      <c r="GR370" s="130"/>
      <c r="GS370" s="130"/>
      <c r="GT370" s="130"/>
      <c r="GU370" s="130"/>
      <c r="GV370" s="130"/>
      <c r="GW370" s="130"/>
      <c r="GX370" s="130"/>
      <c r="GY370" s="130"/>
      <c r="GZ370" s="130"/>
      <c r="HA370" s="130"/>
      <c r="HB370" s="130"/>
      <c r="HC370" s="130"/>
      <c r="HD370" s="130"/>
      <c r="HE370" s="130"/>
      <c r="HF370" s="130"/>
      <c r="HG370" s="130"/>
      <c r="HH370" s="130"/>
      <c r="HI370" s="130"/>
      <c r="HJ370" s="130"/>
      <c r="HK370" s="130"/>
      <c r="HL370" s="130"/>
      <c r="HM370" s="130"/>
      <c r="HN370" s="130"/>
      <c r="HO370" s="130"/>
      <c r="HP370" s="130"/>
      <c r="HQ370" s="130"/>
      <c r="HR370" s="130"/>
      <c r="HS370" s="130"/>
      <c r="HT370" s="130"/>
      <c r="HU370" s="130"/>
      <c r="HV370" s="130"/>
      <c r="HW370" s="130"/>
      <c r="HX370" s="130"/>
      <c r="HY370" s="130"/>
      <c r="HZ370" s="130"/>
      <c r="IA370" s="130"/>
      <c r="IB370" s="130"/>
      <c r="IC370" s="130"/>
      <c r="ID370" s="130"/>
      <c r="IE370" s="130"/>
      <c r="IF370" s="130"/>
      <c r="IG370" s="130"/>
      <c r="IH370" s="130"/>
      <c r="II370" s="130"/>
      <c r="IJ370" s="130"/>
      <c r="IK370" s="130"/>
      <c r="IL370" s="130"/>
      <c r="IM370" s="130"/>
      <c r="IN370" s="130"/>
      <c r="IO370" s="130"/>
      <c r="IP370" s="130"/>
      <c r="IQ370" s="130"/>
      <c r="IR370" s="130"/>
      <c r="IS370" s="130"/>
      <c r="IT370" s="130"/>
      <c r="IU370" s="130"/>
      <c r="IV370" s="130"/>
    </row>
    <row r="371" spans="1:256">
      <c r="A371" s="823">
        <v>92116</v>
      </c>
      <c r="B371" s="826" t="s">
        <v>283</v>
      </c>
      <c r="C371" s="157" t="s">
        <v>0</v>
      </c>
      <c r="D371" s="158">
        <f t="shared" si="172"/>
        <v>49276898</v>
      </c>
      <c r="E371" s="159">
        <f t="shared" si="173"/>
        <v>38477665</v>
      </c>
      <c r="F371" s="159">
        <f t="shared" si="174"/>
        <v>0</v>
      </c>
      <c r="G371" s="159">
        <v>0</v>
      </c>
      <c r="H371" s="159">
        <v>0</v>
      </c>
      <c r="I371" s="159">
        <v>38477665</v>
      </c>
      <c r="J371" s="159">
        <v>0</v>
      </c>
      <c r="K371" s="159">
        <v>0</v>
      </c>
      <c r="L371" s="159">
        <v>0</v>
      </c>
      <c r="M371" s="159">
        <f t="shared" si="175"/>
        <v>10799233</v>
      </c>
      <c r="N371" s="159">
        <v>10799233</v>
      </c>
      <c r="O371" s="159">
        <v>0</v>
      </c>
      <c r="P371" s="159">
        <v>0</v>
      </c>
      <c r="Q371" s="166"/>
      <c r="R371" s="166"/>
      <c r="S371" s="166"/>
      <c r="T371" s="166"/>
      <c r="U371" s="166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  <c r="BQ371" s="130"/>
      <c r="BR371" s="130"/>
      <c r="BS371" s="130"/>
      <c r="BT371" s="130"/>
      <c r="BU371" s="130"/>
      <c r="BV371" s="130"/>
      <c r="BW371" s="130"/>
      <c r="BX371" s="130"/>
      <c r="BY371" s="130"/>
      <c r="BZ371" s="130"/>
      <c r="CA371" s="130"/>
      <c r="CB371" s="130"/>
      <c r="CC371" s="130"/>
      <c r="CD371" s="130"/>
      <c r="CE371" s="130"/>
      <c r="CF371" s="130"/>
      <c r="CG371" s="130"/>
      <c r="CH371" s="130"/>
      <c r="CI371" s="130"/>
      <c r="CJ371" s="130"/>
      <c r="CK371" s="130"/>
      <c r="CL371" s="130"/>
      <c r="CM371" s="130"/>
      <c r="CN371" s="130"/>
      <c r="CO371" s="130"/>
      <c r="CP371" s="130"/>
      <c r="CQ371" s="130"/>
      <c r="CR371" s="130"/>
      <c r="CS371" s="130"/>
      <c r="CT371" s="130"/>
      <c r="CU371" s="130"/>
      <c r="CV371" s="130"/>
      <c r="CW371" s="130"/>
      <c r="CX371" s="130"/>
      <c r="CY371" s="130"/>
      <c r="CZ371" s="130"/>
      <c r="DA371" s="130"/>
      <c r="DB371" s="130"/>
      <c r="DC371" s="130"/>
      <c r="DD371" s="130"/>
      <c r="DE371" s="130"/>
      <c r="DF371" s="130"/>
      <c r="DG371" s="130"/>
      <c r="DH371" s="130"/>
      <c r="DI371" s="130"/>
      <c r="DJ371" s="130"/>
      <c r="DK371" s="130"/>
      <c r="DL371" s="130"/>
      <c r="DM371" s="130"/>
      <c r="DN371" s="130"/>
      <c r="DO371" s="130"/>
      <c r="DP371" s="130"/>
      <c r="DQ371" s="130"/>
      <c r="DR371" s="130"/>
      <c r="DS371" s="130"/>
      <c r="DT371" s="130"/>
      <c r="DU371" s="130"/>
      <c r="DV371" s="130"/>
      <c r="DW371" s="130"/>
      <c r="DX371" s="130"/>
      <c r="DY371" s="130"/>
      <c r="DZ371" s="130"/>
      <c r="EA371" s="130"/>
      <c r="EB371" s="130"/>
      <c r="EC371" s="130"/>
      <c r="ED371" s="130"/>
      <c r="EE371" s="130"/>
      <c r="EF371" s="130"/>
      <c r="EG371" s="130"/>
      <c r="EH371" s="130"/>
      <c r="EI371" s="130"/>
      <c r="EJ371" s="130"/>
      <c r="EK371" s="130"/>
      <c r="EL371" s="130"/>
      <c r="EM371" s="130"/>
      <c r="EN371" s="130"/>
      <c r="EO371" s="130"/>
      <c r="EP371" s="130"/>
      <c r="EQ371" s="130"/>
      <c r="ER371" s="130"/>
      <c r="ES371" s="130"/>
      <c r="ET371" s="130"/>
      <c r="EU371" s="130"/>
      <c r="EV371" s="130"/>
      <c r="EW371" s="130"/>
      <c r="EX371" s="130"/>
      <c r="EY371" s="130"/>
      <c r="EZ371" s="130"/>
      <c r="FA371" s="130"/>
      <c r="FB371" s="130"/>
      <c r="FC371" s="130"/>
      <c r="FD371" s="130"/>
      <c r="FE371" s="130"/>
      <c r="FF371" s="130"/>
      <c r="FG371" s="130"/>
      <c r="FH371" s="130"/>
      <c r="FI371" s="130"/>
      <c r="FJ371" s="130"/>
      <c r="FK371" s="130"/>
      <c r="FL371" s="130"/>
      <c r="FM371" s="130"/>
      <c r="FN371" s="130"/>
      <c r="FO371" s="130"/>
      <c r="FP371" s="130"/>
      <c r="FQ371" s="130"/>
      <c r="FR371" s="130"/>
      <c r="FS371" s="130"/>
      <c r="FT371" s="130"/>
      <c r="FU371" s="130"/>
      <c r="FV371" s="130"/>
      <c r="FW371" s="130"/>
      <c r="FX371" s="130"/>
      <c r="FY371" s="130"/>
      <c r="FZ371" s="130"/>
      <c r="GA371" s="130"/>
      <c r="GB371" s="130"/>
      <c r="GC371" s="130"/>
      <c r="GD371" s="130"/>
      <c r="GE371" s="130"/>
      <c r="GF371" s="130"/>
      <c r="GG371" s="130"/>
      <c r="GH371" s="130"/>
      <c r="GI371" s="130"/>
      <c r="GJ371" s="130"/>
      <c r="GK371" s="130"/>
      <c r="GL371" s="130"/>
      <c r="GM371" s="130"/>
      <c r="GN371" s="130"/>
      <c r="GO371" s="130"/>
      <c r="GP371" s="130"/>
      <c r="GQ371" s="130"/>
      <c r="GR371" s="130"/>
      <c r="GS371" s="130"/>
      <c r="GT371" s="130"/>
      <c r="GU371" s="130"/>
      <c r="GV371" s="130"/>
      <c r="GW371" s="130"/>
      <c r="GX371" s="130"/>
      <c r="GY371" s="130"/>
      <c r="GZ371" s="130"/>
      <c r="HA371" s="130"/>
      <c r="HB371" s="130"/>
      <c r="HC371" s="130"/>
      <c r="HD371" s="130"/>
      <c r="HE371" s="130"/>
      <c r="HF371" s="130"/>
      <c r="HG371" s="130"/>
      <c r="HH371" s="130"/>
      <c r="HI371" s="130"/>
      <c r="HJ371" s="130"/>
      <c r="HK371" s="130"/>
      <c r="HL371" s="130"/>
      <c r="HM371" s="130"/>
      <c r="HN371" s="130"/>
      <c r="HO371" s="130"/>
      <c r="HP371" s="130"/>
      <c r="HQ371" s="130"/>
      <c r="HR371" s="130"/>
      <c r="HS371" s="130"/>
      <c r="HT371" s="130"/>
      <c r="HU371" s="130"/>
      <c r="HV371" s="130"/>
      <c r="HW371" s="130"/>
      <c r="HX371" s="130"/>
      <c r="HY371" s="130"/>
      <c r="HZ371" s="130"/>
      <c r="IA371" s="130"/>
      <c r="IB371" s="130"/>
      <c r="IC371" s="130"/>
      <c r="ID371" s="130"/>
      <c r="IE371" s="130"/>
      <c r="IF371" s="130"/>
      <c r="IG371" s="130"/>
      <c r="IH371" s="130"/>
      <c r="II371" s="130"/>
      <c r="IJ371" s="130"/>
      <c r="IK371" s="130"/>
      <c r="IL371" s="130"/>
      <c r="IM371" s="130"/>
      <c r="IN371" s="130"/>
      <c r="IO371" s="130"/>
      <c r="IP371" s="130"/>
      <c r="IQ371" s="130"/>
      <c r="IR371" s="130"/>
      <c r="IS371" s="130"/>
      <c r="IT371" s="130"/>
      <c r="IU371" s="130"/>
      <c r="IV371" s="130"/>
    </row>
    <row r="372" spans="1:256">
      <c r="A372" s="824"/>
      <c r="B372" s="827"/>
      <c r="C372" s="157" t="s">
        <v>1</v>
      </c>
      <c r="D372" s="158">
        <f t="shared" si="172"/>
        <v>2285029</v>
      </c>
      <c r="E372" s="159">
        <f t="shared" si="173"/>
        <v>874412</v>
      </c>
      <c r="F372" s="159">
        <f t="shared" si="174"/>
        <v>0</v>
      </c>
      <c r="G372" s="159"/>
      <c r="H372" s="159"/>
      <c r="I372" s="159">
        <f>356233+518179</f>
        <v>874412</v>
      </c>
      <c r="J372" s="159"/>
      <c r="K372" s="159"/>
      <c r="L372" s="159"/>
      <c r="M372" s="159">
        <f t="shared" si="175"/>
        <v>1410617</v>
      </c>
      <c r="N372" s="159">
        <v>1410617</v>
      </c>
      <c r="O372" s="159"/>
      <c r="P372" s="159"/>
      <c r="Q372" s="166"/>
      <c r="R372" s="166"/>
      <c r="S372" s="166"/>
      <c r="T372" s="166"/>
      <c r="U372" s="166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0"/>
      <c r="BZ372" s="130"/>
      <c r="CA372" s="130"/>
      <c r="CB372" s="130"/>
      <c r="CC372" s="130"/>
      <c r="CD372" s="130"/>
      <c r="CE372" s="130"/>
      <c r="CF372" s="130"/>
      <c r="CG372" s="130"/>
      <c r="CH372" s="130"/>
      <c r="CI372" s="130"/>
      <c r="CJ372" s="130"/>
      <c r="CK372" s="130"/>
      <c r="CL372" s="130"/>
      <c r="CM372" s="130"/>
      <c r="CN372" s="130"/>
      <c r="CO372" s="130"/>
      <c r="CP372" s="130"/>
      <c r="CQ372" s="130"/>
      <c r="CR372" s="130"/>
      <c r="CS372" s="130"/>
      <c r="CT372" s="130"/>
      <c r="CU372" s="130"/>
      <c r="CV372" s="130"/>
      <c r="CW372" s="130"/>
      <c r="CX372" s="130"/>
      <c r="CY372" s="130"/>
      <c r="CZ372" s="130"/>
      <c r="DA372" s="130"/>
      <c r="DB372" s="130"/>
      <c r="DC372" s="130"/>
      <c r="DD372" s="130"/>
      <c r="DE372" s="130"/>
      <c r="DF372" s="130"/>
      <c r="DG372" s="130"/>
      <c r="DH372" s="130"/>
      <c r="DI372" s="130"/>
      <c r="DJ372" s="130"/>
      <c r="DK372" s="130"/>
      <c r="DL372" s="130"/>
      <c r="DM372" s="130"/>
      <c r="DN372" s="130"/>
      <c r="DO372" s="130"/>
      <c r="DP372" s="130"/>
      <c r="DQ372" s="130"/>
      <c r="DR372" s="130"/>
      <c r="DS372" s="130"/>
      <c r="DT372" s="130"/>
      <c r="DU372" s="130"/>
      <c r="DV372" s="130"/>
      <c r="DW372" s="130"/>
      <c r="DX372" s="130"/>
      <c r="DY372" s="130"/>
      <c r="DZ372" s="130"/>
      <c r="EA372" s="130"/>
      <c r="EB372" s="130"/>
      <c r="EC372" s="130"/>
      <c r="ED372" s="130"/>
      <c r="EE372" s="130"/>
      <c r="EF372" s="130"/>
      <c r="EG372" s="130"/>
      <c r="EH372" s="130"/>
      <c r="EI372" s="130"/>
      <c r="EJ372" s="130"/>
      <c r="EK372" s="130"/>
      <c r="EL372" s="130"/>
      <c r="EM372" s="130"/>
      <c r="EN372" s="130"/>
      <c r="EO372" s="130"/>
      <c r="EP372" s="130"/>
      <c r="EQ372" s="130"/>
      <c r="ER372" s="130"/>
      <c r="ES372" s="130"/>
      <c r="ET372" s="130"/>
      <c r="EU372" s="130"/>
      <c r="EV372" s="130"/>
      <c r="EW372" s="130"/>
      <c r="EX372" s="130"/>
      <c r="EY372" s="130"/>
      <c r="EZ372" s="130"/>
      <c r="FA372" s="130"/>
      <c r="FB372" s="130"/>
      <c r="FC372" s="130"/>
      <c r="FD372" s="130"/>
      <c r="FE372" s="130"/>
      <c r="FF372" s="130"/>
      <c r="FG372" s="130"/>
      <c r="FH372" s="130"/>
      <c r="FI372" s="130"/>
      <c r="FJ372" s="130"/>
      <c r="FK372" s="130"/>
      <c r="FL372" s="130"/>
      <c r="FM372" s="130"/>
      <c r="FN372" s="130"/>
      <c r="FO372" s="130"/>
      <c r="FP372" s="130"/>
      <c r="FQ372" s="130"/>
      <c r="FR372" s="130"/>
      <c r="FS372" s="130"/>
      <c r="FT372" s="130"/>
      <c r="FU372" s="130"/>
      <c r="FV372" s="130"/>
      <c r="FW372" s="130"/>
      <c r="FX372" s="130"/>
      <c r="FY372" s="130"/>
      <c r="FZ372" s="130"/>
      <c r="GA372" s="130"/>
      <c r="GB372" s="130"/>
      <c r="GC372" s="130"/>
      <c r="GD372" s="130"/>
      <c r="GE372" s="130"/>
      <c r="GF372" s="130"/>
      <c r="GG372" s="130"/>
      <c r="GH372" s="130"/>
      <c r="GI372" s="130"/>
      <c r="GJ372" s="130"/>
      <c r="GK372" s="130"/>
      <c r="GL372" s="130"/>
      <c r="GM372" s="130"/>
      <c r="GN372" s="130"/>
      <c r="GO372" s="130"/>
      <c r="GP372" s="130"/>
      <c r="GQ372" s="130"/>
      <c r="GR372" s="130"/>
      <c r="GS372" s="130"/>
      <c r="GT372" s="130"/>
      <c r="GU372" s="130"/>
      <c r="GV372" s="130"/>
      <c r="GW372" s="130"/>
      <c r="GX372" s="130"/>
      <c r="GY372" s="130"/>
      <c r="GZ372" s="130"/>
      <c r="HA372" s="130"/>
      <c r="HB372" s="130"/>
      <c r="HC372" s="130"/>
      <c r="HD372" s="130"/>
      <c r="HE372" s="130"/>
      <c r="HF372" s="130"/>
      <c r="HG372" s="130"/>
      <c r="HH372" s="130"/>
      <c r="HI372" s="130"/>
      <c r="HJ372" s="130"/>
      <c r="HK372" s="130"/>
      <c r="HL372" s="130"/>
      <c r="HM372" s="130"/>
      <c r="HN372" s="130"/>
      <c r="HO372" s="130"/>
      <c r="HP372" s="130"/>
      <c r="HQ372" s="130"/>
      <c r="HR372" s="130"/>
      <c r="HS372" s="130"/>
      <c r="HT372" s="130"/>
      <c r="HU372" s="130"/>
      <c r="HV372" s="130"/>
      <c r="HW372" s="130"/>
      <c r="HX372" s="130"/>
      <c r="HY372" s="130"/>
      <c r="HZ372" s="130"/>
      <c r="IA372" s="130"/>
      <c r="IB372" s="130"/>
      <c r="IC372" s="130"/>
      <c r="ID372" s="130"/>
      <c r="IE372" s="130"/>
      <c r="IF372" s="130"/>
      <c r="IG372" s="130"/>
      <c r="IH372" s="130"/>
      <c r="II372" s="130"/>
      <c r="IJ372" s="130"/>
      <c r="IK372" s="130"/>
      <c r="IL372" s="130"/>
      <c r="IM372" s="130"/>
      <c r="IN372" s="130"/>
      <c r="IO372" s="130"/>
      <c r="IP372" s="130"/>
      <c r="IQ372" s="130"/>
      <c r="IR372" s="130"/>
      <c r="IS372" s="130"/>
      <c r="IT372" s="130"/>
      <c r="IU372" s="130"/>
      <c r="IV372" s="130"/>
    </row>
    <row r="373" spans="1:256">
      <c r="A373" s="825"/>
      <c r="B373" s="828"/>
      <c r="C373" s="157" t="s">
        <v>2</v>
      </c>
      <c r="D373" s="158">
        <f>D372+D371</f>
        <v>51561927</v>
      </c>
      <c r="E373" s="159">
        <f t="shared" ref="E373:P373" si="181">E372+E371</f>
        <v>39352077</v>
      </c>
      <c r="F373" s="159">
        <f t="shared" si="181"/>
        <v>0</v>
      </c>
      <c r="G373" s="159">
        <f t="shared" si="181"/>
        <v>0</v>
      </c>
      <c r="H373" s="159">
        <f t="shared" si="181"/>
        <v>0</v>
      </c>
      <c r="I373" s="159">
        <f t="shared" si="181"/>
        <v>39352077</v>
      </c>
      <c r="J373" s="159">
        <f t="shared" si="181"/>
        <v>0</v>
      </c>
      <c r="K373" s="159">
        <f t="shared" si="181"/>
        <v>0</v>
      </c>
      <c r="L373" s="159">
        <f t="shared" si="181"/>
        <v>0</v>
      </c>
      <c r="M373" s="159">
        <f t="shared" si="181"/>
        <v>12209850</v>
      </c>
      <c r="N373" s="159">
        <f t="shared" si="181"/>
        <v>12209850</v>
      </c>
      <c r="O373" s="159">
        <f t="shared" si="181"/>
        <v>0</v>
      </c>
      <c r="P373" s="159">
        <f t="shared" si="181"/>
        <v>0</v>
      </c>
      <c r="Q373" s="166"/>
      <c r="R373" s="166"/>
      <c r="S373" s="166"/>
      <c r="T373" s="166"/>
      <c r="U373" s="166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  <c r="BQ373" s="130"/>
      <c r="BR373" s="130"/>
      <c r="BS373" s="130"/>
      <c r="BT373" s="130"/>
      <c r="BU373" s="130"/>
      <c r="BV373" s="130"/>
      <c r="BW373" s="130"/>
      <c r="BX373" s="130"/>
      <c r="BY373" s="130"/>
      <c r="BZ373" s="130"/>
      <c r="CA373" s="130"/>
      <c r="CB373" s="130"/>
      <c r="CC373" s="130"/>
      <c r="CD373" s="130"/>
      <c r="CE373" s="130"/>
      <c r="CF373" s="130"/>
      <c r="CG373" s="130"/>
      <c r="CH373" s="130"/>
      <c r="CI373" s="130"/>
      <c r="CJ373" s="130"/>
      <c r="CK373" s="130"/>
      <c r="CL373" s="130"/>
      <c r="CM373" s="130"/>
      <c r="CN373" s="130"/>
      <c r="CO373" s="130"/>
      <c r="CP373" s="130"/>
      <c r="CQ373" s="130"/>
      <c r="CR373" s="130"/>
      <c r="CS373" s="130"/>
      <c r="CT373" s="130"/>
      <c r="CU373" s="130"/>
      <c r="CV373" s="130"/>
      <c r="CW373" s="130"/>
      <c r="CX373" s="130"/>
      <c r="CY373" s="130"/>
      <c r="CZ373" s="130"/>
      <c r="DA373" s="130"/>
      <c r="DB373" s="130"/>
      <c r="DC373" s="130"/>
      <c r="DD373" s="130"/>
      <c r="DE373" s="130"/>
      <c r="DF373" s="130"/>
      <c r="DG373" s="130"/>
      <c r="DH373" s="130"/>
      <c r="DI373" s="130"/>
      <c r="DJ373" s="130"/>
      <c r="DK373" s="130"/>
      <c r="DL373" s="130"/>
      <c r="DM373" s="130"/>
      <c r="DN373" s="130"/>
      <c r="DO373" s="130"/>
      <c r="DP373" s="130"/>
      <c r="DQ373" s="130"/>
      <c r="DR373" s="130"/>
      <c r="DS373" s="130"/>
      <c r="DT373" s="130"/>
      <c r="DU373" s="130"/>
      <c r="DV373" s="130"/>
      <c r="DW373" s="130"/>
      <c r="DX373" s="130"/>
      <c r="DY373" s="130"/>
      <c r="DZ373" s="130"/>
      <c r="EA373" s="130"/>
      <c r="EB373" s="130"/>
      <c r="EC373" s="130"/>
      <c r="ED373" s="130"/>
      <c r="EE373" s="130"/>
      <c r="EF373" s="130"/>
      <c r="EG373" s="130"/>
      <c r="EH373" s="130"/>
      <c r="EI373" s="130"/>
      <c r="EJ373" s="130"/>
      <c r="EK373" s="130"/>
      <c r="EL373" s="130"/>
      <c r="EM373" s="130"/>
      <c r="EN373" s="130"/>
      <c r="EO373" s="130"/>
      <c r="EP373" s="130"/>
      <c r="EQ373" s="130"/>
      <c r="ER373" s="130"/>
      <c r="ES373" s="130"/>
      <c r="ET373" s="130"/>
      <c r="EU373" s="130"/>
      <c r="EV373" s="130"/>
      <c r="EW373" s="130"/>
      <c r="EX373" s="130"/>
      <c r="EY373" s="130"/>
      <c r="EZ373" s="130"/>
      <c r="FA373" s="130"/>
      <c r="FB373" s="130"/>
      <c r="FC373" s="130"/>
      <c r="FD373" s="130"/>
      <c r="FE373" s="130"/>
      <c r="FF373" s="130"/>
      <c r="FG373" s="130"/>
      <c r="FH373" s="130"/>
      <c r="FI373" s="130"/>
      <c r="FJ373" s="130"/>
      <c r="FK373" s="130"/>
      <c r="FL373" s="130"/>
      <c r="FM373" s="130"/>
      <c r="FN373" s="130"/>
      <c r="FO373" s="130"/>
      <c r="FP373" s="130"/>
      <c r="FQ373" s="130"/>
      <c r="FR373" s="130"/>
      <c r="FS373" s="130"/>
      <c r="FT373" s="130"/>
      <c r="FU373" s="130"/>
      <c r="FV373" s="130"/>
      <c r="FW373" s="130"/>
      <c r="FX373" s="130"/>
      <c r="FY373" s="130"/>
      <c r="FZ373" s="130"/>
      <c r="GA373" s="130"/>
      <c r="GB373" s="130"/>
      <c r="GC373" s="130"/>
      <c r="GD373" s="130"/>
      <c r="GE373" s="130"/>
      <c r="GF373" s="130"/>
      <c r="GG373" s="130"/>
      <c r="GH373" s="130"/>
      <c r="GI373" s="130"/>
      <c r="GJ373" s="130"/>
      <c r="GK373" s="130"/>
      <c r="GL373" s="130"/>
      <c r="GM373" s="130"/>
      <c r="GN373" s="130"/>
      <c r="GO373" s="130"/>
      <c r="GP373" s="130"/>
      <c r="GQ373" s="130"/>
      <c r="GR373" s="130"/>
      <c r="GS373" s="130"/>
      <c r="GT373" s="130"/>
      <c r="GU373" s="130"/>
      <c r="GV373" s="130"/>
      <c r="GW373" s="130"/>
      <c r="GX373" s="130"/>
      <c r="GY373" s="130"/>
      <c r="GZ373" s="130"/>
      <c r="HA373" s="130"/>
      <c r="HB373" s="130"/>
      <c r="HC373" s="130"/>
      <c r="HD373" s="130"/>
      <c r="HE373" s="130"/>
      <c r="HF373" s="130"/>
      <c r="HG373" s="130"/>
      <c r="HH373" s="130"/>
      <c r="HI373" s="130"/>
      <c r="HJ373" s="130"/>
      <c r="HK373" s="130"/>
      <c r="HL373" s="130"/>
      <c r="HM373" s="130"/>
      <c r="HN373" s="130"/>
      <c r="HO373" s="130"/>
      <c r="HP373" s="130"/>
      <c r="HQ373" s="130"/>
      <c r="HR373" s="130"/>
      <c r="HS373" s="130"/>
      <c r="HT373" s="130"/>
      <c r="HU373" s="130"/>
      <c r="HV373" s="130"/>
      <c r="HW373" s="130"/>
      <c r="HX373" s="130"/>
      <c r="HY373" s="130"/>
      <c r="HZ373" s="130"/>
      <c r="IA373" s="130"/>
      <c r="IB373" s="130"/>
      <c r="IC373" s="130"/>
      <c r="ID373" s="130"/>
      <c r="IE373" s="130"/>
      <c r="IF373" s="130"/>
      <c r="IG373" s="130"/>
      <c r="IH373" s="130"/>
      <c r="II373" s="130"/>
      <c r="IJ373" s="130"/>
      <c r="IK373" s="130"/>
      <c r="IL373" s="130"/>
      <c r="IM373" s="130"/>
      <c r="IN373" s="130"/>
      <c r="IO373" s="130"/>
      <c r="IP373" s="130"/>
      <c r="IQ373" s="130"/>
      <c r="IR373" s="130"/>
      <c r="IS373" s="130"/>
      <c r="IT373" s="130"/>
      <c r="IU373" s="130"/>
      <c r="IV373" s="130"/>
    </row>
    <row r="374" spans="1:256">
      <c r="A374" s="823">
        <v>92118</v>
      </c>
      <c r="B374" s="826" t="s">
        <v>284</v>
      </c>
      <c r="C374" s="157" t="s">
        <v>0</v>
      </c>
      <c r="D374" s="158">
        <f t="shared" si="172"/>
        <v>30649672</v>
      </c>
      <c r="E374" s="159">
        <f t="shared" si="173"/>
        <v>27049480</v>
      </c>
      <c r="F374" s="159">
        <f t="shared" si="174"/>
        <v>0</v>
      </c>
      <c r="G374" s="159">
        <v>0</v>
      </c>
      <c r="H374" s="159">
        <v>0</v>
      </c>
      <c r="I374" s="159">
        <v>27049480</v>
      </c>
      <c r="J374" s="159">
        <v>0</v>
      </c>
      <c r="K374" s="159">
        <v>0</v>
      </c>
      <c r="L374" s="159">
        <v>0</v>
      </c>
      <c r="M374" s="159">
        <f t="shared" si="175"/>
        <v>3600192</v>
      </c>
      <c r="N374" s="159">
        <v>3600192</v>
      </c>
      <c r="O374" s="159">
        <v>0</v>
      </c>
      <c r="P374" s="159">
        <v>0</v>
      </c>
      <c r="Q374" s="166"/>
      <c r="R374" s="166"/>
      <c r="S374" s="166"/>
      <c r="T374" s="166"/>
      <c r="U374" s="166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/>
      <c r="BQ374" s="130"/>
      <c r="BR374" s="130"/>
      <c r="BS374" s="130"/>
      <c r="BT374" s="130"/>
      <c r="BU374" s="130"/>
      <c r="BV374" s="130"/>
      <c r="BW374" s="130"/>
      <c r="BX374" s="130"/>
      <c r="BY374" s="130"/>
      <c r="BZ374" s="130"/>
      <c r="CA374" s="130"/>
      <c r="CB374" s="130"/>
      <c r="CC374" s="130"/>
      <c r="CD374" s="130"/>
      <c r="CE374" s="130"/>
      <c r="CF374" s="130"/>
      <c r="CG374" s="130"/>
      <c r="CH374" s="130"/>
      <c r="CI374" s="130"/>
      <c r="CJ374" s="130"/>
      <c r="CK374" s="130"/>
      <c r="CL374" s="130"/>
      <c r="CM374" s="130"/>
      <c r="CN374" s="130"/>
      <c r="CO374" s="130"/>
      <c r="CP374" s="130"/>
      <c r="CQ374" s="130"/>
      <c r="CR374" s="130"/>
      <c r="CS374" s="130"/>
      <c r="CT374" s="130"/>
      <c r="CU374" s="130"/>
      <c r="CV374" s="130"/>
      <c r="CW374" s="130"/>
      <c r="CX374" s="130"/>
      <c r="CY374" s="130"/>
      <c r="CZ374" s="130"/>
      <c r="DA374" s="130"/>
      <c r="DB374" s="130"/>
      <c r="DC374" s="130"/>
      <c r="DD374" s="130"/>
      <c r="DE374" s="130"/>
      <c r="DF374" s="130"/>
      <c r="DG374" s="130"/>
      <c r="DH374" s="130"/>
      <c r="DI374" s="130"/>
      <c r="DJ374" s="130"/>
      <c r="DK374" s="130"/>
      <c r="DL374" s="130"/>
      <c r="DM374" s="130"/>
      <c r="DN374" s="130"/>
      <c r="DO374" s="130"/>
      <c r="DP374" s="130"/>
      <c r="DQ374" s="130"/>
      <c r="DR374" s="130"/>
      <c r="DS374" s="130"/>
      <c r="DT374" s="130"/>
      <c r="DU374" s="130"/>
      <c r="DV374" s="130"/>
      <c r="DW374" s="130"/>
      <c r="DX374" s="130"/>
      <c r="DY374" s="130"/>
      <c r="DZ374" s="130"/>
      <c r="EA374" s="130"/>
      <c r="EB374" s="130"/>
      <c r="EC374" s="130"/>
      <c r="ED374" s="130"/>
      <c r="EE374" s="130"/>
      <c r="EF374" s="130"/>
      <c r="EG374" s="130"/>
      <c r="EH374" s="130"/>
      <c r="EI374" s="130"/>
      <c r="EJ374" s="130"/>
      <c r="EK374" s="130"/>
      <c r="EL374" s="130"/>
      <c r="EM374" s="130"/>
      <c r="EN374" s="130"/>
      <c r="EO374" s="130"/>
      <c r="EP374" s="130"/>
      <c r="EQ374" s="130"/>
      <c r="ER374" s="130"/>
      <c r="ES374" s="130"/>
      <c r="ET374" s="130"/>
      <c r="EU374" s="130"/>
      <c r="EV374" s="130"/>
      <c r="EW374" s="130"/>
      <c r="EX374" s="130"/>
      <c r="EY374" s="130"/>
      <c r="EZ374" s="130"/>
      <c r="FA374" s="130"/>
      <c r="FB374" s="130"/>
      <c r="FC374" s="130"/>
      <c r="FD374" s="130"/>
      <c r="FE374" s="130"/>
      <c r="FF374" s="130"/>
      <c r="FG374" s="130"/>
      <c r="FH374" s="130"/>
      <c r="FI374" s="130"/>
      <c r="FJ374" s="130"/>
      <c r="FK374" s="130"/>
      <c r="FL374" s="130"/>
      <c r="FM374" s="130"/>
      <c r="FN374" s="130"/>
      <c r="FO374" s="130"/>
      <c r="FP374" s="130"/>
      <c r="FQ374" s="130"/>
      <c r="FR374" s="130"/>
      <c r="FS374" s="130"/>
      <c r="FT374" s="130"/>
      <c r="FU374" s="130"/>
      <c r="FV374" s="130"/>
      <c r="FW374" s="130"/>
      <c r="FX374" s="130"/>
      <c r="FY374" s="130"/>
      <c r="FZ374" s="130"/>
      <c r="GA374" s="130"/>
      <c r="GB374" s="130"/>
      <c r="GC374" s="130"/>
      <c r="GD374" s="130"/>
      <c r="GE374" s="130"/>
      <c r="GF374" s="130"/>
      <c r="GG374" s="130"/>
      <c r="GH374" s="130"/>
      <c r="GI374" s="130"/>
      <c r="GJ374" s="130"/>
      <c r="GK374" s="130"/>
      <c r="GL374" s="130"/>
      <c r="GM374" s="130"/>
      <c r="GN374" s="130"/>
      <c r="GO374" s="130"/>
      <c r="GP374" s="130"/>
      <c r="GQ374" s="130"/>
      <c r="GR374" s="130"/>
      <c r="GS374" s="130"/>
      <c r="GT374" s="130"/>
      <c r="GU374" s="130"/>
      <c r="GV374" s="130"/>
      <c r="GW374" s="130"/>
      <c r="GX374" s="130"/>
      <c r="GY374" s="130"/>
      <c r="GZ374" s="130"/>
      <c r="HA374" s="130"/>
      <c r="HB374" s="130"/>
      <c r="HC374" s="130"/>
      <c r="HD374" s="130"/>
      <c r="HE374" s="130"/>
      <c r="HF374" s="130"/>
      <c r="HG374" s="130"/>
      <c r="HH374" s="130"/>
      <c r="HI374" s="130"/>
      <c r="HJ374" s="130"/>
      <c r="HK374" s="130"/>
      <c r="HL374" s="130"/>
      <c r="HM374" s="130"/>
      <c r="HN374" s="130"/>
      <c r="HO374" s="130"/>
      <c r="HP374" s="130"/>
      <c r="HQ374" s="130"/>
      <c r="HR374" s="130"/>
      <c r="HS374" s="130"/>
      <c r="HT374" s="130"/>
      <c r="HU374" s="130"/>
      <c r="HV374" s="130"/>
      <c r="HW374" s="130"/>
      <c r="HX374" s="130"/>
      <c r="HY374" s="130"/>
      <c r="HZ374" s="130"/>
      <c r="IA374" s="130"/>
      <c r="IB374" s="130"/>
      <c r="IC374" s="130"/>
      <c r="ID374" s="130"/>
      <c r="IE374" s="130"/>
      <c r="IF374" s="130"/>
      <c r="IG374" s="130"/>
      <c r="IH374" s="130"/>
      <c r="II374" s="130"/>
      <c r="IJ374" s="130"/>
      <c r="IK374" s="130"/>
      <c r="IL374" s="130"/>
      <c r="IM374" s="130"/>
      <c r="IN374" s="130"/>
      <c r="IO374" s="130"/>
      <c r="IP374" s="130"/>
      <c r="IQ374" s="130"/>
      <c r="IR374" s="130"/>
      <c r="IS374" s="130"/>
      <c r="IT374" s="130"/>
      <c r="IU374" s="130"/>
      <c r="IV374" s="130"/>
    </row>
    <row r="375" spans="1:256">
      <c r="A375" s="824"/>
      <c r="B375" s="827"/>
      <c r="C375" s="157" t="s">
        <v>1</v>
      </c>
      <c r="D375" s="158">
        <f t="shared" si="172"/>
        <v>978376</v>
      </c>
      <c r="E375" s="159">
        <f t="shared" si="173"/>
        <v>431810</v>
      </c>
      <c r="F375" s="159">
        <f t="shared" si="174"/>
        <v>0</v>
      </c>
      <c r="G375" s="159"/>
      <c r="H375" s="159"/>
      <c r="I375" s="159">
        <f>278061+153749</f>
        <v>431810</v>
      </c>
      <c r="J375" s="159"/>
      <c r="K375" s="159"/>
      <c r="L375" s="159"/>
      <c r="M375" s="159">
        <f t="shared" si="175"/>
        <v>546566</v>
      </c>
      <c r="N375" s="159">
        <v>546566</v>
      </c>
      <c r="O375" s="159"/>
      <c r="P375" s="159"/>
      <c r="Q375" s="166"/>
      <c r="R375" s="166"/>
      <c r="S375" s="166"/>
      <c r="T375" s="166"/>
      <c r="U375" s="166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0"/>
      <c r="BW375" s="130"/>
      <c r="BX375" s="130"/>
      <c r="BY375" s="130"/>
      <c r="BZ375" s="130"/>
      <c r="CA375" s="130"/>
      <c r="CB375" s="130"/>
      <c r="CC375" s="130"/>
      <c r="CD375" s="130"/>
      <c r="CE375" s="130"/>
      <c r="CF375" s="130"/>
      <c r="CG375" s="130"/>
      <c r="CH375" s="130"/>
      <c r="CI375" s="130"/>
      <c r="CJ375" s="130"/>
      <c r="CK375" s="130"/>
      <c r="CL375" s="130"/>
      <c r="CM375" s="130"/>
      <c r="CN375" s="130"/>
      <c r="CO375" s="130"/>
      <c r="CP375" s="130"/>
      <c r="CQ375" s="130"/>
      <c r="CR375" s="130"/>
      <c r="CS375" s="130"/>
      <c r="CT375" s="130"/>
      <c r="CU375" s="130"/>
      <c r="CV375" s="130"/>
      <c r="CW375" s="130"/>
      <c r="CX375" s="130"/>
      <c r="CY375" s="130"/>
      <c r="CZ375" s="130"/>
      <c r="DA375" s="130"/>
      <c r="DB375" s="130"/>
      <c r="DC375" s="130"/>
      <c r="DD375" s="130"/>
      <c r="DE375" s="130"/>
      <c r="DF375" s="130"/>
      <c r="DG375" s="130"/>
      <c r="DH375" s="130"/>
      <c r="DI375" s="130"/>
      <c r="DJ375" s="130"/>
      <c r="DK375" s="130"/>
      <c r="DL375" s="130"/>
      <c r="DM375" s="130"/>
      <c r="DN375" s="130"/>
      <c r="DO375" s="130"/>
      <c r="DP375" s="130"/>
      <c r="DQ375" s="130"/>
      <c r="DR375" s="130"/>
      <c r="DS375" s="130"/>
      <c r="DT375" s="130"/>
      <c r="DU375" s="130"/>
      <c r="DV375" s="130"/>
      <c r="DW375" s="130"/>
      <c r="DX375" s="130"/>
      <c r="DY375" s="130"/>
      <c r="DZ375" s="130"/>
      <c r="EA375" s="130"/>
      <c r="EB375" s="130"/>
      <c r="EC375" s="130"/>
      <c r="ED375" s="130"/>
      <c r="EE375" s="130"/>
      <c r="EF375" s="130"/>
      <c r="EG375" s="130"/>
      <c r="EH375" s="130"/>
      <c r="EI375" s="130"/>
      <c r="EJ375" s="130"/>
      <c r="EK375" s="130"/>
      <c r="EL375" s="130"/>
      <c r="EM375" s="130"/>
      <c r="EN375" s="130"/>
      <c r="EO375" s="130"/>
      <c r="EP375" s="130"/>
      <c r="EQ375" s="130"/>
      <c r="ER375" s="130"/>
      <c r="ES375" s="130"/>
      <c r="ET375" s="130"/>
      <c r="EU375" s="130"/>
      <c r="EV375" s="130"/>
      <c r="EW375" s="130"/>
      <c r="EX375" s="130"/>
      <c r="EY375" s="130"/>
      <c r="EZ375" s="130"/>
      <c r="FA375" s="130"/>
      <c r="FB375" s="130"/>
      <c r="FC375" s="130"/>
      <c r="FD375" s="130"/>
      <c r="FE375" s="130"/>
      <c r="FF375" s="130"/>
      <c r="FG375" s="130"/>
      <c r="FH375" s="130"/>
      <c r="FI375" s="130"/>
      <c r="FJ375" s="130"/>
      <c r="FK375" s="130"/>
      <c r="FL375" s="130"/>
      <c r="FM375" s="130"/>
      <c r="FN375" s="130"/>
      <c r="FO375" s="130"/>
      <c r="FP375" s="130"/>
      <c r="FQ375" s="130"/>
      <c r="FR375" s="130"/>
      <c r="FS375" s="130"/>
      <c r="FT375" s="130"/>
      <c r="FU375" s="130"/>
      <c r="FV375" s="130"/>
      <c r="FW375" s="130"/>
      <c r="FX375" s="130"/>
      <c r="FY375" s="130"/>
      <c r="FZ375" s="130"/>
      <c r="GA375" s="130"/>
      <c r="GB375" s="130"/>
      <c r="GC375" s="130"/>
      <c r="GD375" s="130"/>
      <c r="GE375" s="130"/>
      <c r="GF375" s="130"/>
      <c r="GG375" s="130"/>
      <c r="GH375" s="130"/>
      <c r="GI375" s="130"/>
      <c r="GJ375" s="130"/>
      <c r="GK375" s="130"/>
      <c r="GL375" s="130"/>
      <c r="GM375" s="130"/>
      <c r="GN375" s="130"/>
      <c r="GO375" s="130"/>
      <c r="GP375" s="130"/>
      <c r="GQ375" s="130"/>
      <c r="GR375" s="130"/>
      <c r="GS375" s="130"/>
      <c r="GT375" s="130"/>
      <c r="GU375" s="130"/>
      <c r="GV375" s="130"/>
      <c r="GW375" s="130"/>
      <c r="GX375" s="130"/>
      <c r="GY375" s="130"/>
      <c r="GZ375" s="130"/>
      <c r="HA375" s="130"/>
      <c r="HB375" s="130"/>
      <c r="HC375" s="130"/>
      <c r="HD375" s="130"/>
      <c r="HE375" s="130"/>
      <c r="HF375" s="130"/>
      <c r="HG375" s="130"/>
      <c r="HH375" s="130"/>
      <c r="HI375" s="130"/>
      <c r="HJ375" s="130"/>
      <c r="HK375" s="130"/>
      <c r="HL375" s="130"/>
      <c r="HM375" s="130"/>
      <c r="HN375" s="130"/>
      <c r="HO375" s="130"/>
      <c r="HP375" s="130"/>
      <c r="HQ375" s="130"/>
      <c r="HR375" s="130"/>
      <c r="HS375" s="130"/>
      <c r="HT375" s="130"/>
      <c r="HU375" s="130"/>
      <c r="HV375" s="130"/>
      <c r="HW375" s="130"/>
      <c r="HX375" s="130"/>
      <c r="HY375" s="130"/>
      <c r="HZ375" s="130"/>
      <c r="IA375" s="130"/>
      <c r="IB375" s="130"/>
      <c r="IC375" s="130"/>
      <c r="ID375" s="130"/>
      <c r="IE375" s="130"/>
      <c r="IF375" s="130"/>
      <c r="IG375" s="130"/>
      <c r="IH375" s="130"/>
      <c r="II375" s="130"/>
      <c r="IJ375" s="130"/>
      <c r="IK375" s="130"/>
      <c r="IL375" s="130"/>
      <c r="IM375" s="130"/>
      <c r="IN375" s="130"/>
      <c r="IO375" s="130"/>
      <c r="IP375" s="130"/>
      <c r="IQ375" s="130"/>
      <c r="IR375" s="130"/>
      <c r="IS375" s="130"/>
      <c r="IT375" s="130"/>
      <c r="IU375" s="130"/>
      <c r="IV375" s="130"/>
    </row>
    <row r="376" spans="1:256">
      <c r="A376" s="825"/>
      <c r="B376" s="828"/>
      <c r="C376" s="157" t="s">
        <v>2</v>
      </c>
      <c r="D376" s="158">
        <f>D375+D374</f>
        <v>31628048</v>
      </c>
      <c r="E376" s="159">
        <f t="shared" ref="E376:P376" si="182">E375+E374</f>
        <v>27481290</v>
      </c>
      <c r="F376" s="159">
        <f t="shared" si="182"/>
        <v>0</v>
      </c>
      <c r="G376" s="159">
        <f t="shared" si="182"/>
        <v>0</v>
      </c>
      <c r="H376" s="159">
        <f t="shared" si="182"/>
        <v>0</v>
      </c>
      <c r="I376" s="159">
        <f t="shared" si="182"/>
        <v>27481290</v>
      </c>
      <c r="J376" s="159">
        <f t="shared" si="182"/>
        <v>0</v>
      </c>
      <c r="K376" s="159">
        <f t="shared" si="182"/>
        <v>0</v>
      </c>
      <c r="L376" s="159">
        <f t="shared" si="182"/>
        <v>0</v>
      </c>
      <c r="M376" s="159">
        <f t="shared" si="182"/>
        <v>4146758</v>
      </c>
      <c r="N376" s="159">
        <f t="shared" si="182"/>
        <v>4146758</v>
      </c>
      <c r="O376" s="159">
        <f t="shared" si="182"/>
        <v>0</v>
      </c>
      <c r="P376" s="159">
        <f t="shared" si="182"/>
        <v>0</v>
      </c>
      <c r="Q376" s="166"/>
      <c r="R376" s="166"/>
      <c r="S376" s="166"/>
      <c r="T376" s="166"/>
      <c r="U376" s="166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/>
      <c r="BQ376" s="130"/>
      <c r="BR376" s="130"/>
      <c r="BS376" s="130"/>
      <c r="BT376" s="130"/>
      <c r="BU376" s="130"/>
      <c r="BV376" s="130"/>
      <c r="BW376" s="130"/>
      <c r="BX376" s="130"/>
      <c r="BY376" s="130"/>
      <c r="BZ376" s="130"/>
      <c r="CA376" s="130"/>
      <c r="CB376" s="130"/>
      <c r="CC376" s="130"/>
      <c r="CD376" s="130"/>
      <c r="CE376" s="130"/>
      <c r="CF376" s="130"/>
      <c r="CG376" s="130"/>
      <c r="CH376" s="130"/>
      <c r="CI376" s="130"/>
      <c r="CJ376" s="130"/>
      <c r="CK376" s="130"/>
      <c r="CL376" s="130"/>
      <c r="CM376" s="130"/>
      <c r="CN376" s="130"/>
      <c r="CO376" s="130"/>
      <c r="CP376" s="130"/>
      <c r="CQ376" s="130"/>
      <c r="CR376" s="130"/>
      <c r="CS376" s="130"/>
      <c r="CT376" s="130"/>
      <c r="CU376" s="130"/>
      <c r="CV376" s="130"/>
      <c r="CW376" s="130"/>
      <c r="CX376" s="130"/>
      <c r="CY376" s="130"/>
      <c r="CZ376" s="130"/>
      <c r="DA376" s="130"/>
      <c r="DB376" s="130"/>
      <c r="DC376" s="130"/>
      <c r="DD376" s="130"/>
      <c r="DE376" s="130"/>
      <c r="DF376" s="130"/>
      <c r="DG376" s="130"/>
      <c r="DH376" s="130"/>
      <c r="DI376" s="130"/>
      <c r="DJ376" s="130"/>
      <c r="DK376" s="130"/>
      <c r="DL376" s="130"/>
      <c r="DM376" s="130"/>
      <c r="DN376" s="130"/>
      <c r="DO376" s="130"/>
      <c r="DP376" s="130"/>
      <c r="DQ376" s="130"/>
      <c r="DR376" s="130"/>
      <c r="DS376" s="130"/>
      <c r="DT376" s="130"/>
      <c r="DU376" s="130"/>
      <c r="DV376" s="130"/>
      <c r="DW376" s="130"/>
      <c r="DX376" s="130"/>
      <c r="DY376" s="130"/>
      <c r="DZ376" s="130"/>
      <c r="EA376" s="130"/>
      <c r="EB376" s="130"/>
      <c r="EC376" s="130"/>
      <c r="ED376" s="130"/>
      <c r="EE376" s="130"/>
      <c r="EF376" s="130"/>
      <c r="EG376" s="130"/>
      <c r="EH376" s="130"/>
      <c r="EI376" s="130"/>
      <c r="EJ376" s="130"/>
      <c r="EK376" s="130"/>
      <c r="EL376" s="130"/>
      <c r="EM376" s="130"/>
      <c r="EN376" s="130"/>
      <c r="EO376" s="130"/>
      <c r="EP376" s="130"/>
      <c r="EQ376" s="130"/>
      <c r="ER376" s="130"/>
      <c r="ES376" s="130"/>
      <c r="ET376" s="130"/>
      <c r="EU376" s="130"/>
      <c r="EV376" s="130"/>
      <c r="EW376" s="130"/>
      <c r="EX376" s="130"/>
      <c r="EY376" s="130"/>
      <c r="EZ376" s="130"/>
      <c r="FA376" s="130"/>
      <c r="FB376" s="130"/>
      <c r="FC376" s="130"/>
      <c r="FD376" s="130"/>
      <c r="FE376" s="130"/>
      <c r="FF376" s="130"/>
      <c r="FG376" s="130"/>
      <c r="FH376" s="130"/>
      <c r="FI376" s="130"/>
      <c r="FJ376" s="130"/>
      <c r="FK376" s="130"/>
      <c r="FL376" s="130"/>
      <c r="FM376" s="130"/>
      <c r="FN376" s="130"/>
      <c r="FO376" s="130"/>
      <c r="FP376" s="130"/>
      <c r="FQ376" s="130"/>
      <c r="FR376" s="130"/>
      <c r="FS376" s="130"/>
      <c r="FT376" s="130"/>
      <c r="FU376" s="130"/>
      <c r="FV376" s="130"/>
      <c r="FW376" s="130"/>
      <c r="FX376" s="130"/>
      <c r="FY376" s="130"/>
      <c r="FZ376" s="130"/>
      <c r="GA376" s="130"/>
      <c r="GB376" s="130"/>
      <c r="GC376" s="130"/>
      <c r="GD376" s="130"/>
      <c r="GE376" s="130"/>
      <c r="GF376" s="130"/>
      <c r="GG376" s="130"/>
      <c r="GH376" s="130"/>
      <c r="GI376" s="130"/>
      <c r="GJ376" s="130"/>
      <c r="GK376" s="130"/>
      <c r="GL376" s="130"/>
      <c r="GM376" s="130"/>
      <c r="GN376" s="130"/>
      <c r="GO376" s="130"/>
      <c r="GP376" s="130"/>
      <c r="GQ376" s="130"/>
      <c r="GR376" s="130"/>
      <c r="GS376" s="130"/>
      <c r="GT376" s="130"/>
      <c r="GU376" s="130"/>
      <c r="GV376" s="130"/>
      <c r="GW376" s="130"/>
      <c r="GX376" s="130"/>
      <c r="GY376" s="130"/>
      <c r="GZ376" s="130"/>
      <c r="HA376" s="130"/>
      <c r="HB376" s="130"/>
      <c r="HC376" s="130"/>
      <c r="HD376" s="130"/>
      <c r="HE376" s="130"/>
      <c r="HF376" s="130"/>
      <c r="HG376" s="130"/>
      <c r="HH376" s="130"/>
      <c r="HI376" s="130"/>
      <c r="HJ376" s="130"/>
      <c r="HK376" s="130"/>
      <c r="HL376" s="130"/>
      <c r="HM376" s="130"/>
      <c r="HN376" s="130"/>
      <c r="HO376" s="130"/>
      <c r="HP376" s="130"/>
      <c r="HQ376" s="130"/>
      <c r="HR376" s="130"/>
      <c r="HS376" s="130"/>
      <c r="HT376" s="130"/>
      <c r="HU376" s="130"/>
      <c r="HV376" s="130"/>
      <c r="HW376" s="130"/>
      <c r="HX376" s="130"/>
      <c r="HY376" s="130"/>
      <c r="HZ376" s="130"/>
      <c r="IA376" s="130"/>
      <c r="IB376" s="130"/>
      <c r="IC376" s="130"/>
      <c r="ID376" s="130"/>
      <c r="IE376" s="130"/>
      <c r="IF376" s="130"/>
      <c r="IG376" s="130"/>
      <c r="IH376" s="130"/>
      <c r="II376" s="130"/>
      <c r="IJ376" s="130"/>
      <c r="IK376" s="130"/>
      <c r="IL376" s="130"/>
      <c r="IM376" s="130"/>
      <c r="IN376" s="130"/>
      <c r="IO376" s="130"/>
      <c r="IP376" s="130"/>
      <c r="IQ376" s="130"/>
      <c r="IR376" s="130"/>
      <c r="IS376" s="130"/>
      <c r="IT376" s="130"/>
      <c r="IU376" s="130"/>
      <c r="IV376" s="130"/>
    </row>
    <row r="377" spans="1:256" hidden="1">
      <c r="A377" s="823">
        <v>92120</v>
      </c>
      <c r="B377" s="826" t="s">
        <v>285</v>
      </c>
      <c r="C377" s="157" t="s">
        <v>0</v>
      </c>
      <c r="D377" s="158">
        <f t="shared" si="172"/>
        <v>3620487</v>
      </c>
      <c r="E377" s="159">
        <f t="shared" si="173"/>
        <v>3620487</v>
      </c>
      <c r="F377" s="159">
        <f t="shared" si="174"/>
        <v>145549</v>
      </c>
      <c r="G377" s="159">
        <v>45549</v>
      </c>
      <c r="H377" s="159">
        <v>100000</v>
      </c>
      <c r="I377" s="159">
        <v>1854451</v>
      </c>
      <c r="J377" s="159">
        <v>0</v>
      </c>
      <c r="K377" s="159">
        <v>1620487</v>
      </c>
      <c r="L377" s="159">
        <v>0</v>
      </c>
      <c r="M377" s="159">
        <f t="shared" si="175"/>
        <v>0</v>
      </c>
      <c r="N377" s="159">
        <v>0</v>
      </c>
      <c r="O377" s="159">
        <v>0</v>
      </c>
      <c r="P377" s="159">
        <v>0</v>
      </c>
      <c r="Q377" s="166"/>
      <c r="R377" s="166"/>
      <c r="S377" s="166"/>
      <c r="T377" s="166"/>
      <c r="U377" s="166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/>
      <c r="BQ377" s="130"/>
      <c r="BR377" s="130"/>
      <c r="BS377" s="130"/>
      <c r="BT377" s="130"/>
      <c r="BU377" s="130"/>
      <c r="BV377" s="130"/>
      <c r="BW377" s="130"/>
      <c r="BX377" s="130"/>
      <c r="BY377" s="130"/>
      <c r="BZ377" s="130"/>
      <c r="CA377" s="130"/>
      <c r="CB377" s="130"/>
      <c r="CC377" s="130"/>
      <c r="CD377" s="130"/>
      <c r="CE377" s="130"/>
      <c r="CF377" s="130"/>
      <c r="CG377" s="130"/>
      <c r="CH377" s="130"/>
      <c r="CI377" s="130"/>
      <c r="CJ377" s="130"/>
      <c r="CK377" s="130"/>
      <c r="CL377" s="130"/>
      <c r="CM377" s="130"/>
      <c r="CN377" s="130"/>
      <c r="CO377" s="130"/>
      <c r="CP377" s="130"/>
      <c r="CQ377" s="130"/>
      <c r="CR377" s="130"/>
      <c r="CS377" s="130"/>
      <c r="CT377" s="130"/>
      <c r="CU377" s="130"/>
      <c r="CV377" s="130"/>
      <c r="CW377" s="130"/>
      <c r="CX377" s="130"/>
      <c r="CY377" s="130"/>
      <c r="CZ377" s="130"/>
      <c r="DA377" s="130"/>
      <c r="DB377" s="130"/>
      <c r="DC377" s="130"/>
      <c r="DD377" s="130"/>
      <c r="DE377" s="130"/>
      <c r="DF377" s="130"/>
      <c r="DG377" s="130"/>
      <c r="DH377" s="130"/>
      <c r="DI377" s="130"/>
      <c r="DJ377" s="130"/>
      <c r="DK377" s="130"/>
      <c r="DL377" s="130"/>
      <c r="DM377" s="130"/>
      <c r="DN377" s="130"/>
      <c r="DO377" s="130"/>
      <c r="DP377" s="130"/>
      <c r="DQ377" s="130"/>
      <c r="DR377" s="130"/>
      <c r="DS377" s="130"/>
      <c r="DT377" s="130"/>
      <c r="DU377" s="130"/>
      <c r="DV377" s="130"/>
      <c r="DW377" s="130"/>
      <c r="DX377" s="130"/>
      <c r="DY377" s="130"/>
      <c r="DZ377" s="130"/>
      <c r="EA377" s="130"/>
      <c r="EB377" s="130"/>
      <c r="EC377" s="130"/>
      <c r="ED377" s="130"/>
      <c r="EE377" s="130"/>
      <c r="EF377" s="130"/>
      <c r="EG377" s="130"/>
      <c r="EH377" s="130"/>
      <c r="EI377" s="130"/>
      <c r="EJ377" s="130"/>
      <c r="EK377" s="130"/>
      <c r="EL377" s="130"/>
      <c r="EM377" s="130"/>
      <c r="EN377" s="130"/>
      <c r="EO377" s="130"/>
      <c r="EP377" s="130"/>
      <c r="EQ377" s="130"/>
      <c r="ER377" s="130"/>
      <c r="ES377" s="130"/>
      <c r="ET377" s="130"/>
      <c r="EU377" s="130"/>
      <c r="EV377" s="130"/>
      <c r="EW377" s="130"/>
      <c r="EX377" s="130"/>
      <c r="EY377" s="130"/>
      <c r="EZ377" s="130"/>
      <c r="FA377" s="130"/>
      <c r="FB377" s="130"/>
      <c r="FC377" s="130"/>
      <c r="FD377" s="130"/>
      <c r="FE377" s="130"/>
      <c r="FF377" s="130"/>
      <c r="FG377" s="130"/>
      <c r="FH377" s="130"/>
      <c r="FI377" s="130"/>
      <c r="FJ377" s="130"/>
      <c r="FK377" s="130"/>
      <c r="FL377" s="130"/>
      <c r="FM377" s="130"/>
      <c r="FN377" s="130"/>
      <c r="FO377" s="130"/>
      <c r="FP377" s="130"/>
      <c r="FQ377" s="130"/>
      <c r="FR377" s="130"/>
      <c r="FS377" s="130"/>
      <c r="FT377" s="130"/>
      <c r="FU377" s="130"/>
      <c r="FV377" s="130"/>
      <c r="FW377" s="130"/>
      <c r="FX377" s="130"/>
      <c r="FY377" s="130"/>
      <c r="FZ377" s="130"/>
      <c r="GA377" s="130"/>
      <c r="GB377" s="130"/>
      <c r="GC377" s="130"/>
      <c r="GD377" s="130"/>
      <c r="GE377" s="130"/>
      <c r="GF377" s="130"/>
      <c r="GG377" s="130"/>
      <c r="GH377" s="130"/>
      <c r="GI377" s="130"/>
      <c r="GJ377" s="130"/>
      <c r="GK377" s="130"/>
      <c r="GL377" s="130"/>
      <c r="GM377" s="130"/>
      <c r="GN377" s="130"/>
      <c r="GO377" s="130"/>
      <c r="GP377" s="130"/>
      <c r="GQ377" s="130"/>
      <c r="GR377" s="130"/>
      <c r="GS377" s="130"/>
      <c r="GT377" s="130"/>
      <c r="GU377" s="130"/>
      <c r="GV377" s="130"/>
      <c r="GW377" s="130"/>
      <c r="GX377" s="130"/>
      <c r="GY377" s="130"/>
      <c r="GZ377" s="130"/>
      <c r="HA377" s="130"/>
      <c r="HB377" s="130"/>
      <c r="HC377" s="130"/>
      <c r="HD377" s="130"/>
      <c r="HE377" s="130"/>
      <c r="HF377" s="130"/>
      <c r="HG377" s="130"/>
      <c r="HH377" s="130"/>
      <c r="HI377" s="130"/>
      <c r="HJ377" s="130"/>
      <c r="HK377" s="130"/>
      <c r="HL377" s="130"/>
      <c r="HM377" s="130"/>
      <c r="HN377" s="130"/>
      <c r="HO377" s="130"/>
      <c r="HP377" s="130"/>
      <c r="HQ377" s="130"/>
      <c r="HR377" s="130"/>
      <c r="HS377" s="130"/>
      <c r="HT377" s="130"/>
      <c r="HU377" s="130"/>
      <c r="HV377" s="130"/>
      <c r="HW377" s="130"/>
      <c r="HX377" s="130"/>
      <c r="HY377" s="130"/>
      <c r="HZ377" s="130"/>
      <c r="IA377" s="130"/>
      <c r="IB377" s="130"/>
      <c r="IC377" s="130"/>
      <c r="ID377" s="130"/>
      <c r="IE377" s="130"/>
      <c r="IF377" s="130"/>
      <c r="IG377" s="130"/>
      <c r="IH377" s="130"/>
      <c r="II377" s="130"/>
      <c r="IJ377" s="130"/>
      <c r="IK377" s="130"/>
      <c r="IL377" s="130"/>
      <c r="IM377" s="130"/>
      <c r="IN377" s="130"/>
      <c r="IO377" s="130"/>
      <c r="IP377" s="130"/>
      <c r="IQ377" s="130"/>
      <c r="IR377" s="130"/>
      <c r="IS377" s="130"/>
      <c r="IT377" s="130"/>
      <c r="IU377" s="130"/>
      <c r="IV377" s="130"/>
    </row>
    <row r="378" spans="1:256" hidden="1">
      <c r="A378" s="824"/>
      <c r="B378" s="827"/>
      <c r="C378" s="157" t="s">
        <v>1</v>
      </c>
      <c r="D378" s="158">
        <f t="shared" si="172"/>
        <v>0</v>
      </c>
      <c r="E378" s="159">
        <f t="shared" si="173"/>
        <v>0</v>
      </c>
      <c r="F378" s="159">
        <f t="shared" si="174"/>
        <v>0</v>
      </c>
      <c r="G378" s="159"/>
      <c r="H378" s="159"/>
      <c r="I378" s="159"/>
      <c r="J378" s="159"/>
      <c r="K378" s="159"/>
      <c r="L378" s="159"/>
      <c r="M378" s="159">
        <f t="shared" si="175"/>
        <v>0</v>
      </c>
      <c r="N378" s="159"/>
      <c r="O378" s="159"/>
      <c r="P378" s="159"/>
      <c r="Q378" s="166"/>
      <c r="R378" s="166"/>
      <c r="S378" s="166"/>
      <c r="T378" s="166"/>
      <c r="U378" s="166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  <c r="BQ378" s="130"/>
      <c r="BR378" s="130"/>
      <c r="BS378" s="130"/>
      <c r="BT378" s="130"/>
      <c r="BU378" s="130"/>
      <c r="BV378" s="130"/>
      <c r="BW378" s="130"/>
      <c r="BX378" s="130"/>
      <c r="BY378" s="130"/>
      <c r="BZ378" s="130"/>
      <c r="CA378" s="130"/>
      <c r="CB378" s="130"/>
      <c r="CC378" s="130"/>
      <c r="CD378" s="130"/>
      <c r="CE378" s="130"/>
      <c r="CF378" s="130"/>
      <c r="CG378" s="130"/>
      <c r="CH378" s="130"/>
      <c r="CI378" s="130"/>
      <c r="CJ378" s="130"/>
      <c r="CK378" s="130"/>
      <c r="CL378" s="130"/>
      <c r="CM378" s="130"/>
      <c r="CN378" s="130"/>
      <c r="CO378" s="130"/>
      <c r="CP378" s="130"/>
      <c r="CQ378" s="130"/>
      <c r="CR378" s="130"/>
      <c r="CS378" s="130"/>
      <c r="CT378" s="130"/>
      <c r="CU378" s="130"/>
      <c r="CV378" s="130"/>
      <c r="CW378" s="130"/>
      <c r="CX378" s="130"/>
      <c r="CY378" s="130"/>
      <c r="CZ378" s="130"/>
      <c r="DA378" s="130"/>
      <c r="DB378" s="130"/>
      <c r="DC378" s="130"/>
      <c r="DD378" s="130"/>
      <c r="DE378" s="130"/>
      <c r="DF378" s="130"/>
      <c r="DG378" s="130"/>
      <c r="DH378" s="130"/>
      <c r="DI378" s="130"/>
      <c r="DJ378" s="130"/>
      <c r="DK378" s="130"/>
      <c r="DL378" s="130"/>
      <c r="DM378" s="130"/>
      <c r="DN378" s="130"/>
      <c r="DO378" s="130"/>
      <c r="DP378" s="130"/>
      <c r="DQ378" s="130"/>
      <c r="DR378" s="130"/>
      <c r="DS378" s="130"/>
      <c r="DT378" s="130"/>
      <c r="DU378" s="130"/>
      <c r="DV378" s="130"/>
      <c r="DW378" s="130"/>
      <c r="DX378" s="130"/>
      <c r="DY378" s="130"/>
      <c r="DZ378" s="130"/>
      <c r="EA378" s="130"/>
      <c r="EB378" s="130"/>
      <c r="EC378" s="130"/>
      <c r="ED378" s="130"/>
      <c r="EE378" s="130"/>
      <c r="EF378" s="130"/>
      <c r="EG378" s="130"/>
      <c r="EH378" s="130"/>
      <c r="EI378" s="130"/>
      <c r="EJ378" s="130"/>
      <c r="EK378" s="130"/>
      <c r="EL378" s="130"/>
      <c r="EM378" s="130"/>
      <c r="EN378" s="130"/>
      <c r="EO378" s="130"/>
      <c r="EP378" s="130"/>
      <c r="EQ378" s="130"/>
      <c r="ER378" s="130"/>
      <c r="ES378" s="130"/>
      <c r="ET378" s="130"/>
      <c r="EU378" s="130"/>
      <c r="EV378" s="130"/>
      <c r="EW378" s="130"/>
      <c r="EX378" s="130"/>
      <c r="EY378" s="130"/>
      <c r="EZ378" s="130"/>
      <c r="FA378" s="130"/>
      <c r="FB378" s="130"/>
      <c r="FC378" s="130"/>
      <c r="FD378" s="130"/>
      <c r="FE378" s="130"/>
      <c r="FF378" s="130"/>
      <c r="FG378" s="130"/>
      <c r="FH378" s="130"/>
      <c r="FI378" s="130"/>
      <c r="FJ378" s="130"/>
      <c r="FK378" s="130"/>
      <c r="FL378" s="130"/>
      <c r="FM378" s="130"/>
      <c r="FN378" s="130"/>
      <c r="FO378" s="130"/>
      <c r="FP378" s="130"/>
      <c r="FQ378" s="130"/>
      <c r="FR378" s="130"/>
      <c r="FS378" s="130"/>
      <c r="FT378" s="130"/>
      <c r="FU378" s="130"/>
      <c r="FV378" s="130"/>
      <c r="FW378" s="130"/>
      <c r="FX378" s="130"/>
      <c r="FY378" s="130"/>
      <c r="FZ378" s="130"/>
      <c r="GA378" s="130"/>
      <c r="GB378" s="130"/>
      <c r="GC378" s="130"/>
      <c r="GD378" s="130"/>
      <c r="GE378" s="130"/>
      <c r="GF378" s="130"/>
      <c r="GG378" s="130"/>
      <c r="GH378" s="130"/>
      <c r="GI378" s="130"/>
      <c r="GJ378" s="130"/>
      <c r="GK378" s="130"/>
      <c r="GL378" s="130"/>
      <c r="GM378" s="130"/>
      <c r="GN378" s="130"/>
      <c r="GO378" s="130"/>
      <c r="GP378" s="130"/>
      <c r="GQ378" s="130"/>
      <c r="GR378" s="130"/>
      <c r="GS378" s="130"/>
      <c r="GT378" s="130"/>
      <c r="GU378" s="130"/>
      <c r="GV378" s="130"/>
      <c r="GW378" s="130"/>
      <c r="GX378" s="130"/>
      <c r="GY378" s="130"/>
      <c r="GZ378" s="130"/>
      <c r="HA378" s="130"/>
      <c r="HB378" s="130"/>
      <c r="HC378" s="130"/>
      <c r="HD378" s="130"/>
      <c r="HE378" s="130"/>
      <c r="HF378" s="130"/>
      <c r="HG378" s="130"/>
      <c r="HH378" s="130"/>
      <c r="HI378" s="130"/>
      <c r="HJ378" s="130"/>
      <c r="HK378" s="130"/>
      <c r="HL378" s="130"/>
      <c r="HM378" s="130"/>
      <c r="HN378" s="130"/>
      <c r="HO378" s="130"/>
      <c r="HP378" s="130"/>
      <c r="HQ378" s="130"/>
      <c r="HR378" s="130"/>
      <c r="HS378" s="130"/>
      <c r="HT378" s="130"/>
      <c r="HU378" s="130"/>
      <c r="HV378" s="130"/>
      <c r="HW378" s="130"/>
      <c r="HX378" s="130"/>
      <c r="HY378" s="130"/>
      <c r="HZ378" s="130"/>
      <c r="IA378" s="130"/>
      <c r="IB378" s="130"/>
      <c r="IC378" s="130"/>
      <c r="ID378" s="130"/>
      <c r="IE378" s="130"/>
      <c r="IF378" s="130"/>
      <c r="IG378" s="130"/>
      <c r="IH378" s="130"/>
      <c r="II378" s="130"/>
      <c r="IJ378" s="130"/>
      <c r="IK378" s="130"/>
      <c r="IL378" s="130"/>
      <c r="IM378" s="130"/>
      <c r="IN378" s="130"/>
      <c r="IO378" s="130"/>
      <c r="IP378" s="130"/>
      <c r="IQ378" s="130"/>
      <c r="IR378" s="130"/>
      <c r="IS378" s="130"/>
      <c r="IT378" s="130"/>
      <c r="IU378" s="130"/>
      <c r="IV378" s="130"/>
    </row>
    <row r="379" spans="1:256" hidden="1">
      <c r="A379" s="825"/>
      <c r="B379" s="828"/>
      <c r="C379" s="157" t="s">
        <v>2</v>
      </c>
      <c r="D379" s="158">
        <f>D378+D377</f>
        <v>3620487</v>
      </c>
      <c r="E379" s="159">
        <f t="shared" ref="E379:P379" si="183">E378+E377</f>
        <v>3620487</v>
      </c>
      <c r="F379" s="159">
        <f t="shared" si="183"/>
        <v>145549</v>
      </c>
      <c r="G379" s="159">
        <f t="shared" si="183"/>
        <v>45549</v>
      </c>
      <c r="H379" s="159">
        <f t="shared" si="183"/>
        <v>100000</v>
      </c>
      <c r="I379" s="159">
        <f t="shared" si="183"/>
        <v>1854451</v>
      </c>
      <c r="J379" s="159">
        <f t="shared" si="183"/>
        <v>0</v>
      </c>
      <c r="K379" s="159">
        <f t="shared" si="183"/>
        <v>1620487</v>
      </c>
      <c r="L379" s="159">
        <f t="shared" si="183"/>
        <v>0</v>
      </c>
      <c r="M379" s="159">
        <f t="shared" si="183"/>
        <v>0</v>
      </c>
      <c r="N379" s="159">
        <f t="shared" si="183"/>
        <v>0</v>
      </c>
      <c r="O379" s="159">
        <f t="shared" si="183"/>
        <v>0</v>
      </c>
      <c r="P379" s="159">
        <f t="shared" si="183"/>
        <v>0</v>
      </c>
      <c r="Q379" s="166"/>
      <c r="R379" s="166"/>
      <c r="S379" s="166"/>
      <c r="T379" s="166"/>
      <c r="U379" s="166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0"/>
      <c r="BW379" s="130"/>
      <c r="BX379" s="130"/>
      <c r="BY379" s="130"/>
      <c r="BZ379" s="130"/>
      <c r="CA379" s="130"/>
      <c r="CB379" s="130"/>
      <c r="CC379" s="130"/>
      <c r="CD379" s="130"/>
      <c r="CE379" s="130"/>
      <c r="CF379" s="130"/>
      <c r="CG379" s="130"/>
      <c r="CH379" s="130"/>
      <c r="CI379" s="130"/>
      <c r="CJ379" s="130"/>
      <c r="CK379" s="130"/>
      <c r="CL379" s="130"/>
      <c r="CM379" s="130"/>
      <c r="CN379" s="130"/>
      <c r="CO379" s="130"/>
      <c r="CP379" s="130"/>
      <c r="CQ379" s="130"/>
      <c r="CR379" s="130"/>
      <c r="CS379" s="130"/>
      <c r="CT379" s="130"/>
      <c r="CU379" s="130"/>
      <c r="CV379" s="130"/>
      <c r="CW379" s="130"/>
      <c r="CX379" s="130"/>
      <c r="CY379" s="130"/>
      <c r="CZ379" s="130"/>
      <c r="DA379" s="130"/>
      <c r="DB379" s="130"/>
      <c r="DC379" s="130"/>
      <c r="DD379" s="130"/>
      <c r="DE379" s="130"/>
      <c r="DF379" s="130"/>
      <c r="DG379" s="130"/>
      <c r="DH379" s="130"/>
      <c r="DI379" s="130"/>
      <c r="DJ379" s="130"/>
      <c r="DK379" s="130"/>
      <c r="DL379" s="130"/>
      <c r="DM379" s="130"/>
      <c r="DN379" s="130"/>
      <c r="DO379" s="130"/>
      <c r="DP379" s="130"/>
      <c r="DQ379" s="130"/>
      <c r="DR379" s="130"/>
      <c r="DS379" s="130"/>
      <c r="DT379" s="130"/>
      <c r="DU379" s="130"/>
      <c r="DV379" s="130"/>
      <c r="DW379" s="130"/>
      <c r="DX379" s="130"/>
      <c r="DY379" s="130"/>
      <c r="DZ379" s="130"/>
      <c r="EA379" s="130"/>
      <c r="EB379" s="130"/>
      <c r="EC379" s="130"/>
      <c r="ED379" s="130"/>
      <c r="EE379" s="130"/>
      <c r="EF379" s="130"/>
      <c r="EG379" s="130"/>
      <c r="EH379" s="130"/>
      <c r="EI379" s="130"/>
      <c r="EJ379" s="130"/>
      <c r="EK379" s="130"/>
      <c r="EL379" s="130"/>
      <c r="EM379" s="130"/>
      <c r="EN379" s="130"/>
      <c r="EO379" s="130"/>
      <c r="EP379" s="130"/>
      <c r="EQ379" s="130"/>
      <c r="ER379" s="130"/>
      <c r="ES379" s="130"/>
      <c r="ET379" s="130"/>
      <c r="EU379" s="130"/>
      <c r="EV379" s="130"/>
      <c r="EW379" s="130"/>
      <c r="EX379" s="130"/>
      <c r="EY379" s="130"/>
      <c r="EZ379" s="130"/>
      <c r="FA379" s="130"/>
      <c r="FB379" s="130"/>
      <c r="FC379" s="130"/>
      <c r="FD379" s="130"/>
      <c r="FE379" s="130"/>
      <c r="FF379" s="130"/>
      <c r="FG379" s="130"/>
      <c r="FH379" s="130"/>
      <c r="FI379" s="130"/>
      <c r="FJ379" s="130"/>
      <c r="FK379" s="130"/>
      <c r="FL379" s="130"/>
      <c r="FM379" s="130"/>
      <c r="FN379" s="130"/>
      <c r="FO379" s="130"/>
      <c r="FP379" s="130"/>
      <c r="FQ379" s="130"/>
      <c r="FR379" s="130"/>
      <c r="FS379" s="130"/>
      <c r="FT379" s="130"/>
      <c r="FU379" s="130"/>
      <c r="FV379" s="130"/>
      <c r="FW379" s="130"/>
      <c r="FX379" s="130"/>
      <c r="FY379" s="130"/>
      <c r="FZ379" s="130"/>
      <c r="GA379" s="130"/>
      <c r="GB379" s="130"/>
      <c r="GC379" s="130"/>
      <c r="GD379" s="130"/>
      <c r="GE379" s="130"/>
      <c r="GF379" s="130"/>
      <c r="GG379" s="130"/>
      <c r="GH379" s="130"/>
      <c r="GI379" s="130"/>
      <c r="GJ379" s="130"/>
      <c r="GK379" s="130"/>
      <c r="GL379" s="130"/>
      <c r="GM379" s="130"/>
      <c r="GN379" s="130"/>
      <c r="GO379" s="130"/>
      <c r="GP379" s="130"/>
      <c r="GQ379" s="130"/>
      <c r="GR379" s="130"/>
      <c r="GS379" s="130"/>
      <c r="GT379" s="130"/>
      <c r="GU379" s="130"/>
      <c r="GV379" s="130"/>
      <c r="GW379" s="130"/>
      <c r="GX379" s="130"/>
      <c r="GY379" s="130"/>
      <c r="GZ379" s="130"/>
      <c r="HA379" s="130"/>
      <c r="HB379" s="130"/>
      <c r="HC379" s="130"/>
      <c r="HD379" s="130"/>
      <c r="HE379" s="130"/>
      <c r="HF379" s="130"/>
      <c r="HG379" s="130"/>
      <c r="HH379" s="130"/>
      <c r="HI379" s="130"/>
      <c r="HJ379" s="130"/>
      <c r="HK379" s="130"/>
      <c r="HL379" s="130"/>
      <c r="HM379" s="130"/>
      <c r="HN379" s="130"/>
      <c r="HO379" s="130"/>
      <c r="HP379" s="130"/>
      <c r="HQ379" s="130"/>
      <c r="HR379" s="130"/>
      <c r="HS379" s="130"/>
      <c r="HT379" s="130"/>
      <c r="HU379" s="130"/>
      <c r="HV379" s="130"/>
      <c r="HW379" s="130"/>
      <c r="HX379" s="130"/>
      <c r="HY379" s="130"/>
      <c r="HZ379" s="130"/>
      <c r="IA379" s="130"/>
      <c r="IB379" s="130"/>
      <c r="IC379" s="130"/>
      <c r="ID379" s="130"/>
      <c r="IE379" s="130"/>
      <c r="IF379" s="130"/>
      <c r="IG379" s="130"/>
      <c r="IH379" s="130"/>
      <c r="II379" s="130"/>
      <c r="IJ379" s="130"/>
      <c r="IK379" s="130"/>
      <c r="IL379" s="130"/>
      <c r="IM379" s="130"/>
      <c r="IN379" s="130"/>
      <c r="IO379" s="130"/>
      <c r="IP379" s="130"/>
      <c r="IQ379" s="130"/>
      <c r="IR379" s="130"/>
      <c r="IS379" s="130"/>
      <c r="IT379" s="130"/>
      <c r="IU379" s="130"/>
      <c r="IV379" s="130"/>
    </row>
    <row r="380" spans="1:256">
      <c r="A380" s="823">
        <v>92195</v>
      </c>
      <c r="B380" s="826" t="s">
        <v>103</v>
      </c>
      <c r="C380" s="157" t="s">
        <v>0</v>
      </c>
      <c r="D380" s="158">
        <f t="shared" si="172"/>
        <v>18775008</v>
      </c>
      <c r="E380" s="159">
        <f t="shared" si="173"/>
        <v>17388527</v>
      </c>
      <c r="F380" s="159">
        <f t="shared" si="174"/>
        <v>10510000</v>
      </c>
      <c r="G380" s="159">
        <v>85000</v>
      </c>
      <c r="H380" s="159">
        <f>224000+91000+10110000</f>
        <v>10425000</v>
      </c>
      <c r="I380" s="159">
        <v>6150000</v>
      </c>
      <c r="J380" s="159">
        <v>450000</v>
      </c>
      <c r="K380" s="159">
        <v>278527</v>
      </c>
      <c r="L380" s="159">
        <v>0</v>
      </c>
      <c r="M380" s="159">
        <f t="shared" si="175"/>
        <v>1386481</v>
      </c>
      <c r="N380" s="159">
        <v>1386481</v>
      </c>
      <c r="O380" s="159">
        <v>1077696</v>
      </c>
      <c r="P380" s="159">
        <v>0</v>
      </c>
      <c r="Q380" s="166"/>
      <c r="R380" s="166"/>
      <c r="S380" s="166"/>
      <c r="T380" s="166"/>
      <c r="U380" s="166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0"/>
      <c r="BW380" s="130"/>
      <c r="BX380" s="130"/>
      <c r="BY380" s="130"/>
      <c r="BZ380" s="130"/>
      <c r="CA380" s="130"/>
      <c r="CB380" s="130"/>
      <c r="CC380" s="130"/>
      <c r="CD380" s="130"/>
      <c r="CE380" s="130"/>
      <c r="CF380" s="130"/>
      <c r="CG380" s="130"/>
      <c r="CH380" s="130"/>
      <c r="CI380" s="130"/>
      <c r="CJ380" s="130"/>
      <c r="CK380" s="130"/>
      <c r="CL380" s="130"/>
      <c r="CM380" s="130"/>
      <c r="CN380" s="130"/>
      <c r="CO380" s="130"/>
      <c r="CP380" s="130"/>
      <c r="CQ380" s="130"/>
      <c r="CR380" s="130"/>
      <c r="CS380" s="130"/>
      <c r="CT380" s="130"/>
      <c r="CU380" s="130"/>
      <c r="CV380" s="130"/>
      <c r="CW380" s="130"/>
      <c r="CX380" s="130"/>
      <c r="CY380" s="130"/>
      <c r="CZ380" s="130"/>
      <c r="DA380" s="130"/>
      <c r="DB380" s="130"/>
      <c r="DC380" s="130"/>
      <c r="DD380" s="130"/>
      <c r="DE380" s="130"/>
      <c r="DF380" s="130"/>
      <c r="DG380" s="130"/>
      <c r="DH380" s="130"/>
      <c r="DI380" s="130"/>
      <c r="DJ380" s="130"/>
      <c r="DK380" s="130"/>
      <c r="DL380" s="130"/>
      <c r="DM380" s="130"/>
      <c r="DN380" s="130"/>
      <c r="DO380" s="130"/>
      <c r="DP380" s="130"/>
      <c r="DQ380" s="130"/>
      <c r="DR380" s="130"/>
      <c r="DS380" s="130"/>
      <c r="DT380" s="130"/>
      <c r="DU380" s="130"/>
      <c r="DV380" s="130"/>
      <c r="DW380" s="130"/>
      <c r="DX380" s="130"/>
      <c r="DY380" s="130"/>
      <c r="DZ380" s="130"/>
      <c r="EA380" s="130"/>
      <c r="EB380" s="130"/>
      <c r="EC380" s="130"/>
      <c r="ED380" s="130"/>
      <c r="EE380" s="130"/>
      <c r="EF380" s="130"/>
      <c r="EG380" s="130"/>
      <c r="EH380" s="130"/>
      <c r="EI380" s="130"/>
      <c r="EJ380" s="130"/>
      <c r="EK380" s="130"/>
      <c r="EL380" s="130"/>
      <c r="EM380" s="130"/>
      <c r="EN380" s="130"/>
      <c r="EO380" s="130"/>
      <c r="EP380" s="130"/>
      <c r="EQ380" s="130"/>
      <c r="ER380" s="130"/>
      <c r="ES380" s="130"/>
      <c r="ET380" s="130"/>
      <c r="EU380" s="130"/>
      <c r="EV380" s="130"/>
      <c r="EW380" s="130"/>
      <c r="EX380" s="130"/>
      <c r="EY380" s="130"/>
      <c r="EZ380" s="130"/>
      <c r="FA380" s="130"/>
      <c r="FB380" s="130"/>
      <c r="FC380" s="130"/>
      <c r="FD380" s="130"/>
      <c r="FE380" s="130"/>
      <c r="FF380" s="130"/>
      <c r="FG380" s="130"/>
      <c r="FH380" s="130"/>
      <c r="FI380" s="130"/>
      <c r="FJ380" s="130"/>
      <c r="FK380" s="130"/>
      <c r="FL380" s="130"/>
      <c r="FM380" s="130"/>
      <c r="FN380" s="130"/>
      <c r="FO380" s="130"/>
      <c r="FP380" s="130"/>
      <c r="FQ380" s="130"/>
      <c r="FR380" s="130"/>
      <c r="FS380" s="130"/>
      <c r="FT380" s="130"/>
      <c r="FU380" s="130"/>
      <c r="FV380" s="130"/>
      <c r="FW380" s="130"/>
      <c r="FX380" s="130"/>
      <c r="FY380" s="130"/>
      <c r="FZ380" s="130"/>
      <c r="GA380" s="130"/>
      <c r="GB380" s="130"/>
      <c r="GC380" s="130"/>
      <c r="GD380" s="130"/>
      <c r="GE380" s="130"/>
      <c r="GF380" s="130"/>
      <c r="GG380" s="130"/>
      <c r="GH380" s="130"/>
      <c r="GI380" s="130"/>
      <c r="GJ380" s="130"/>
      <c r="GK380" s="130"/>
      <c r="GL380" s="130"/>
      <c r="GM380" s="130"/>
      <c r="GN380" s="130"/>
      <c r="GO380" s="130"/>
      <c r="GP380" s="130"/>
      <c r="GQ380" s="130"/>
      <c r="GR380" s="130"/>
      <c r="GS380" s="130"/>
      <c r="GT380" s="130"/>
      <c r="GU380" s="130"/>
      <c r="GV380" s="130"/>
      <c r="GW380" s="130"/>
      <c r="GX380" s="130"/>
      <c r="GY380" s="130"/>
      <c r="GZ380" s="130"/>
      <c r="HA380" s="130"/>
      <c r="HB380" s="130"/>
      <c r="HC380" s="130"/>
      <c r="HD380" s="130"/>
      <c r="HE380" s="130"/>
      <c r="HF380" s="130"/>
      <c r="HG380" s="130"/>
      <c r="HH380" s="130"/>
      <c r="HI380" s="130"/>
      <c r="HJ380" s="130"/>
      <c r="HK380" s="130"/>
      <c r="HL380" s="130"/>
      <c r="HM380" s="130"/>
      <c r="HN380" s="130"/>
      <c r="HO380" s="130"/>
      <c r="HP380" s="130"/>
      <c r="HQ380" s="130"/>
      <c r="HR380" s="130"/>
      <c r="HS380" s="130"/>
      <c r="HT380" s="130"/>
      <c r="HU380" s="130"/>
      <c r="HV380" s="130"/>
      <c r="HW380" s="130"/>
      <c r="HX380" s="130"/>
      <c r="HY380" s="130"/>
      <c r="HZ380" s="130"/>
      <c r="IA380" s="130"/>
      <c r="IB380" s="130"/>
      <c r="IC380" s="130"/>
      <c r="ID380" s="130"/>
      <c r="IE380" s="130"/>
      <c r="IF380" s="130"/>
      <c r="IG380" s="130"/>
      <c r="IH380" s="130"/>
      <c r="II380" s="130"/>
      <c r="IJ380" s="130"/>
      <c r="IK380" s="130"/>
      <c r="IL380" s="130"/>
      <c r="IM380" s="130"/>
      <c r="IN380" s="130"/>
      <c r="IO380" s="130"/>
      <c r="IP380" s="130"/>
      <c r="IQ380" s="130"/>
      <c r="IR380" s="130"/>
      <c r="IS380" s="130"/>
      <c r="IT380" s="130"/>
      <c r="IU380" s="130"/>
      <c r="IV380" s="130"/>
    </row>
    <row r="381" spans="1:256">
      <c r="A381" s="824"/>
      <c r="B381" s="827"/>
      <c r="C381" s="157" t="s">
        <v>1</v>
      </c>
      <c r="D381" s="158">
        <f t="shared" si="172"/>
        <v>1074697</v>
      </c>
      <c r="E381" s="159">
        <f t="shared" si="173"/>
        <v>1019243</v>
      </c>
      <c r="F381" s="159">
        <f t="shared" si="174"/>
        <v>1000000</v>
      </c>
      <c r="G381" s="159"/>
      <c r="H381" s="159">
        <v>1000000</v>
      </c>
      <c r="I381" s="159"/>
      <c r="J381" s="159"/>
      <c r="K381" s="159">
        <f>448+12438+3110+2105+527+305+76+187+47</f>
        <v>19243</v>
      </c>
      <c r="L381" s="159"/>
      <c r="M381" s="159">
        <f t="shared" si="175"/>
        <v>55454</v>
      </c>
      <c r="N381" s="159">
        <v>55454</v>
      </c>
      <c r="O381" s="159">
        <v>55454</v>
      </c>
      <c r="P381" s="159"/>
      <c r="Q381" s="166"/>
      <c r="R381" s="166"/>
      <c r="S381" s="166"/>
      <c r="T381" s="166"/>
      <c r="U381" s="166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/>
      <c r="BS381" s="130"/>
      <c r="BT381" s="130"/>
      <c r="BU381" s="130"/>
      <c r="BV381" s="130"/>
      <c r="BW381" s="130"/>
      <c r="BX381" s="130"/>
      <c r="BY381" s="130"/>
      <c r="BZ381" s="130"/>
      <c r="CA381" s="130"/>
      <c r="CB381" s="130"/>
      <c r="CC381" s="130"/>
      <c r="CD381" s="130"/>
      <c r="CE381" s="130"/>
      <c r="CF381" s="130"/>
      <c r="CG381" s="130"/>
      <c r="CH381" s="130"/>
      <c r="CI381" s="130"/>
      <c r="CJ381" s="130"/>
      <c r="CK381" s="130"/>
      <c r="CL381" s="130"/>
      <c r="CM381" s="130"/>
      <c r="CN381" s="130"/>
      <c r="CO381" s="130"/>
      <c r="CP381" s="130"/>
      <c r="CQ381" s="130"/>
      <c r="CR381" s="130"/>
      <c r="CS381" s="130"/>
      <c r="CT381" s="130"/>
      <c r="CU381" s="130"/>
      <c r="CV381" s="130"/>
      <c r="CW381" s="130"/>
      <c r="CX381" s="130"/>
      <c r="CY381" s="130"/>
      <c r="CZ381" s="130"/>
      <c r="DA381" s="130"/>
      <c r="DB381" s="130"/>
      <c r="DC381" s="130"/>
      <c r="DD381" s="130"/>
      <c r="DE381" s="130"/>
      <c r="DF381" s="130"/>
      <c r="DG381" s="130"/>
      <c r="DH381" s="130"/>
      <c r="DI381" s="130"/>
      <c r="DJ381" s="130"/>
      <c r="DK381" s="130"/>
      <c r="DL381" s="130"/>
      <c r="DM381" s="130"/>
      <c r="DN381" s="130"/>
      <c r="DO381" s="130"/>
      <c r="DP381" s="130"/>
      <c r="DQ381" s="130"/>
      <c r="DR381" s="130"/>
      <c r="DS381" s="130"/>
      <c r="DT381" s="130"/>
      <c r="DU381" s="130"/>
      <c r="DV381" s="130"/>
      <c r="DW381" s="130"/>
      <c r="DX381" s="130"/>
      <c r="DY381" s="130"/>
      <c r="DZ381" s="130"/>
      <c r="EA381" s="130"/>
      <c r="EB381" s="130"/>
      <c r="EC381" s="130"/>
      <c r="ED381" s="130"/>
      <c r="EE381" s="130"/>
      <c r="EF381" s="130"/>
      <c r="EG381" s="130"/>
      <c r="EH381" s="130"/>
      <c r="EI381" s="130"/>
      <c r="EJ381" s="130"/>
      <c r="EK381" s="130"/>
      <c r="EL381" s="130"/>
      <c r="EM381" s="130"/>
      <c r="EN381" s="130"/>
      <c r="EO381" s="130"/>
      <c r="EP381" s="130"/>
      <c r="EQ381" s="130"/>
      <c r="ER381" s="130"/>
      <c r="ES381" s="130"/>
      <c r="ET381" s="130"/>
      <c r="EU381" s="130"/>
      <c r="EV381" s="130"/>
      <c r="EW381" s="130"/>
      <c r="EX381" s="130"/>
      <c r="EY381" s="130"/>
      <c r="EZ381" s="130"/>
      <c r="FA381" s="130"/>
      <c r="FB381" s="130"/>
      <c r="FC381" s="130"/>
      <c r="FD381" s="130"/>
      <c r="FE381" s="130"/>
      <c r="FF381" s="130"/>
      <c r="FG381" s="130"/>
      <c r="FH381" s="130"/>
      <c r="FI381" s="130"/>
      <c r="FJ381" s="130"/>
      <c r="FK381" s="130"/>
      <c r="FL381" s="130"/>
      <c r="FM381" s="130"/>
      <c r="FN381" s="130"/>
      <c r="FO381" s="130"/>
      <c r="FP381" s="130"/>
      <c r="FQ381" s="130"/>
      <c r="FR381" s="130"/>
      <c r="FS381" s="130"/>
      <c r="FT381" s="130"/>
      <c r="FU381" s="130"/>
      <c r="FV381" s="130"/>
      <c r="FW381" s="130"/>
      <c r="FX381" s="130"/>
      <c r="FY381" s="130"/>
      <c r="FZ381" s="130"/>
      <c r="GA381" s="130"/>
      <c r="GB381" s="130"/>
      <c r="GC381" s="130"/>
      <c r="GD381" s="130"/>
      <c r="GE381" s="130"/>
      <c r="GF381" s="130"/>
      <c r="GG381" s="130"/>
      <c r="GH381" s="130"/>
      <c r="GI381" s="130"/>
      <c r="GJ381" s="130"/>
      <c r="GK381" s="130"/>
      <c r="GL381" s="130"/>
      <c r="GM381" s="130"/>
      <c r="GN381" s="130"/>
      <c r="GO381" s="130"/>
      <c r="GP381" s="130"/>
      <c r="GQ381" s="130"/>
      <c r="GR381" s="130"/>
      <c r="GS381" s="130"/>
      <c r="GT381" s="130"/>
      <c r="GU381" s="130"/>
      <c r="GV381" s="130"/>
      <c r="GW381" s="130"/>
      <c r="GX381" s="130"/>
      <c r="GY381" s="130"/>
      <c r="GZ381" s="130"/>
      <c r="HA381" s="130"/>
      <c r="HB381" s="130"/>
      <c r="HC381" s="130"/>
      <c r="HD381" s="130"/>
      <c r="HE381" s="130"/>
      <c r="HF381" s="130"/>
      <c r="HG381" s="130"/>
      <c r="HH381" s="130"/>
      <c r="HI381" s="130"/>
      <c r="HJ381" s="130"/>
      <c r="HK381" s="130"/>
      <c r="HL381" s="130"/>
      <c r="HM381" s="130"/>
      <c r="HN381" s="130"/>
      <c r="HO381" s="130"/>
      <c r="HP381" s="130"/>
      <c r="HQ381" s="130"/>
      <c r="HR381" s="130"/>
      <c r="HS381" s="130"/>
      <c r="HT381" s="130"/>
      <c r="HU381" s="130"/>
      <c r="HV381" s="130"/>
      <c r="HW381" s="130"/>
      <c r="HX381" s="130"/>
      <c r="HY381" s="130"/>
      <c r="HZ381" s="130"/>
      <c r="IA381" s="130"/>
      <c r="IB381" s="130"/>
      <c r="IC381" s="130"/>
      <c r="ID381" s="130"/>
      <c r="IE381" s="130"/>
      <c r="IF381" s="130"/>
      <c r="IG381" s="130"/>
      <c r="IH381" s="130"/>
      <c r="II381" s="130"/>
      <c r="IJ381" s="130"/>
      <c r="IK381" s="130"/>
      <c r="IL381" s="130"/>
      <c r="IM381" s="130"/>
      <c r="IN381" s="130"/>
      <c r="IO381" s="130"/>
      <c r="IP381" s="130"/>
      <c r="IQ381" s="130"/>
      <c r="IR381" s="130"/>
      <c r="IS381" s="130"/>
      <c r="IT381" s="130"/>
      <c r="IU381" s="130"/>
      <c r="IV381" s="130"/>
    </row>
    <row r="382" spans="1:256">
      <c r="A382" s="825"/>
      <c r="B382" s="828"/>
      <c r="C382" s="157" t="s">
        <v>2</v>
      </c>
      <c r="D382" s="158">
        <f>D381+D380</f>
        <v>19849705</v>
      </c>
      <c r="E382" s="159">
        <f t="shared" ref="E382:P382" si="184">E381+E380</f>
        <v>18407770</v>
      </c>
      <c r="F382" s="159">
        <f t="shared" si="184"/>
        <v>11510000</v>
      </c>
      <c r="G382" s="159">
        <f t="shared" si="184"/>
        <v>85000</v>
      </c>
      <c r="H382" s="159">
        <f t="shared" si="184"/>
        <v>11425000</v>
      </c>
      <c r="I382" s="159">
        <f t="shared" si="184"/>
        <v>6150000</v>
      </c>
      <c r="J382" s="159">
        <f t="shared" si="184"/>
        <v>450000</v>
      </c>
      <c r="K382" s="159">
        <f t="shared" si="184"/>
        <v>297770</v>
      </c>
      <c r="L382" s="159">
        <f t="shared" si="184"/>
        <v>0</v>
      </c>
      <c r="M382" s="159">
        <f t="shared" si="184"/>
        <v>1441935</v>
      </c>
      <c r="N382" s="159">
        <f t="shared" si="184"/>
        <v>1441935</v>
      </c>
      <c r="O382" s="159">
        <f t="shared" si="184"/>
        <v>1133150</v>
      </c>
      <c r="P382" s="159">
        <f t="shared" si="184"/>
        <v>0</v>
      </c>
      <c r="Q382" s="166"/>
      <c r="R382" s="166"/>
      <c r="S382" s="166"/>
      <c r="T382" s="166"/>
      <c r="U382" s="166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/>
      <c r="BR382" s="130"/>
      <c r="BS382" s="130"/>
      <c r="BT382" s="130"/>
      <c r="BU382" s="130"/>
      <c r="BV382" s="130"/>
      <c r="BW382" s="130"/>
      <c r="BX382" s="130"/>
      <c r="BY382" s="130"/>
      <c r="BZ382" s="130"/>
      <c r="CA382" s="130"/>
      <c r="CB382" s="130"/>
      <c r="CC382" s="130"/>
      <c r="CD382" s="130"/>
      <c r="CE382" s="130"/>
      <c r="CF382" s="130"/>
      <c r="CG382" s="130"/>
      <c r="CH382" s="130"/>
      <c r="CI382" s="130"/>
      <c r="CJ382" s="130"/>
      <c r="CK382" s="130"/>
      <c r="CL382" s="130"/>
      <c r="CM382" s="130"/>
      <c r="CN382" s="130"/>
      <c r="CO382" s="130"/>
      <c r="CP382" s="130"/>
      <c r="CQ382" s="130"/>
      <c r="CR382" s="130"/>
      <c r="CS382" s="130"/>
      <c r="CT382" s="130"/>
      <c r="CU382" s="130"/>
      <c r="CV382" s="130"/>
      <c r="CW382" s="130"/>
      <c r="CX382" s="130"/>
      <c r="CY382" s="130"/>
      <c r="CZ382" s="130"/>
      <c r="DA382" s="130"/>
      <c r="DB382" s="130"/>
      <c r="DC382" s="130"/>
      <c r="DD382" s="130"/>
      <c r="DE382" s="130"/>
      <c r="DF382" s="130"/>
      <c r="DG382" s="130"/>
      <c r="DH382" s="130"/>
      <c r="DI382" s="130"/>
      <c r="DJ382" s="130"/>
      <c r="DK382" s="130"/>
      <c r="DL382" s="130"/>
      <c r="DM382" s="130"/>
      <c r="DN382" s="130"/>
      <c r="DO382" s="130"/>
      <c r="DP382" s="130"/>
      <c r="DQ382" s="130"/>
      <c r="DR382" s="130"/>
      <c r="DS382" s="130"/>
      <c r="DT382" s="130"/>
      <c r="DU382" s="130"/>
      <c r="DV382" s="130"/>
      <c r="DW382" s="130"/>
      <c r="DX382" s="130"/>
      <c r="DY382" s="130"/>
      <c r="DZ382" s="130"/>
      <c r="EA382" s="130"/>
      <c r="EB382" s="130"/>
      <c r="EC382" s="130"/>
      <c r="ED382" s="130"/>
      <c r="EE382" s="130"/>
      <c r="EF382" s="130"/>
      <c r="EG382" s="130"/>
      <c r="EH382" s="130"/>
      <c r="EI382" s="130"/>
      <c r="EJ382" s="130"/>
      <c r="EK382" s="130"/>
      <c r="EL382" s="130"/>
      <c r="EM382" s="130"/>
      <c r="EN382" s="130"/>
      <c r="EO382" s="130"/>
      <c r="EP382" s="130"/>
      <c r="EQ382" s="130"/>
      <c r="ER382" s="130"/>
      <c r="ES382" s="130"/>
      <c r="ET382" s="130"/>
      <c r="EU382" s="130"/>
      <c r="EV382" s="130"/>
      <c r="EW382" s="130"/>
      <c r="EX382" s="130"/>
      <c r="EY382" s="130"/>
      <c r="EZ382" s="130"/>
      <c r="FA382" s="130"/>
      <c r="FB382" s="130"/>
      <c r="FC382" s="130"/>
      <c r="FD382" s="130"/>
      <c r="FE382" s="130"/>
      <c r="FF382" s="130"/>
      <c r="FG382" s="130"/>
      <c r="FH382" s="130"/>
      <c r="FI382" s="130"/>
      <c r="FJ382" s="130"/>
      <c r="FK382" s="130"/>
      <c r="FL382" s="130"/>
      <c r="FM382" s="130"/>
      <c r="FN382" s="130"/>
      <c r="FO382" s="130"/>
      <c r="FP382" s="130"/>
      <c r="FQ382" s="130"/>
      <c r="FR382" s="130"/>
      <c r="FS382" s="130"/>
      <c r="FT382" s="130"/>
      <c r="FU382" s="130"/>
      <c r="FV382" s="130"/>
      <c r="FW382" s="130"/>
      <c r="FX382" s="130"/>
      <c r="FY382" s="130"/>
      <c r="FZ382" s="130"/>
      <c r="GA382" s="130"/>
      <c r="GB382" s="130"/>
      <c r="GC382" s="130"/>
      <c r="GD382" s="130"/>
      <c r="GE382" s="130"/>
      <c r="GF382" s="130"/>
      <c r="GG382" s="130"/>
      <c r="GH382" s="130"/>
      <c r="GI382" s="130"/>
      <c r="GJ382" s="130"/>
      <c r="GK382" s="130"/>
      <c r="GL382" s="130"/>
      <c r="GM382" s="130"/>
      <c r="GN382" s="130"/>
      <c r="GO382" s="130"/>
      <c r="GP382" s="130"/>
      <c r="GQ382" s="130"/>
      <c r="GR382" s="130"/>
      <c r="GS382" s="130"/>
      <c r="GT382" s="130"/>
      <c r="GU382" s="130"/>
      <c r="GV382" s="130"/>
      <c r="GW382" s="130"/>
      <c r="GX382" s="130"/>
      <c r="GY382" s="130"/>
      <c r="GZ382" s="130"/>
      <c r="HA382" s="130"/>
      <c r="HB382" s="130"/>
      <c r="HC382" s="130"/>
      <c r="HD382" s="130"/>
      <c r="HE382" s="130"/>
      <c r="HF382" s="130"/>
      <c r="HG382" s="130"/>
      <c r="HH382" s="130"/>
      <c r="HI382" s="130"/>
      <c r="HJ382" s="130"/>
      <c r="HK382" s="130"/>
      <c r="HL382" s="130"/>
      <c r="HM382" s="130"/>
      <c r="HN382" s="130"/>
      <c r="HO382" s="130"/>
      <c r="HP382" s="130"/>
      <c r="HQ382" s="130"/>
      <c r="HR382" s="130"/>
      <c r="HS382" s="130"/>
      <c r="HT382" s="130"/>
      <c r="HU382" s="130"/>
      <c r="HV382" s="130"/>
      <c r="HW382" s="130"/>
      <c r="HX382" s="130"/>
      <c r="HY382" s="130"/>
      <c r="HZ382" s="130"/>
      <c r="IA382" s="130"/>
      <c r="IB382" s="130"/>
      <c r="IC382" s="130"/>
      <c r="ID382" s="130"/>
      <c r="IE382" s="130"/>
      <c r="IF382" s="130"/>
      <c r="IG382" s="130"/>
      <c r="IH382" s="130"/>
      <c r="II382" s="130"/>
      <c r="IJ382" s="130"/>
      <c r="IK382" s="130"/>
      <c r="IL382" s="130"/>
      <c r="IM382" s="130"/>
      <c r="IN382" s="130"/>
      <c r="IO382" s="130"/>
      <c r="IP382" s="130"/>
      <c r="IQ382" s="130"/>
      <c r="IR382" s="130"/>
      <c r="IS382" s="130"/>
      <c r="IT382" s="130"/>
      <c r="IU382" s="130"/>
      <c r="IV382" s="130"/>
    </row>
    <row r="383" spans="1:256" ht="15">
      <c r="A383" s="835">
        <v>925</v>
      </c>
      <c r="B383" s="838" t="s">
        <v>69</v>
      </c>
      <c r="C383" s="161" t="s">
        <v>0</v>
      </c>
      <c r="D383" s="162">
        <f t="shared" ref="D383:P384" si="185">D386</f>
        <v>18956912</v>
      </c>
      <c r="E383" s="163">
        <f t="shared" si="185"/>
        <v>14863212</v>
      </c>
      <c r="F383" s="163">
        <f t="shared" si="185"/>
        <v>9094412</v>
      </c>
      <c r="G383" s="163">
        <f t="shared" si="185"/>
        <v>7072350</v>
      </c>
      <c r="H383" s="163">
        <f t="shared" si="185"/>
        <v>2022062</v>
      </c>
      <c r="I383" s="163">
        <f t="shared" si="185"/>
        <v>0</v>
      </c>
      <c r="J383" s="163">
        <f t="shared" si="185"/>
        <v>160728</v>
      </c>
      <c r="K383" s="163">
        <f t="shared" si="185"/>
        <v>5608072</v>
      </c>
      <c r="L383" s="163">
        <f t="shared" si="185"/>
        <v>0</v>
      </c>
      <c r="M383" s="163">
        <f t="shared" si="185"/>
        <v>4093700</v>
      </c>
      <c r="N383" s="163">
        <f t="shared" si="185"/>
        <v>4093700</v>
      </c>
      <c r="O383" s="163">
        <f t="shared" si="185"/>
        <v>3755000</v>
      </c>
      <c r="P383" s="163">
        <f t="shared" si="185"/>
        <v>0</v>
      </c>
      <c r="Q383" s="174"/>
      <c r="R383" s="174"/>
      <c r="S383" s="174"/>
      <c r="T383" s="174"/>
      <c r="U383" s="174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5"/>
      <c r="BM383" s="175"/>
      <c r="BN383" s="175"/>
      <c r="BO383" s="175"/>
      <c r="BP383" s="175"/>
      <c r="BQ383" s="175"/>
      <c r="BR383" s="175"/>
      <c r="BS383" s="175"/>
      <c r="BT383" s="175"/>
      <c r="BU383" s="175"/>
      <c r="BV383" s="175"/>
      <c r="BW383" s="175"/>
      <c r="BX383" s="175"/>
      <c r="BY383" s="175"/>
      <c r="BZ383" s="175"/>
      <c r="CA383" s="175"/>
      <c r="CB383" s="175"/>
      <c r="CC383" s="175"/>
      <c r="CD383" s="175"/>
      <c r="CE383" s="175"/>
      <c r="CF383" s="175"/>
      <c r="CG383" s="175"/>
      <c r="CH383" s="175"/>
      <c r="CI383" s="175"/>
      <c r="CJ383" s="175"/>
      <c r="CK383" s="175"/>
      <c r="CL383" s="175"/>
      <c r="CM383" s="175"/>
      <c r="CN383" s="175"/>
      <c r="CO383" s="175"/>
      <c r="CP383" s="175"/>
      <c r="CQ383" s="175"/>
      <c r="CR383" s="175"/>
      <c r="CS383" s="175"/>
      <c r="CT383" s="175"/>
      <c r="CU383" s="175"/>
      <c r="CV383" s="175"/>
      <c r="CW383" s="175"/>
      <c r="CX383" s="175"/>
      <c r="CY383" s="175"/>
      <c r="CZ383" s="175"/>
      <c r="DA383" s="175"/>
      <c r="DB383" s="175"/>
      <c r="DC383" s="175"/>
      <c r="DD383" s="175"/>
      <c r="DE383" s="175"/>
      <c r="DF383" s="175"/>
      <c r="DG383" s="175"/>
      <c r="DH383" s="175"/>
      <c r="DI383" s="175"/>
      <c r="DJ383" s="175"/>
      <c r="DK383" s="175"/>
      <c r="DL383" s="175"/>
      <c r="DM383" s="175"/>
      <c r="DN383" s="175"/>
      <c r="DO383" s="175"/>
      <c r="DP383" s="175"/>
      <c r="DQ383" s="175"/>
      <c r="DR383" s="175"/>
      <c r="DS383" s="175"/>
      <c r="DT383" s="175"/>
      <c r="DU383" s="175"/>
      <c r="DV383" s="175"/>
      <c r="DW383" s="175"/>
      <c r="DX383" s="175"/>
      <c r="DY383" s="175"/>
      <c r="DZ383" s="175"/>
      <c r="EA383" s="175"/>
      <c r="EB383" s="175"/>
      <c r="EC383" s="175"/>
      <c r="ED383" s="175"/>
      <c r="EE383" s="175"/>
      <c r="EF383" s="175"/>
      <c r="EG383" s="175"/>
      <c r="EH383" s="175"/>
      <c r="EI383" s="175"/>
      <c r="EJ383" s="175"/>
      <c r="EK383" s="175"/>
      <c r="EL383" s="175"/>
      <c r="EM383" s="175"/>
      <c r="EN383" s="175"/>
      <c r="EO383" s="175"/>
      <c r="EP383" s="175"/>
      <c r="EQ383" s="175"/>
      <c r="ER383" s="175"/>
      <c r="ES383" s="175"/>
      <c r="ET383" s="175"/>
      <c r="EU383" s="175"/>
      <c r="EV383" s="175"/>
      <c r="EW383" s="175"/>
      <c r="EX383" s="175"/>
      <c r="EY383" s="175"/>
      <c r="EZ383" s="175"/>
      <c r="FA383" s="175"/>
      <c r="FB383" s="175"/>
      <c r="FC383" s="175"/>
      <c r="FD383" s="175"/>
      <c r="FE383" s="175"/>
      <c r="FF383" s="175"/>
      <c r="FG383" s="175"/>
      <c r="FH383" s="175"/>
      <c r="FI383" s="175"/>
      <c r="FJ383" s="175"/>
      <c r="FK383" s="175"/>
      <c r="FL383" s="175"/>
      <c r="FM383" s="175"/>
      <c r="FN383" s="175"/>
      <c r="FO383" s="175"/>
      <c r="FP383" s="175"/>
      <c r="FQ383" s="175"/>
      <c r="FR383" s="175"/>
      <c r="FS383" s="175"/>
      <c r="FT383" s="175"/>
      <c r="FU383" s="175"/>
      <c r="FV383" s="175"/>
      <c r="FW383" s="175"/>
      <c r="FX383" s="175"/>
      <c r="FY383" s="175"/>
      <c r="FZ383" s="175"/>
      <c r="GA383" s="175"/>
      <c r="GB383" s="175"/>
      <c r="GC383" s="175"/>
      <c r="GD383" s="175"/>
      <c r="GE383" s="175"/>
      <c r="GF383" s="175"/>
      <c r="GG383" s="175"/>
      <c r="GH383" s="175"/>
      <c r="GI383" s="175"/>
      <c r="GJ383" s="175"/>
      <c r="GK383" s="175"/>
      <c r="GL383" s="175"/>
      <c r="GM383" s="175"/>
      <c r="GN383" s="175"/>
      <c r="GO383" s="175"/>
      <c r="GP383" s="175"/>
      <c r="GQ383" s="175"/>
      <c r="GR383" s="175"/>
      <c r="GS383" s="175"/>
      <c r="GT383" s="175"/>
      <c r="GU383" s="175"/>
      <c r="GV383" s="175"/>
      <c r="GW383" s="175"/>
      <c r="GX383" s="175"/>
      <c r="GY383" s="175"/>
      <c r="GZ383" s="175"/>
      <c r="HA383" s="175"/>
      <c r="HB383" s="175"/>
      <c r="HC383" s="175"/>
      <c r="HD383" s="175"/>
      <c r="HE383" s="175"/>
      <c r="HF383" s="175"/>
      <c r="HG383" s="175"/>
      <c r="HH383" s="175"/>
      <c r="HI383" s="175"/>
      <c r="HJ383" s="175"/>
      <c r="HK383" s="175"/>
      <c r="HL383" s="175"/>
      <c r="HM383" s="175"/>
      <c r="HN383" s="175"/>
      <c r="HO383" s="175"/>
      <c r="HP383" s="175"/>
      <c r="HQ383" s="175"/>
      <c r="HR383" s="175"/>
      <c r="HS383" s="175"/>
      <c r="HT383" s="175"/>
      <c r="HU383" s="175"/>
      <c r="HV383" s="175"/>
      <c r="HW383" s="175"/>
      <c r="HX383" s="175"/>
      <c r="HY383" s="175"/>
      <c r="HZ383" s="175"/>
      <c r="IA383" s="175"/>
      <c r="IB383" s="175"/>
      <c r="IC383" s="175"/>
      <c r="ID383" s="175"/>
      <c r="IE383" s="175"/>
      <c r="IF383" s="175"/>
      <c r="IG383" s="175"/>
      <c r="IH383" s="175"/>
      <c r="II383" s="175"/>
      <c r="IJ383" s="175"/>
      <c r="IK383" s="175"/>
      <c r="IL383" s="175"/>
      <c r="IM383" s="175"/>
      <c r="IN383" s="175"/>
      <c r="IO383" s="175"/>
      <c r="IP383" s="175"/>
      <c r="IQ383" s="175"/>
      <c r="IR383" s="175"/>
      <c r="IS383" s="175"/>
      <c r="IT383" s="175"/>
      <c r="IU383" s="175"/>
      <c r="IV383" s="175"/>
    </row>
    <row r="384" spans="1:256" ht="15">
      <c r="A384" s="836"/>
      <c r="B384" s="839"/>
      <c r="C384" s="161" t="s">
        <v>1</v>
      </c>
      <c r="D384" s="162">
        <f t="shared" si="185"/>
        <v>274812</v>
      </c>
      <c r="E384" s="163">
        <f t="shared" si="185"/>
        <v>274812</v>
      </c>
      <c r="F384" s="163">
        <f t="shared" si="185"/>
        <v>225260</v>
      </c>
      <c r="G384" s="163">
        <f t="shared" si="185"/>
        <v>20374</v>
      </c>
      <c r="H384" s="163">
        <f t="shared" si="185"/>
        <v>204886</v>
      </c>
      <c r="I384" s="163">
        <f t="shared" si="185"/>
        <v>0</v>
      </c>
      <c r="J384" s="163">
        <f t="shared" si="185"/>
        <v>16233</v>
      </c>
      <c r="K384" s="163">
        <f t="shared" si="185"/>
        <v>33319</v>
      </c>
      <c r="L384" s="163">
        <f t="shared" si="185"/>
        <v>0</v>
      </c>
      <c r="M384" s="163">
        <f t="shared" si="185"/>
        <v>0</v>
      </c>
      <c r="N384" s="163">
        <f t="shared" si="185"/>
        <v>0</v>
      </c>
      <c r="O384" s="163">
        <f t="shared" si="185"/>
        <v>0</v>
      </c>
      <c r="P384" s="163">
        <f t="shared" si="185"/>
        <v>0</v>
      </c>
      <c r="Q384" s="174"/>
      <c r="R384" s="174"/>
      <c r="S384" s="174"/>
      <c r="T384" s="174"/>
      <c r="U384" s="174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5"/>
      <c r="BM384" s="175"/>
      <c r="BN384" s="175"/>
      <c r="BO384" s="175"/>
      <c r="BP384" s="175"/>
      <c r="BQ384" s="175"/>
      <c r="BR384" s="175"/>
      <c r="BS384" s="175"/>
      <c r="BT384" s="175"/>
      <c r="BU384" s="175"/>
      <c r="BV384" s="175"/>
      <c r="BW384" s="175"/>
      <c r="BX384" s="175"/>
      <c r="BY384" s="175"/>
      <c r="BZ384" s="175"/>
      <c r="CA384" s="175"/>
      <c r="CB384" s="175"/>
      <c r="CC384" s="175"/>
      <c r="CD384" s="175"/>
      <c r="CE384" s="175"/>
      <c r="CF384" s="175"/>
      <c r="CG384" s="175"/>
      <c r="CH384" s="175"/>
      <c r="CI384" s="175"/>
      <c r="CJ384" s="175"/>
      <c r="CK384" s="175"/>
      <c r="CL384" s="175"/>
      <c r="CM384" s="175"/>
      <c r="CN384" s="175"/>
      <c r="CO384" s="175"/>
      <c r="CP384" s="175"/>
      <c r="CQ384" s="175"/>
      <c r="CR384" s="175"/>
      <c r="CS384" s="175"/>
      <c r="CT384" s="175"/>
      <c r="CU384" s="175"/>
      <c r="CV384" s="175"/>
      <c r="CW384" s="175"/>
      <c r="CX384" s="175"/>
      <c r="CY384" s="175"/>
      <c r="CZ384" s="175"/>
      <c r="DA384" s="175"/>
      <c r="DB384" s="175"/>
      <c r="DC384" s="175"/>
      <c r="DD384" s="175"/>
      <c r="DE384" s="175"/>
      <c r="DF384" s="175"/>
      <c r="DG384" s="175"/>
      <c r="DH384" s="175"/>
      <c r="DI384" s="175"/>
      <c r="DJ384" s="175"/>
      <c r="DK384" s="175"/>
      <c r="DL384" s="175"/>
      <c r="DM384" s="175"/>
      <c r="DN384" s="175"/>
      <c r="DO384" s="175"/>
      <c r="DP384" s="175"/>
      <c r="DQ384" s="175"/>
      <c r="DR384" s="175"/>
      <c r="DS384" s="175"/>
      <c r="DT384" s="175"/>
      <c r="DU384" s="175"/>
      <c r="DV384" s="175"/>
      <c r="DW384" s="175"/>
      <c r="DX384" s="175"/>
      <c r="DY384" s="175"/>
      <c r="DZ384" s="175"/>
      <c r="EA384" s="175"/>
      <c r="EB384" s="175"/>
      <c r="EC384" s="175"/>
      <c r="ED384" s="175"/>
      <c r="EE384" s="175"/>
      <c r="EF384" s="175"/>
      <c r="EG384" s="175"/>
      <c r="EH384" s="175"/>
      <c r="EI384" s="175"/>
      <c r="EJ384" s="175"/>
      <c r="EK384" s="175"/>
      <c r="EL384" s="175"/>
      <c r="EM384" s="175"/>
      <c r="EN384" s="175"/>
      <c r="EO384" s="175"/>
      <c r="EP384" s="175"/>
      <c r="EQ384" s="175"/>
      <c r="ER384" s="175"/>
      <c r="ES384" s="175"/>
      <c r="ET384" s="175"/>
      <c r="EU384" s="175"/>
      <c r="EV384" s="175"/>
      <c r="EW384" s="175"/>
      <c r="EX384" s="175"/>
      <c r="EY384" s="175"/>
      <c r="EZ384" s="175"/>
      <c r="FA384" s="175"/>
      <c r="FB384" s="175"/>
      <c r="FC384" s="175"/>
      <c r="FD384" s="175"/>
      <c r="FE384" s="175"/>
      <c r="FF384" s="175"/>
      <c r="FG384" s="175"/>
      <c r="FH384" s="175"/>
      <c r="FI384" s="175"/>
      <c r="FJ384" s="175"/>
      <c r="FK384" s="175"/>
      <c r="FL384" s="175"/>
      <c r="FM384" s="175"/>
      <c r="FN384" s="175"/>
      <c r="FO384" s="175"/>
      <c r="FP384" s="175"/>
      <c r="FQ384" s="175"/>
      <c r="FR384" s="175"/>
      <c r="FS384" s="175"/>
      <c r="FT384" s="175"/>
      <c r="FU384" s="175"/>
      <c r="FV384" s="175"/>
      <c r="FW384" s="175"/>
      <c r="FX384" s="175"/>
      <c r="FY384" s="175"/>
      <c r="FZ384" s="175"/>
      <c r="GA384" s="175"/>
      <c r="GB384" s="175"/>
      <c r="GC384" s="175"/>
      <c r="GD384" s="175"/>
      <c r="GE384" s="175"/>
      <c r="GF384" s="175"/>
      <c r="GG384" s="175"/>
      <c r="GH384" s="175"/>
      <c r="GI384" s="175"/>
      <c r="GJ384" s="175"/>
      <c r="GK384" s="175"/>
      <c r="GL384" s="175"/>
      <c r="GM384" s="175"/>
      <c r="GN384" s="175"/>
      <c r="GO384" s="175"/>
      <c r="GP384" s="175"/>
      <c r="GQ384" s="175"/>
      <c r="GR384" s="175"/>
      <c r="GS384" s="175"/>
      <c r="GT384" s="175"/>
      <c r="GU384" s="175"/>
      <c r="GV384" s="175"/>
      <c r="GW384" s="175"/>
      <c r="GX384" s="175"/>
      <c r="GY384" s="175"/>
      <c r="GZ384" s="175"/>
      <c r="HA384" s="175"/>
      <c r="HB384" s="175"/>
      <c r="HC384" s="175"/>
      <c r="HD384" s="175"/>
      <c r="HE384" s="175"/>
      <c r="HF384" s="175"/>
      <c r="HG384" s="175"/>
      <c r="HH384" s="175"/>
      <c r="HI384" s="175"/>
      <c r="HJ384" s="175"/>
      <c r="HK384" s="175"/>
      <c r="HL384" s="175"/>
      <c r="HM384" s="175"/>
      <c r="HN384" s="175"/>
      <c r="HO384" s="175"/>
      <c r="HP384" s="175"/>
      <c r="HQ384" s="175"/>
      <c r="HR384" s="175"/>
      <c r="HS384" s="175"/>
      <c r="HT384" s="175"/>
      <c r="HU384" s="175"/>
      <c r="HV384" s="175"/>
      <c r="HW384" s="175"/>
      <c r="HX384" s="175"/>
      <c r="HY384" s="175"/>
      <c r="HZ384" s="175"/>
      <c r="IA384" s="175"/>
      <c r="IB384" s="175"/>
      <c r="IC384" s="175"/>
      <c r="ID384" s="175"/>
      <c r="IE384" s="175"/>
      <c r="IF384" s="175"/>
      <c r="IG384" s="175"/>
      <c r="IH384" s="175"/>
      <c r="II384" s="175"/>
      <c r="IJ384" s="175"/>
      <c r="IK384" s="175"/>
      <c r="IL384" s="175"/>
      <c r="IM384" s="175"/>
      <c r="IN384" s="175"/>
      <c r="IO384" s="175"/>
      <c r="IP384" s="175"/>
      <c r="IQ384" s="175"/>
      <c r="IR384" s="175"/>
      <c r="IS384" s="175"/>
      <c r="IT384" s="175"/>
      <c r="IU384" s="175"/>
      <c r="IV384" s="175"/>
    </row>
    <row r="385" spans="1:256" ht="15">
      <c r="A385" s="837"/>
      <c r="B385" s="840"/>
      <c r="C385" s="161" t="s">
        <v>2</v>
      </c>
      <c r="D385" s="162">
        <f>D384+D383</f>
        <v>19231724</v>
      </c>
      <c r="E385" s="163">
        <f t="shared" ref="E385:P385" si="186">E384+E383</f>
        <v>15138024</v>
      </c>
      <c r="F385" s="163">
        <f t="shared" si="186"/>
        <v>9319672</v>
      </c>
      <c r="G385" s="163">
        <f t="shared" si="186"/>
        <v>7092724</v>
      </c>
      <c r="H385" s="163">
        <f t="shared" si="186"/>
        <v>2226948</v>
      </c>
      <c r="I385" s="163">
        <f t="shared" si="186"/>
        <v>0</v>
      </c>
      <c r="J385" s="163">
        <f t="shared" si="186"/>
        <v>176961</v>
      </c>
      <c r="K385" s="163">
        <f t="shared" si="186"/>
        <v>5641391</v>
      </c>
      <c r="L385" s="163">
        <f t="shared" si="186"/>
        <v>0</v>
      </c>
      <c r="M385" s="163">
        <f t="shared" si="186"/>
        <v>4093700</v>
      </c>
      <c r="N385" s="163">
        <f t="shared" si="186"/>
        <v>4093700</v>
      </c>
      <c r="O385" s="163">
        <f t="shared" si="186"/>
        <v>3755000</v>
      </c>
      <c r="P385" s="163">
        <f t="shared" si="186"/>
        <v>0</v>
      </c>
      <c r="Q385" s="174"/>
      <c r="R385" s="174"/>
      <c r="S385" s="174"/>
      <c r="T385" s="174"/>
      <c r="U385" s="174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  <c r="BM385" s="175"/>
      <c r="BN385" s="175"/>
      <c r="BO385" s="175"/>
      <c r="BP385" s="175"/>
      <c r="BQ385" s="175"/>
      <c r="BR385" s="175"/>
      <c r="BS385" s="175"/>
      <c r="BT385" s="175"/>
      <c r="BU385" s="175"/>
      <c r="BV385" s="175"/>
      <c r="BW385" s="175"/>
      <c r="BX385" s="175"/>
      <c r="BY385" s="175"/>
      <c r="BZ385" s="175"/>
      <c r="CA385" s="175"/>
      <c r="CB385" s="175"/>
      <c r="CC385" s="175"/>
      <c r="CD385" s="175"/>
      <c r="CE385" s="175"/>
      <c r="CF385" s="175"/>
      <c r="CG385" s="175"/>
      <c r="CH385" s="175"/>
      <c r="CI385" s="175"/>
      <c r="CJ385" s="175"/>
      <c r="CK385" s="175"/>
      <c r="CL385" s="175"/>
      <c r="CM385" s="175"/>
      <c r="CN385" s="175"/>
      <c r="CO385" s="175"/>
      <c r="CP385" s="175"/>
      <c r="CQ385" s="175"/>
      <c r="CR385" s="175"/>
      <c r="CS385" s="175"/>
      <c r="CT385" s="175"/>
      <c r="CU385" s="175"/>
      <c r="CV385" s="175"/>
      <c r="CW385" s="175"/>
      <c r="CX385" s="175"/>
      <c r="CY385" s="175"/>
      <c r="CZ385" s="175"/>
      <c r="DA385" s="175"/>
      <c r="DB385" s="175"/>
      <c r="DC385" s="175"/>
      <c r="DD385" s="175"/>
      <c r="DE385" s="175"/>
      <c r="DF385" s="175"/>
      <c r="DG385" s="175"/>
      <c r="DH385" s="175"/>
      <c r="DI385" s="175"/>
      <c r="DJ385" s="175"/>
      <c r="DK385" s="175"/>
      <c r="DL385" s="175"/>
      <c r="DM385" s="175"/>
      <c r="DN385" s="175"/>
      <c r="DO385" s="175"/>
      <c r="DP385" s="175"/>
      <c r="DQ385" s="175"/>
      <c r="DR385" s="175"/>
      <c r="DS385" s="175"/>
      <c r="DT385" s="175"/>
      <c r="DU385" s="175"/>
      <c r="DV385" s="175"/>
      <c r="DW385" s="175"/>
      <c r="DX385" s="175"/>
      <c r="DY385" s="175"/>
      <c r="DZ385" s="175"/>
      <c r="EA385" s="175"/>
      <c r="EB385" s="175"/>
      <c r="EC385" s="175"/>
      <c r="ED385" s="175"/>
      <c r="EE385" s="175"/>
      <c r="EF385" s="175"/>
      <c r="EG385" s="175"/>
      <c r="EH385" s="175"/>
      <c r="EI385" s="175"/>
      <c r="EJ385" s="175"/>
      <c r="EK385" s="175"/>
      <c r="EL385" s="175"/>
      <c r="EM385" s="175"/>
      <c r="EN385" s="175"/>
      <c r="EO385" s="175"/>
      <c r="EP385" s="175"/>
      <c r="EQ385" s="175"/>
      <c r="ER385" s="175"/>
      <c r="ES385" s="175"/>
      <c r="ET385" s="175"/>
      <c r="EU385" s="175"/>
      <c r="EV385" s="175"/>
      <c r="EW385" s="175"/>
      <c r="EX385" s="175"/>
      <c r="EY385" s="175"/>
      <c r="EZ385" s="175"/>
      <c r="FA385" s="175"/>
      <c r="FB385" s="175"/>
      <c r="FC385" s="175"/>
      <c r="FD385" s="175"/>
      <c r="FE385" s="175"/>
      <c r="FF385" s="175"/>
      <c r="FG385" s="175"/>
      <c r="FH385" s="175"/>
      <c r="FI385" s="175"/>
      <c r="FJ385" s="175"/>
      <c r="FK385" s="175"/>
      <c r="FL385" s="175"/>
      <c r="FM385" s="175"/>
      <c r="FN385" s="175"/>
      <c r="FO385" s="175"/>
      <c r="FP385" s="175"/>
      <c r="FQ385" s="175"/>
      <c r="FR385" s="175"/>
      <c r="FS385" s="175"/>
      <c r="FT385" s="175"/>
      <c r="FU385" s="175"/>
      <c r="FV385" s="175"/>
      <c r="FW385" s="175"/>
      <c r="FX385" s="175"/>
      <c r="FY385" s="175"/>
      <c r="FZ385" s="175"/>
      <c r="GA385" s="175"/>
      <c r="GB385" s="175"/>
      <c r="GC385" s="175"/>
      <c r="GD385" s="175"/>
      <c r="GE385" s="175"/>
      <c r="GF385" s="175"/>
      <c r="GG385" s="175"/>
      <c r="GH385" s="175"/>
      <c r="GI385" s="175"/>
      <c r="GJ385" s="175"/>
      <c r="GK385" s="175"/>
      <c r="GL385" s="175"/>
      <c r="GM385" s="175"/>
      <c r="GN385" s="175"/>
      <c r="GO385" s="175"/>
      <c r="GP385" s="175"/>
      <c r="GQ385" s="175"/>
      <c r="GR385" s="175"/>
      <c r="GS385" s="175"/>
      <c r="GT385" s="175"/>
      <c r="GU385" s="175"/>
      <c r="GV385" s="175"/>
      <c r="GW385" s="175"/>
      <c r="GX385" s="175"/>
      <c r="GY385" s="175"/>
      <c r="GZ385" s="175"/>
      <c r="HA385" s="175"/>
      <c r="HB385" s="175"/>
      <c r="HC385" s="175"/>
      <c r="HD385" s="175"/>
      <c r="HE385" s="175"/>
      <c r="HF385" s="175"/>
      <c r="HG385" s="175"/>
      <c r="HH385" s="175"/>
      <c r="HI385" s="175"/>
      <c r="HJ385" s="175"/>
      <c r="HK385" s="175"/>
      <c r="HL385" s="175"/>
      <c r="HM385" s="175"/>
      <c r="HN385" s="175"/>
      <c r="HO385" s="175"/>
      <c r="HP385" s="175"/>
      <c r="HQ385" s="175"/>
      <c r="HR385" s="175"/>
      <c r="HS385" s="175"/>
      <c r="HT385" s="175"/>
      <c r="HU385" s="175"/>
      <c r="HV385" s="175"/>
      <c r="HW385" s="175"/>
      <c r="HX385" s="175"/>
      <c r="HY385" s="175"/>
      <c r="HZ385" s="175"/>
      <c r="IA385" s="175"/>
      <c r="IB385" s="175"/>
      <c r="IC385" s="175"/>
      <c r="ID385" s="175"/>
      <c r="IE385" s="175"/>
      <c r="IF385" s="175"/>
      <c r="IG385" s="175"/>
      <c r="IH385" s="175"/>
      <c r="II385" s="175"/>
      <c r="IJ385" s="175"/>
      <c r="IK385" s="175"/>
      <c r="IL385" s="175"/>
      <c r="IM385" s="175"/>
      <c r="IN385" s="175"/>
      <c r="IO385" s="175"/>
      <c r="IP385" s="175"/>
      <c r="IQ385" s="175"/>
      <c r="IR385" s="175"/>
      <c r="IS385" s="175"/>
      <c r="IT385" s="175"/>
      <c r="IU385" s="175"/>
      <c r="IV385" s="175"/>
    </row>
    <row r="386" spans="1:256">
      <c r="A386" s="823">
        <v>92502</v>
      </c>
      <c r="B386" s="826" t="s">
        <v>124</v>
      </c>
      <c r="C386" s="157" t="s">
        <v>0</v>
      </c>
      <c r="D386" s="158">
        <f>E386+M386</f>
        <v>18956912</v>
      </c>
      <c r="E386" s="159">
        <f>F386+I386+J386+K386+L386</f>
        <v>14863212</v>
      </c>
      <c r="F386" s="159">
        <f>G386+H386</f>
        <v>9094412</v>
      </c>
      <c r="G386" s="159">
        <v>7072350</v>
      </c>
      <c r="H386" s="159">
        <v>2022062</v>
      </c>
      <c r="I386" s="159">
        <v>0</v>
      </c>
      <c r="J386" s="159">
        <v>160728</v>
      </c>
      <c r="K386" s="159">
        <v>5608072</v>
      </c>
      <c r="L386" s="159">
        <v>0</v>
      </c>
      <c r="M386" s="159">
        <f>N386+P386</f>
        <v>4093700</v>
      </c>
      <c r="N386" s="159">
        <v>4093700</v>
      </c>
      <c r="O386" s="159">
        <f>2826250+498750+365500+64500</f>
        <v>3755000</v>
      </c>
      <c r="P386" s="159">
        <v>0</v>
      </c>
      <c r="Q386" s="166"/>
      <c r="R386" s="166"/>
      <c r="S386" s="166"/>
      <c r="T386" s="166"/>
      <c r="U386" s="166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/>
      <c r="BS386" s="130"/>
      <c r="BT386" s="130"/>
      <c r="BU386" s="130"/>
      <c r="BV386" s="130"/>
      <c r="BW386" s="130"/>
      <c r="BX386" s="130"/>
      <c r="BY386" s="130"/>
      <c r="BZ386" s="130"/>
      <c r="CA386" s="130"/>
      <c r="CB386" s="130"/>
      <c r="CC386" s="130"/>
      <c r="CD386" s="130"/>
      <c r="CE386" s="130"/>
      <c r="CF386" s="130"/>
      <c r="CG386" s="130"/>
      <c r="CH386" s="130"/>
      <c r="CI386" s="130"/>
      <c r="CJ386" s="130"/>
      <c r="CK386" s="130"/>
      <c r="CL386" s="130"/>
      <c r="CM386" s="130"/>
      <c r="CN386" s="130"/>
      <c r="CO386" s="130"/>
      <c r="CP386" s="130"/>
      <c r="CQ386" s="130"/>
      <c r="CR386" s="130"/>
      <c r="CS386" s="130"/>
      <c r="CT386" s="130"/>
      <c r="CU386" s="130"/>
      <c r="CV386" s="130"/>
      <c r="CW386" s="130"/>
      <c r="CX386" s="130"/>
      <c r="CY386" s="130"/>
      <c r="CZ386" s="130"/>
      <c r="DA386" s="130"/>
      <c r="DB386" s="130"/>
      <c r="DC386" s="130"/>
      <c r="DD386" s="130"/>
      <c r="DE386" s="130"/>
      <c r="DF386" s="130"/>
      <c r="DG386" s="130"/>
      <c r="DH386" s="130"/>
      <c r="DI386" s="130"/>
      <c r="DJ386" s="130"/>
      <c r="DK386" s="130"/>
      <c r="DL386" s="130"/>
      <c r="DM386" s="130"/>
      <c r="DN386" s="130"/>
      <c r="DO386" s="130"/>
      <c r="DP386" s="130"/>
      <c r="DQ386" s="130"/>
      <c r="DR386" s="130"/>
      <c r="DS386" s="130"/>
      <c r="DT386" s="130"/>
      <c r="DU386" s="130"/>
      <c r="DV386" s="130"/>
      <c r="DW386" s="130"/>
      <c r="DX386" s="130"/>
      <c r="DY386" s="130"/>
      <c r="DZ386" s="130"/>
      <c r="EA386" s="130"/>
      <c r="EB386" s="130"/>
      <c r="EC386" s="130"/>
      <c r="ED386" s="130"/>
      <c r="EE386" s="130"/>
      <c r="EF386" s="130"/>
      <c r="EG386" s="130"/>
      <c r="EH386" s="130"/>
      <c r="EI386" s="130"/>
      <c r="EJ386" s="130"/>
      <c r="EK386" s="130"/>
      <c r="EL386" s="130"/>
      <c r="EM386" s="130"/>
      <c r="EN386" s="130"/>
      <c r="EO386" s="130"/>
      <c r="EP386" s="130"/>
      <c r="EQ386" s="130"/>
      <c r="ER386" s="130"/>
      <c r="ES386" s="130"/>
      <c r="ET386" s="130"/>
      <c r="EU386" s="130"/>
      <c r="EV386" s="130"/>
      <c r="EW386" s="130"/>
      <c r="EX386" s="130"/>
      <c r="EY386" s="130"/>
      <c r="EZ386" s="130"/>
      <c r="FA386" s="130"/>
      <c r="FB386" s="130"/>
      <c r="FC386" s="130"/>
      <c r="FD386" s="130"/>
      <c r="FE386" s="130"/>
      <c r="FF386" s="130"/>
      <c r="FG386" s="130"/>
      <c r="FH386" s="130"/>
      <c r="FI386" s="130"/>
      <c r="FJ386" s="130"/>
      <c r="FK386" s="130"/>
      <c r="FL386" s="130"/>
      <c r="FM386" s="130"/>
      <c r="FN386" s="130"/>
      <c r="FO386" s="130"/>
      <c r="FP386" s="130"/>
      <c r="FQ386" s="130"/>
      <c r="FR386" s="130"/>
      <c r="FS386" s="130"/>
      <c r="FT386" s="130"/>
      <c r="FU386" s="130"/>
      <c r="FV386" s="130"/>
      <c r="FW386" s="130"/>
      <c r="FX386" s="130"/>
      <c r="FY386" s="130"/>
      <c r="FZ386" s="130"/>
      <c r="GA386" s="130"/>
      <c r="GB386" s="130"/>
      <c r="GC386" s="130"/>
      <c r="GD386" s="130"/>
      <c r="GE386" s="130"/>
      <c r="GF386" s="130"/>
      <c r="GG386" s="130"/>
      <c r="GH386" s="130"/>
      <c r="GI386" s="130"/>
      <c r="GJ386" s="130"/>
      <c r="GK386" s="130"/>
      <c r="GL386" s="130"/>
      <c r="GM386" s="130"/>
      <c r="GN386" s="130"/>
      <c r="GO386" s="130"/>
      <c r="GP386" s="130"/>
      <c r="GQ386" s="130"/>
      <c r="GR386" s="130"/>
      <c r="GS386" s="130"/>
      <c r="GT386" s="130"/>
      <c r="GU386" s="130"/>
      <c r="GV386" s="130"/>
      <c r="GW386" s="130"/>
      <c r="GX386" s="130"/>
      <c r="GY386" s="130"/>
      <c r="GZ386" s="130"/>
      <c r="HA386" s="130"/>
      <c r="HB386" s="130"/>
      <c r="HC386" s="130"/>
      <c r="HD386" s="130"/>
      <c r="HE386" s="130"/>
      <c r="HF386" s="130"/>
      <c r="HG386" s="130"/>
      <c r="HH386" s="130"/>
      <c r="HI386" s="130"/>
      <c r="HJ386" s="130"/>
      <c r="HK386" s="130"/>
      <c r="HL386" s="130"/>
      <c r="HM386" s="130"/>
      <c r="HN386" s="130"/>
      <c r="HO386" s="130"/>
      <c r="HP386" s="130"/>
      <c r="HQ386" s="130"/>
      <c r="HR386" s="130"/>
      <c r="HS386" s="130"/>
      <c r="HT386" s="130"/>
      <c r="HU386" s="130"/>
      <c r="HV386" s="130"/>
      <c r="HW386" s="130"/>
      <c r="HX386" s="130"/>
      <c r="HY386" s="130"/>
      <c r="HZ386" s="130"/>
      <c r="IA386" s="130"/>
      <c r="IB386" s="130"/>
      <c r="IC386" s="130"/>
      <c r="ID386" s="130"/>
      <c r="IE386" s="130"/>
      <c r="IF386" s="130"/>
      <c r="IG386" s="130"/>
      <c r="IH386" s="130"/>
      <c r="II386" s="130"/>
      <c r="IJ386" s="130"/>
      <c r="IK386" s="130"/>
      <c r="IL386" s="130"/>
      <c r="IM386" s="130"/>
      <c r="IN386" s="130"/>
      <c r="IO386" s="130"/>
      <c r="IP386" s="130"/>
      <c r="IQ386" s="130"/>
      <c r="IR386" s="130"/>
      <c r="IS386" s="130"/>
      <c r="IT386" s="130"/>
      <c r="IU386" s="130"/>
      <c r="IV386" s="130"/>
    </row>
    <row r="387" spans="1:256">
      <c r="A387" s="824"/>
      <c r="B387" s="827"/>
      <c r="C387" s="157" t="s">
        <v>1</v>
      </c>
      <c r="D387" s="158">
        <f>E387+M387</f>
        <v>274812</v>
      </c>
      <c r="E387" s="159">
        <f>F387+I387+J387+K387+L387</f>
        <v>274812</v>
      </c>
      <c r="F387" s="159">
        <f>G387+H387</f>
        <v>225260</v>
      </c>
      <c r="G387" s="159">
        <f>17000+3049+325</f>
        <v>20374</v>
      </c>
      <c r="H387" s="159">
        <f>336+204550</f>
        <v>204886</v>
      </c>
      <c r="I387" s="159"/>
      <c r="J387" s="159">
        <v>16233</v>
      </c>
      <c r="K387" s="159">
        <f>28321+4998</f>
        <v>33319</v>
      </c>
      <c r="L387" s="159"/>
      <c r="M387" s="159">
        <f>N387+P387</f>
        <v>0</v>
      </c>
      <c r="N387" s="159"/>
      <c r="O387" s="159"/>
      <c r="P387" s="159"/>
      <c r="Q387" s="166"/>
      <c r="R387" s="166"/>
      <c r="S387" s="166"/>
      <c r="T387" s="166"/>
      <c r="U387" s="166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/>
      <c r="BS387" s="130"/>
      <c r="BT387" s="130"/>
      <c r="BU387" s="130"/>
      <c r="BV387" s="130"/>
      <c r="BW387" s="130"/>
      <c r="BX387" s="130"/>
      <c r="BY387" s="130"/>
      <c r="BZ387" s="130"/>
      <c r="CA387" s="130"/>
      <c r="CB387" s="130"/>
      <c r="CC387" s="130"/>
      <c r="CD387" s="130"/>
      <c r="CE387" s="130"/>
      <c r="CF387" s="130"/>
      <c r="CG387" s="130"/>
      <c r="CH387" s="130"/>
      <c r="CI387" s="130"/>
      <c r="CJ387" s="130"/>
      <c r="CK387" s="130"/>
      <c r="CL387" s="130"/>
      <c r="CM387" s="130"/>
      <c r="CN387" s="130"/>
      <c r="CO387" s="130"/>
      <c r="CP387" s="130"/>
      <c r="CQ387" s="130"/>
      <c r="CR387" s="130"/>
      <c r="CS387" s="130"/>
      <c r="CT387" s="130"/>
      <c r="CU387" s="130"/>
      <c r="CV387" s="130"/>
      <c r="CW387" s="130"/>
      <c r="CX387" s="130"/>
      <c r="CY387" s="130"/>
      <c r="CZ387" s="130"/>
      <c r="DA387" s="130"/>
      <c r="DB387" s="130"/>
      <c r="DC387" s="130"/>
      <c r="DD387" s="130"/>
      <c r="DE387" s="130"/>
      <c r="DF387" s="130"/>
      <c r="DG387" s="130"/>
      <c r="DH387" s="130"/>
      <c r="DI387" s="130"/>
      <c r="DJ387" s="130"/>
      <c r="DK387" s="130"/>
      <c r="DL387" s="130"/>
      <c r="DM387" s="130"/>
      <c r="DN387" s="130"/>
      <c r="DO387" s="130"/>
      <c r="DP387" s="130"/>
      <c r="DQ387" s="130"/>
      <c r="DR387" s="130"/>
      <c r="DS387" s="130"/>
      <c r="DT387" s="130"/>
      <c r="DU387" s="130"/>
      <c r="DV387" s="130"/>
      <c r="DW387" s="130"/>
      <c r="DX387" s="130"/>
      <c r="DY387" s="130"/>
      <c r="DZ387" s="130"/>
      <c r="EA387" s="130"/>
      <c r="EB387" s="130"/>
      <c r="EC387" s="130"/>
      <c r="ED387" s="130"/>
      <c r="EE387" s="130"/>
      <c r="EF387" s="130"/>
      <c r="EG387" s="130"/>
      <c r="EH387" s="130"/>
      <c r="EI387" s="130"/>
      <c r="EJ387" s="130"/>
      <c r="EK387" s="130"/>
      <c r="EL387" s="130"/>
      <c r="EM387" s="130"/>
      <c r="EN387" s="130"/>
      <c r="EO387" s="130"/>
      <c r="EP387" s="130"/>
      <c r="EQ387" s="130"/>
      <c r="ER387" s="130"/>
      <c r="ES387" s="130"/>
      <c r="ET387" s="130"/>
      <c r="EU387" s="130"/>
      <c r="EV387" s="130"/>
      <c r="EW387" s="130"/>
      <c r="EX387" s="130"/>
      <c r="EY387" s="130"/>
      <c r="EZ387" s="130"/>
      <c r="FA387" s="130"/>
      <c r="FB387" s="130"/>
      <c r="FC387" s="130"/>
      <c r="FD387" s="130"/>
      <c r="FE387" s="130"/>
      <c r="FF387" s="130"/>
      <c r="FG387" s="130"/>
      <c r="FH387" s="130"/>
      <c r="FI387" s="130"/>
      <c r="FJ387" s="130"/>
      <c r="FK387" s="130"/>
      <c r="FL387" s="130"/>
      <c r="FM387" s="130"/>
      <c r="FN387" s="130"/>
      <c r="FO387" s="130"/>
      <c r="FP387" s="130"/>
      <c r="FQ387" s="130"/>
      <c r="FR387" s="130"/>
      <c r="FS387" s="130"/>
      <c r="FT387" s="130"/>
      <c r="FU387" s="130"/>
      <c r="FV387" s="130"/>
      <c r="FW387" s="130"/>
      <c r="FX387" s="130"/>
      <c r="FY387" s="130"/>
      <c r="FZ387" s="130"/>
      <c r="GA387" s="130"/>
      <c r="GB387" s="130"/>
      <c r="GC387" s="130"/>
      <c r="GD387" s="130"/>
      <c r="GE387" s="130"/>
      <c r="GF387" s="130"/>
      <c r="GG387" s="130"/>
      <c r="GH387" s="130"/>
      <c r="GI387" s="130"/>
      <c r="GJ387" s="130"/>
      <c r="GK387" s="130"/>
      <c r="GL387" s="130"/>
      <c r="GM387" s="130"/>
      <c r="GN387" s="130"/>
      <c r="GO387" s="130"/>
      <c r="GP387" s="130"/>
      <c r="GQ387" s="130"/>
      <c r="GR387" s="130"/>
      <c r="GS387" s="130"/>
      <c r="GT387" s="130"/>
      <c r="GU387" s="130"/>
      <c r="GV387" s="130"/>
      <c r="GW387" s="130"/>
      <c r="GX387" s="130"/>
      <c r="GY387" s="130"/>
      <c r="GZ387" s="130"/>
      <c r="HA387" s="130"/>
      <c r="HB387" s="130"/>
      <c r="HC387" s="130"/>
      <c r="HD387" s="130"/>
      <c r="HE387" s="130"/>
      <c r="HF387" s="130"/>
      <c r="HG387" s="130"/>
      <c r="HH387" s="130"/>
      <c r="HI387" s="130"/>
      <c r="HJ387" s="130"/>
      <c r="HK387" s="130"/>
      <c r="HL387" s="130"/>
      <c r="HM387" s="130"/>
      <c r="HN387" s="130"/>
      <c r="HO387" s="130"/>
      <c r="HP387" s="130"/>
      <c r="HQ387" s="130"/>
      <c r="HR387" s="130"/>
      <c r="HS387" s="130"/>
      <c r="HT387" s="130"/>
      <c r="HU387" s="130"/>
      <c r="HV387" s="130"/>
      <c r="HW387" s="130"/>
      <c r="HX387" s="130"/>
      <c r="HY387" s="130"/>
      <c r="HZ387" s="130"/>
      <c r="IA387" s="130"/>
      <c r="IB387" s="130"/>
      <c r="IC387" s="130"/>
      <c r="ID387" s="130"/>
      <c r="IE387" s="130"/>
      <c r="IF387" s="130"/>
      <c r="IG387" s="130"/>
      <c r="IH387" s="130"/>
      <c r="II387" s="130"/>
      <c r="IJ387" s="130"/>
      <c r="IK387" s="130"/>
      <c r="IL387" s="130"/>
      <c r="IM387" s="130"/>
      <c r="IN387" s="130"/>
      <c r="IO387" s="130"/>
      <c r="IP387" s="130"/>
      <c r="IQ387" s="130"/>
      <c r="IR387" s="130"/>
      <c r="IS387" s="130"/>
      <c r="IT387" s="130"/>
      <c r="IU387" s="130"/>
      <c r="IV387" s="130"/>
    </row>
    <row r="388" spans="1:256">
      <c r="A388" s="825"/>
      <c r="B388" s="828"/>
      <c r="C388" s="157" t="s">
        <v>2</v>
      </c>
      <c r="D388" s="158">
        <f>D387+D386</f>
        <v>19231724</v>
      </c>
      <c r="E388" s="159">
        <f t="shared" ref="E388:P388" si="187">E387+E386</f>
        <v>15138024</v>
      </c>
      <c r="F388" s="159">
        <f t="shared" si="187"/>
        <v>9319672</v>
      </c>
      <c r="G388" s="159">
        <f t="shared" si="187"/>
        <v>7092724</v>
      </c>
      <c r="H388" s="159">
        <f t="shared" si="187"/>
        <v>2226948</v>
      </c>
      <c r="I388" s="159">
        <f t="shared" si="187"/>
        <v>0</v>
      </c>
      <c r="J388" s="159">
        <f t="shared" si="187"/>
        <v>176961</v>
      </c>
      <c r="K388" s="159">
        <f t="shared" si="187"/>
        <v>5641391</v>
      </c>
      <c r="L388" s="159">
        <f t="shared" si="187"/>
        <v>0</v>
      </c>
      <c r="M388" s="159">
        <f t="shared" si="187"/>
        <v>4093700</v>
      </c>
      <c r="N388" s="159">
        <f t="shared" si="187"/>
        <v>4093700</v>
      </c>
      <c r="O388" s="159">
        <f t="shared" si="187"/>
        <v>3755000</v>
      </c>
      <c r="P388" s="159">
        <f t="shared" si="187"/>
        <v>0</v>
      </c>
      <c r="Q388" s="166"/>
      <c r="R388" s="166"/>
      <c r="S388" s="166"/>
      <c r="T388" s="166"/>
      <c r="U388" s="166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0"/>
      <c r="BT388" s="130"/>
      <c r="BU388" s="130"/>
      <c r="BV388" s="130"/>
      <c r="BW388" s="130"/>
      <c r="BX388" s="130"/>
      <c r="BY388" s="130"/>
      <c r="BZ388" s="130"/>
      <c r="CA388" s="130"/>
      <c r="CB388" s="130"/>
      <c r="CC388" s="130"/>
      <c r="CD388" s="130"/>
      <c r="CE388" s="130"/>
      <c r="CF388" s="130"/>
      <c r="CG388" s="130"/>
      <c r="CH388" s="130"/>
      <c r="CI388" s="130"/>
      <c r="CJ388" s="130"/>
      <c r="CK388" s="130"/>
      <c r="CL388" s="130"/>
      <c r="CM388" s="130"/>
      <c r="CN388" s="130"/>
      <c r="CO388" s="130"/>
      <c r="CP388" s="130"/>
      <c r="CQ388" s="130"/>
      <c r="CR388" s="130"/>
      <c r="CS388" s="130"/>
      <c r="CT388" s="130"/>
      <c r="CU388" s="130"/>
      <c r="CV388" s="130"/>
      <c r="CW388" s="130"/>
      <c r="CX388" s="130"/>
      <c r="CY388" s="130"/>
      <c r="CZ388" s="130"/>
      <c r="DA388" s="130"/>
      <c r="DB388" s="130"/>
      <c r="DC388" s="130"/>
      <c r="DD388" s="130"/>
      <c r="DE388" s="130"/>
      <c r="DF388" s="130"/>
      <c r="DG388" s="130"/>
      <c r="DH388" s="130"/>
      <c r="DI388" s="130"/>
      <c r="DJ388" s="130"/>
      <c r="DK388" s="130"/>
      <c r="DL388" s="130"/>
      <c r="DM388" s="130"/>
      <c r="DN388" s="130"/>
      <c r="DO388" s="130"/>
      <c r="DP388" s="130"/>
      <c r="DQ388" s="130"/>
      <c r="DR388" s="130"/>
      <c r="DS388" s="130"/>
      <c r="DT388" s="130"/>
      <c r="DU388" s="130"/>
      <c r="DV388" s="130"/>
      <c r="DW388" s="130"/>
      <c r="DX388" s="130"/>
      <c r="DY388" s="130"/>
      <c r="DZ388" s="130"/>
      <c r="EA388" s="130"/>
      <c r="EB388" s="130"/>
      <c r="EC388" s="130"/>
      <c r="ED388" s="130"/>
      <c r="EE388" s="130"/>
      <c r="EF388" s="130"/>
      <c r="EG388" s="130"/>
      <c r="EH388" s="130"/>
      <c r="EI388" s="130"/>
      <c r="EJ388" s="130"/>
      <c r="EK388" s="130"/>
      <c r="EL388" s="130"/>
      <c r="EM388" s="130"/>
      <c r="EN388" s="130"/>
      <c r="EO388" s="130"/>
      <c r="EP388" s="130"/>
      <c r="EQ388" s="130"/>
      <c r="ER388" s="130"/>
      <c r="ES388" s="130"/>
      <c r="ET388" s="130"/>
      <c r="EU388" s="130"/>
      <c r="EV388" s="130"/>
      <c r="EW388" s="130"/>
      <c r="EX388" s="130"/>
      <c r="EY388" s="130"/>
      <c r="EZ388" s="130"/>
      <c r="FA388" s="130"/>
      <c r="FB388" s="130"/>
      <c r="FC388" s="130"/>
      <c r="FD388" s="130"/>
      <c r="FE388" s="130"/>
      <c r="FF388" s="130"/>
      <c r="FG388" s="130"/>
      <c r="FH388" s="130"/>
      <c r="FI388" s="130"/>
      <c r="FJ388" s="130"/>
      <c r="FK388" s="130"/>
      <c r="FL388" s="130"/>
      <c r="FM388" s="130"/>
      <c r="FN388" s="130"/>
      <c r="FO388" s="130"/>
      <c r="FP388" s="130"/>
      <c r="FQ388" s="130"/>
      <c r="FR388" s="130"/>
      <c r="FS388" s="130"/>
      <c r="FT388" s="130"/>
      <c r="FU388" s="130"/>
      <c r="FV388" s="130"/>
      <c r="FW388" s="130"/>
      <c r="FX388" s="130"/>
      <c r="FY388" s="130"/>
      <c r="FZ388" s="130"/>
      <c r="GA388" s="130"/>
      <c r="GB388" s="130"/>
      <c r="GC388" s="130"/>
      <c r="GD388" s="130"/>
      <c r="GE388" s="130"/>
      <c r="GF388" s="130"/>
      <c r="GG388" s="130"/>
      <c r="GH388" s="130"/>
      <c r="GI388" s="130"/>
      <c r="GJ388" s="130"/>
      <c r="GK388" s="130"/>
      <c r="GL388" s="130"/>
      <c r="GM388" s="130"/>
      <c r="GN388" s="130"/>
      <c r="GO388" s="130"/>
      <c r="GP388" s="130"/>
      <c r="GQ388" s="130"/>
      <c r="GR388" s="130"/>
      <c r="GS388" s="130"/>
      <c r="GT388" s="130"/>
      <c r="GU388" s="130"/>
      <c r="GV388" s="130"/>
      <c r="GW388" s="130"/>
      <c r="GX388" s="130"/>
      <c r="GY388" s="130"/>
      <c r="GZ388" s="130"/>
      <c r="HA388" s="130"/>
      <c r="HB388" s="130"/>
      <c r="HC388" s="130"/>
      <c r="HD388" s="130"/>
      <c r="HE388" s="130"/>
      <c r="HF388" s="130"/>
      <c r="HG388" s="130"/>
      <c r="HH388" s="130"/>
      <c r="HI388" s="130"/>
      <c r="HJ388" s="130"/>
      <c r="HK388" s="130"/>
      <c r="HL388" s="130"/>
      <c r="HM388" s="130"/>
      <c r="HN388" s="130"/>
      <c r="HO388" s="130"/>
      <c r="HP388" s="130"/>
      <c r="HQ388" s="130"/>
      <c r="HR388" s="130"/>
      <c r="HS388" s="130"/>
      <c r="HT388" s="130"/>
      <c r="HU388" s="130"/>
      <c r="HV388" s="130"/>
      <c r="HW388" s="130"/>
      <c r="HX388" s="130"/>
      <c r="HY388" s="130"/>
      <c r="HZ388" s="130"/>
      <c r="IA388" s="130"/>
      <c r="IB388" s="130"/>
      <c r="IC388" s="130"/>
      <c r="ID388" s="130"/>
      <c r="IE388" s="130"/>
      <c r="IF388" s="130"/>
      <c r="IG388" s="130"/>
      <c r="IH388" s="130"/>
      <c r="II388" s="130"/>
      <c r="IJ388" s="130"/>
      <c r="IK388" s="130"/>
      <c r="IL388" s="130"/>
      <c r="IM388" s="130"/>
      <c r="IN388" s="130"/>
      <c r="IO388" s="130"/>
      <c r="IP388" s="130"/>
      <c r="IQ388" s="130"/>
      <c r="IR388" s="130"/>
      <c r="IS388" s="130"/>
      <c r="IT388" s="130"/>
      <c r="IU388" s="130"/>
      <c r="IV388" s="130"/>
    </row>
    <row r="389" spans="1:256" ht="15">
      <c r="A389" s="835">
        <v>926</v>
      </c>
      <c r="B389" s="838" t="s">
        <v>286</v>
      </c>
      <c r="C389" s="161" t="s">
        <v>0</v>
      </c>
      <c r="D389" s="162">
        <f>D395+D392+D398</f>
        <v>46350856</v>
      </c>
      <c r="E389" s="163">
        <f t="shared" ref="E389:P390" si="188">E395+E392+E398</f>
        <v>20702321</v>
      </c>
      <c r="F389" s="163">
        <f t="shared" si="188"/>
        <v>10240000</v>
      </c>
      <c r="G389" s="163">
        <f t="shared" si="188"/>
        <v>10000</v>
      </c>
      <c r="H389" s="163">
        <f t="shared" si="188"/>
        <v>10230000</v>
      </c>
      <c r="I389" s="163">
        <f t="shared" si="188"/>
        <v>9650000</v>
      </c>
      <c r="J389" s="163">
        <f t="shared" si="188"/>
        <v>800000</v>
      </c>
      <c r="K389" s="163">
        <f t="shared" si="188"/>
        <v>12321</v>
      </c>
      <c r="L389" s="163">
        <f t="shared" si="188"/>
        <v>0</v>
      </c>
      <c r="M389" s="163">
        <f t="shared" si="188"/>
        <v>25648535</v>
      </c>
      <c r="N389" s="163">
        <f t="shared" si="188"/>
        <v>25648535</v>
      </c>
      <c r="O389" s="163">
        <f t="shared" si="188"/>
        <v>1041835</v>
      </c>
      <c r="P389" s="163">
        <f t="shared" si="188"/>
        <v>0</v>
      </c>
      <c r="Q389" s="171"/>
      <c r="R389" s="171"/>
      <c r="S389" s="171"/>
      <c r="T389" s="171"/>
      <c r="U389" s="171"/>
      <c r="V389" s="172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  <c r="AQ389" s="172"/>
      <c r="AR389" s="172"/>
      <c r="AS389" s="172"/>
      <c r="AT389" s="172"/>
      <c r="AU389" s="172"/>
      <c r="AV389" s="172"/>
      <c r="AW389" s="172"/>
      <c r="AX389" s="172"/>
      <c r="AY389" s="172"/>
      <c r="AZ389" s="172"/>
      <c r="BA389" s="172"/>
      <c r="BB389" s="172"/>
      <c r="BC389" s="172"/>
      <c r="BD389" s="172"/>
      <c r="BE389" s="172"/>
      <c r="BF389" s="172"/>
      <c r="BG389" s="172"/>
      <c r="BH389" s="172"/>
      <c r="BI389" s="172"/>
      <c r="BJ389" s="172"/>
      <c r="BK389" s="172"/>
      <c r="BL389" s="172"/>
      <c r="BM389" s="172"/>
      <c r="BN389" s="172"/>
      <c r="BO389" s="172"/>
      <c r="BP389" s="172"/>
      <c r="BQ389" s="172"/>
      <c r="BR389" s="172"/>
      <c r="BS389" s="172"/>
      <c r="BT389" s="172"/>
      <c r="BU389" s="172"/>
      <c r="BV389" s="172"/>
      <c r="BW389" s="172"/>
      <c r="BX389" s="172"/>
      <c r="BY389" s="172"/>
      <c r="BZ389" s="172"/>
      <c r="CA389" s="172"/>
      <c r="CB389" s="172"/>
      <c r="CC389" s="172"/>
      <c r="CD389" s="172"/>
      <c r="CE389" s="172"/>
      <c r="CF389" s="172"/>
      <c r="CG389" s="172"/>
      <c r="CH389" s="172"/>
      <c r="CI389" s="172"/>
      <c r="CJ389" s="172"/>
      <c r="CK389" s="172"/>
      <c r="CL389" s="172"/>
      <c r="CM389" s="172"/>
      <c r="CN389" s="172"/>
      <c r="CO389" s="172"/>
      <c r="CP389" s="172"/>
      <c r="CQ389" s="172"/>
      <c r="CR389" s="172"/>
      <c r="CS389" s="172"/>
      <c r="CT389" s="172"/>
      <c r="CU389" s="172"/>
      <c r="CV389" s="172"/>
      <c r="CW389" s="172"/>
      <c r="CX389" s="172"/>
      <c r="CY389" s="172"/>
      <c r="CZ389" s="172"/>
      <c r="DA389" s="172"/>
      <c r="DB389" s="172"/>
      <c r="DC389" s="172"/>
      <c r="DD389" s="172"/>
      <c r="DE389" s="172"/>
      <c r="DF389" s="172"/>
      <c r="DG389" s="172"/>
      <c r="DH389" s="172"/>
      <c r="DI389" s="172"/>
      <c r="DJ389" s="172"/>
      <c r="DK389" s="172"/>
      <c r="DL389" s="172"/>
      <c r="DM389" s="172"/>
      <c r="DN389" s="172"/>
      <c r="DO389" s="172"/>
      <c r="DP389" s="172"/>
      <c r="DQ389" s="172"/>
      <c r="DR389" s="172"/>
      <c r="DS389" s="172"/>
      <c r="DT389" s="172"/>
      <c r="DU389" s="172"/>
      <c r="DV389" s="172"/>
      <c r="DW389" s="172"/>
      <c r="DX389" s="172"/>
      <c r="DY389" s="172"/>
      <c r="DZ389" s="172"/>
      <c r="EA389" s="172"/>
      <c r="EB389" s="172"/>
      <c r="EC389" s="172"/>
      <c r="ED389" s="172"/>
      <c r="EE389" s="172"/>
      <c r="EF389" s="172"/>
      <c r="EG389" s="172"/>
      <c r="EH389" s="172"/>
      <c r="EI389" s="172"/>
      <c r="EJ389" s="172"/>
      <c r="EK389" s="172"/>
      <c r="EL389" s="172"/>
      <c r="EM389" s="172"/>
      <c r="EN389" s="172"/>
      <c r="EO389" s="172"/>
      <c r="EP389" s="172"/>
      <c r="EQ389" s="172"/>
      <c r="ER389" s="172"/>
      <c r="ES389" s="172"/>
      <c r="ET389" s="172"/>
      <c r="EU389" s="172"/>
      <c r="EV389" s="172"/>
      <c r="EW389" s="172"/>
      <c r="EX389" s="172"/>
      <c r="EY389" s="172"/>
      <c r="EZ389" s="172"/>
      <c r="FA389" s="172"/>
      <c r="FB389" s="172"/>
      <c r="FC389" s="172"/>
      <c r="FD389" s="172"/>
      <c r="FE389" s="172"/>
      <c r="FF389" s="172"/>
      <c r="FG389" s="172"/>
      <c r="FH389" s="172"/>
      <c r="FI389" s="172"/>
      <c r="FJ389" s="172"/>
      <c r="FK389" s="172"/>
      <c r="FL389" s="172"/>
      <c r="FM389" s="172"/>
      <c r="FN389" s="172"/>
      <c r="FO389" s="172"/>
      <c r="FP389" s="172"/>
      <c r="FQ389" s="172"/>
      <c r="FR389" s="172"/>
      <c r="FS389" s="172"/>
      <c r="FT389" s="172"/>
      <c r="FU389" s="172"/>
      <c r="FV389" s="172"/>
      <c r="FW389" s="172"/>
      <c r="FX389" s="172"/>
      <c r="FY389" s="172"/>
      <c r="FZ389" s="172"/>
      <c r="GA389" s="172"/>
      <c r="GB389" s="172"/>
      <c r="GC389" s="172"/>
      <c r="GD389" s="172"/>
      <c r="GE389" s="172"/>
      <c r="GF389" s="172"/>
      <c r="GG389" s="172"/>
      <c r="GH389" s="172"/>
      <c r="GI389" s="172"/>
      <c r="GJ389" s="172"/>
      <c r="GK389" s="172"/>
      <c r="GL389" s="172"/>
      <c r="GM389" s="172"/>
      <c r="GN389" s="172"/>
      <c r="GO389" s="172"/>
      <c r="GP389" s="172"/>
      <c r="GQ389" s="172"/>
      <c r="GR389" s="172"/>
      <c r="GS389" s="172"/>
      <c r="GT389" s="172"/>
      <c r="GU389" s="172"/>
      <c r="GV389" s="172"/>
      <c r="GW389" s="172"/>
      <c r="GX389" s="172"/>
      <c r="GY389" s="172"/>
      <c r="GZ389" s="172"/>
      <c r="HA389" s="172"/>
      <c r="HB389" s="172"/>
      <c r="HC389" s="172"/>
      <c r="HD389" s="172"/>
      <c r="HE389" s="172"/>
      <c r="HF389" s="172"/>
      <c r="HG389" s="172"/>
      <c r="HH389" s="172"/>
      <c r="HI389" s="172"/>
      <c r="HJ389" s="172"/>
      <c r="HK389" s="172"/>
      <c r="HL389" s="172"/>
      <c r="HM389" s="172"/>
      <c r="HN389" s="172"/>
      <c r="HO389" s="172"/>
      <c r="HP389" s="172"/>
      <c r="HQ389" s="172"/>
      <c r="HR389" s="172"/>
      <c r="HS389" s="172"/>
      <c r="HT389" s="172"/>
      <c r="HU389" s="172"/>
      <c r="HV389" s="172"/>
      <c r="HW389" s="172"/>
      <c r="HX389" s="172"/>
      <c r="HY389" s="172"/>
      <c r="HZ389" s="172"/>
      <c r="IA389" s="172"/>
      <c r="IB389" s="172"/>
      <c r="IC389" s="172"/>
      <c r="ID389" s="172"/>
      <c r="IE389" s="172"/>
      <c r="IF389" s="172"/>
      <c r="IG389" s="172"/>
      <c r="IH389" s="172"/>
      <c r="II389" s="172"/>
      <c r="IJ389" s="172"/>
      <c r="IK389" s="172"/>
      <c r="IL389" s="172"/>
      <c r="IM389" s="172"/>
      <c r="IN389" s="172"/>
      <c r="IO389" s="172"/>
      <c r="IP389" s="172"/>
      <c r="IQ389" s="172"/>
      <c r="IR389" s="172"/>
      <c r="IS389" s="172"/>
      <c r="IT389" s="172"/>
      <c r="IU389" s="172"/>
      <c r="IV389" s="172"/>
    </row>
    <row r="390" spans="1:256" ht="15">
      <c r="A390" s="836"/>
      <c r="B390" s="839"/>
      <c r="C390" s="161" t="s">
        <v>1</v>
      </c>
      <c r="D390" s="162">
        <f>D396+D393+D399</f>
        <v>11851500</v>
      </c>
      <c r="E390" s="163">
        <f t="shared" si="188"/>
        <v>4601500</v>
      </c>
      <c r="F390" s="163">
        <f t="shared" si="188"/>
        <v>4601500</v>
      </c>
      <c r="G390" s="163">
        <f t="shared" si="188"/>
        <v>0</v>
      </c>
      <c r="H390" s="163">
        <f t="shared" si="188"/>
        <v>4601500</v>
      </c>
      <c r="I390" s="163">
        <f t="shared" si="188"/>
        <v>0</v>
      </c>
      <c r="J390" s="163">
        <f t="shared" si="188"/>
        <v>0</v>
      </c>
      <c r="K390" s="163">
        <f t="shared" si="188"/>
        <v>0</v>
      </c>
      <c r="L390" s="163">
        <f t="shared" si="188"/>
        <v>0</v>
      </c>
      <c r="M390" s="163">
        <f t="shared" si="188"/>
        <v>7250000</v>
      </c>
      <c r="N390" s="163">
        <f t="shared" si="188"/>
        <v>7250000</v>
      </c>
      <c r="O390" s="163">
        <f t="shared" si="188"/>
        <v>0</v>
      </c>
      <c r="P390" s="163">
        <f t="shared" si="188"/>
        <v>0</v>
      </c>
      <c r="Q390" s="171"/>
      <c r="R390" s="171"/>
      <c r="S390" s="171"/>
      <c r="T390" s="171"/>
      <c r="U390" s="171"/>
      <c r="V390" s="172"/>
      <c r="W390" s="172"/>
      <c r="X390" s="172"/>
      <c r="Y390" s="172"/>
      <c r="Z390" s="172"/>
      <c r="AA390" s="172"/>
      <c r="AB390" s="172"/>
      <c r="AC390" s="172"/>
      <c r="AD390" s="172"/>
      <c r="AE390" s="172"/>
      <c r="AF390" s="172"/>
      <c r="AG390" s="172"/>
      <c r="AH390" s="172"/>
      <c r="AI390" s="172"/>
      <c r="AJ390" s="172"/>
      <c r="AK390" s="172"/>
      <c r="AL390" s="172"/>
      <c r="AM390" s="172"/>
      <c r="AN390" s="172"/>
      <c r="AO390" s="172"/>
      <c r="AP390" s="172"/>
      <c r="AQ390" s="172"/>
      <c r="AR390" s="172"/>
      <c r="AS390" s="172"/>
      <c r="AT390" s="172"/>
      <c r="AU390" s="172"/>
      <c r="AV390" s="172"/>
      <c r="AW390" s="172"/>
      <c r="AX390" s="172"/>
      <c r="AY390" s="172"/>
      <c r="AZ390" s="172"/>
      <c r="BA390" s="172"/>
      <c r="BB390" s="172"/>
      <c r="BC390" s="172"/>
      <c r="BD390" s="172"/>
      <c r="BE390" s="172"/>
      <c r="BF390" s="172"/>
      <c r="BG390" s="172"/>
      <c r="BH390" s="172"/>
      <c r="BI390" s="172"/>
      <c r="BJ390" s="172"/>
      <c r="BK390" s="172"/>
      <c r="BL390" s="172"/>
      <c r="BM390" s="172"/>
      <c r="BN390" s="172"/>
      <c r="BO390" s="172"/>
      <c r="BP390" s="172"/>
      <c r="BQ390" s="172"/>
      <c r="BR390" s="172"/>
      <c r="BS390" s="172"/>
      <c r="BT390" s="172"/>
      <c r="BU390" s="172"/>
      <c r="BV390" s="172"/>
      <c r="BW390" s="172"/>
      <c r="BX390" s="172"/>
      <c r="BY390" s="172"/>
      <c r="BZ390" s="172"/>
      <c r="CA390" s="172"/>
      <c r="CB390" s="172"/>
      <c r="CC390" s="172"/>
      <c r="CD390" s="172"/>
      <c r="CE390" s="172"/>
      <c r="CF390" s="172"/>
      <c r="CG390" s="172"/>
      <c r="CH390" s="172"/>
      <c r="CI390" s="172"/>
      <c r="CJ390" s="172"/>
      <c r="CK390" s="172"/>
      <c r="CL390" s="172"/>
      <c r="CM390" s="172"/>
      <c r="CN390" s="172"/>
      <c r="CO390" s="172"/>
      <c r="CP390" s="172"/>
      <c r="CQ390" s="172"/>
      <c r="CR390" s="172"/>
      <c r="CS390" s="172"/>
      <c r="CT390" s="172"/>
      <c r="CU390" s="172"/>
      <c r="CV390" s="172"/>
      <c r="CW390" s="172"/>
      <c r="CX390" s="172"/>
      <c r="CY390" s="172"/>
      <c r="CZ390" s="172"/>
      <c r="DA390" s="172"/>
      <c r="DB390" s="172"/>
      <c r="DC390" s="172"/>
      <c r="DD390" s="172"/>
      <c r="DE390" s="172"/>
      <c r="DF390" s="172"/>
      <c r="DG390" s="172"/>
      <c r="DH390" s="172"/>
      <c r="DI390" s="172"/>
      <c r="DJ390" s="172"/>
      <c r="DK390" s="172"/>
      <c r="DL390" s="172"/>
      <c r="DM390" s="172"/>
      <c r="DN390" s="172"/>
      <c r="DO390" s="172"/>
      <c r="DP390" s="172"/>
      <c r="DQ390" s="172"/>
      <c r="DR390" s="172"/>
      <c r="DS390" s="172"/>
      <c r="DT390" s="172"/>
      <c r="DU390" s="172"/>
      <c r="DV390" s="172"/>
      <c r="DW390" s="172"/>
      <c r="DX390" s="172"/>
      <c r="DY390" s="172"/>
      <c r="DZ390" s="172"/>
      <c r="EA390" s="172"/>
      <c r="EB390" s="172"/>
      <c r="EC390" s="172"/>
      <c r="ED390" s="172"/>
      <c r="EE390" s="172"/>
      <c r="EF390" s="172"/>
      <c r="EG390" s="172"/>
      <c r="EH390" s="172"/>
      <c r="EI390" s="172"/>
      <c r="EJ390" s="172"/>
      <c r="EK390" s="172"/>
      <c r="EL390" s="172"/>
      <c r="EM390" s="172"/>
      <c r="EN390" s="172"/>
      <c r="EO390" s="172"/>
      <c r="EP390" s="172"/>
      <c r="EQ390" s="172"/>
      <c r="ER390" s="172"/>
      <c r="ES390" s="172"/>
      <c r="ET390" s="172"/>
      <c r="EU390" s="172"/>
      <c r="EV390" s="172"/>
      <c r="EW390" s="172"/>
      <c r="EX390" s="172"/>
      <c r="EY390" s="172"/>
      <c r="EZ390" s="172"/>
      <c r="FA390" s="172"/>
      <c r="FB390" s="172"/>
      <c r="FC390" s="172"/>
      <c r="FD390" s="172"/>
      <c r="FE390" s="172"/>
      <c r="FF390" s="172"/>
      <c r="FG390" s="172"/>
      <c r="FH390" s="172"/>
      <c r="FI390" s="172"/>
      <c r="FJ390" s="172"/>
      <c r="FK390" s="172"/>
      <c r="FL390" s="172"/>
      <c r="FM390" s="172"/>
      <c r="FN390" s="172"/>
      <c r="FO390" s="172"/>
      <c r="FP390" s="172"/>
      <c r="FQ390" s="172"/>
      <c r="FR390" s="172"/>
      <c r="FS390" s="172"/>
      <c r="FT390" s="172"/>
      <c r="FU390" s="172"/>
      <c r="FV390" s="172"/>
      <c r="FW390" s="172"/>
      <c r="FX390" s="172"/>
      <c r="FY390" s="172"/>
      <c r="FZ390" s="172"/>
      <c r="GA390" s="172"/>
      <c r="GB390" s="172"/>
      <c r="GC390" s="172"/>
      <c r="GD390" s="172"/>
      <c r="GE390" s="172"/>
      <c r="GF390" s="172"/>
      <c r="GG390" s="172"/>
      <c r="GH390" s="172"/>
      <c r="GI390" s="172"/>
      <c r="GJ390" s="172"/>
      <c r="GK390" s="172"/>
      <c r="GL390" s="172"/>
      <c r="GM390" s="172"/>
      <c r="GN390" s="172"/>
      <c r="GO390" s="172"/>
      <c r="GP390" s="172"/>
      <c r="GQ390" s="172"/>
      <c r="GR390" s="172"/>
      <c r="GS390" s="172"/>
      <c r="GT390" s="172"/>
      <c r="GU390" s="172"/>
      <c r="GV390" s="172"/>
      <c r="GW390" s="172"/>
      <c r="GX390" s="172"/>
      <c r="GY390" s="172"/>
      <c r="GZ390" s="172"/>
      <c r="HA390" s="172"/>
      <c r="HB390" s="172"/>
      <c r="HC390" s="172"/>
      <c r="HD390" s="172"/>
      <c r="HE390" s="172"/>
      <c r="HF390" s="172"/>
      <c r="HG390" s="172"/>
      <c r="HH390" s="172"/>
      <c r="HI390" s="172"/>
      <c r="HJ390" s="172"/>
      <c r="HK390" s="172"/>
      <c r="HL390" s="172"/>
      <c r="HM390" s="172"/>
      <c r="HN390" s="172"/>
      <c r="HO390" s="172"/>
      <c r="HP390" s="172"/>
      <c r="HQ390" s="172"/>
      <c r="HR390" s="172"/>
      <c r="HS390" s="172"/>
      <c r="HT390" s="172"/>
      <c r="HU390" s="172"/>
      <c r="HV390" s="172"/>
      <c r="HW390" s="172"/>
      <c r="HX390" s="172"/>
      <c r="HY390" s="172"/>
      <c r="HZ390" s="172"/>
      <c r="IA390" s="172"/>
      <c r="IB390" s="172"/>
      <c r="IC390" s="172"/>
      <c r="ID390" s="172"/>
      <c r="IE390" s="172"/>
      <c r="IF390" s="172"/>
      <c r="IG390" s="172"/>
      <c r="IH390" s="172"/>
      <c r="II390" s="172"/>
      <c r="IJ390" s="172"/>
      <c r="IK390" s="172"/>
      <c r="IL390" s="172"/>
      <c r="IM390" s="172"/>
      <c r="IN390" s="172"/>
      <c r="IO390" s="172"/>
      <c r="IP390" s="172"/>
      <c r="IQ390" s="172"/>
      <c r="IR390" s="172"/>
      <c r="IS390" s="172"/>
      <c r="IT390" s="172"/>
      <c r="IU390" s="172"/>
      <c r="IV390" s="172"/>
    </row>
    <row r="391" spans="1:256" ht="15">
      <c r="A391" s="837"/>
      <c r="B391" s="840"/>
      <c r="C391" s="161" t="s">
        <v>2</v>
      </c>
      <c r="D391" s="162">
        <f>D390+D389</f>
        <v>58202356</v>
      </c>
      <c r="E391" s="163">
        <f t="shared" ref="E391:P391" si="189">E390+E389</f>
        <v>25303821</v>
      </c>
      <c r="F391" s="163">
        <f t="shared" si="189"/>
        <v>14841500</v>
      </c>
      <c r="G391" s="163">
        <f t="shared" si="189"/>
        <v>10000</v>
      </c>
      <c r="H391" s="163">
        <f t="shared" si="189"/>
        <v>14831500</v>
      </c>
      <c r="I391" s="163">
        <f t="shared" si="189"/>
        <v>9650000</v>
      </c>
      <c r="J391" s="163">
        <f t="shared" si="189"/>
        <v>800000</v>
      </c>
      <c r="K391" s="163">
        <f t="shared" si="189"/>
        <v>12321</v>
      </c>
      <c r="L391" s="163">
        <f t="shared" si="189"/>
        <v>0</v>
      </c>
      <c r="M391" s="163">
        <f t="shared" si="189"/>
        <v>32898535</v>
      </c>
      <c r="N391" s="163">
        <f t="shared" si="189"/>
        <v>32898535</v>
      </c>
      <c r="O391" s="163">
        <f t="shared" si="189"/>
        <v>1041835</v>
      </c>
      <c r="P391" s="163">
        <f t="shared" si="189"/>
        <v>0</v>
      </c>
      <c r="Q391" s="171"/>
      <c r="R391" s="171"/>
      <c r="S391" s="171"/>
      <c r="T391" s="171"/>
      <c r="U391" s="171"/>
      <c r="V391" s="172"/>
      <c r="W391" s="172"/>
      <c r="X391" s="172"/>
      <c r="Y391" s="172"/>
      <c r="Z391" s="172"/>
      <c r="AA391" s="172"/>
      <c r="AB391" s="172"/>
      <c r="AC391" s="172"/>
      <c r="AD391" s="172"/>
      <c r="AE391" s="172"/>
      <c r="AF391" s="172"/>
      <c r="AG391" s="172"/>
      <c r="AH391" s="172"/>
      <c r="AI391" s="172"/>
      <c r="AJ391" s="172"/>
      <c r="AK391" s="172"/>
      <c r="AL391" s="172"/>
      <c r="AM391" s="172"/>
      <c r="AN391" s="172"/>
      <c r="AO391" s="172"/>
      <c r="AP391" s="172"/>
      <c r="AQ391" s="172"/>
      <c r="AR391" s="172"/>
      <c r="AS391" s="172"/>
      <c r="AT391" s="172"/>
      <c r="AU391" s="172"/>
      <c r="AV391" s="172"/>
      <c r="AW391" s="172"/>
      <c r="AX391" s="172"/>
      <c r="AY391" s="172"/>
      <c r="AZ391" s="172"/>
      <c r="BA391" s="172"/>
      <c r="BB391" s="172"/>
      <c r="BC391" s="172"/>
      <c r="BD391" s="172"/>
      <c r="BE391" s="172"/>
      <c r="BF391" s="172"/>
      <c r="BG391" s="172"/>
      <c r="BH391" s="172"/>
      <c r="BI391" s="172"/>
      <c r="BJ391" s="172"/>
      <c r="BK391" s="172"/>
      <c r="BL391" s="172"/>
      <c r="BM391" s="172"/>
      <c r="BN391" s="172"/>
      <c r="BO391" s="172"/>
      <c r="BP391" s="172"/>
      <c r="BQ391" s="172"/>
      <c r="BR391" s="172"/>
      <c r="BS391" s="172"/>
      <c r="BT391" s="172"/>
      <c r="BU391" s="172"/>
      <c r="BV391" s="172"/>
      <c r="BW391" s="172"/>
      <c r="BX391" s="172"/>
      <c r="BY391" s="172"/>
      <c r="BZ391" s="172"/>
      <c r="CA391" s="172"/>
      <c r="CB391" s="172"/>
      <c r="CC391" s="172"/>
      <c r="CD391" s="172"/>
      <c r="CE391" s="172"/>
      <c r="CF391" s="172"/>
      <c r="CG391" s="172"/>
      <c r="CH391" s="172"/>
      <c r="CI391" s="172"/>
      <c r="CJ391" s="172"/>
      <c r="CK391" s="172"/>
      <c r="CL391" s="172"/>
      <c r="CM391" s="172"/>
      <c r="CN391" s="172"/>
      <c r="CO391" s="172"/>
      <c r="CP391" s="172"/>
      <c r="CQ391" s="172"/>
      <c r="CR391" s="172"/>
      <c r="CS391" s="172"/>
      <c r="CT391" s="172"/>
      <c r="CU391" s="172"/>
      <c r="CV391" s="172"/>
      <c r="CW391" s="172"/>
      <c r="CX391" s="172"/>
      <c r="CY391" s="172"/>
      <c r="CZ391" s="172"/>
      <c r="DA391" s="172"/>
      <c r="DB391" s="172"/>
      <c r="DC391" s="172"/>
      <c r="DD391" s="172"/>
      <c r="DE391" s="172"/>
      <c r="DF391" s="172"/>
      <c r="DG391" s="172"/>
      <c r="DH391" s="172"/>
      <c r="DI391" s="172"/>
      <c r="DJ391" s="172"/>
      <c r="DK391" s="172"/>
      <c r="DL391" s="172"/>
      <c r="DM391" s="172"/>
      <c r="DN391" s="172"/>
      <c r="DO391" s="172"/>
      <c r="DP391" s="172"/>
      <c r="DQ391" s="172"/>
      <c r="DR391" s="172"/>
      <c r="DS391" s="172"/>
      <c r="DT391" s="172"/>
      <c r="DU391" s="172"/>
      <c r="DV391" s="172"/>
      <c r="DW391" s="172"/>
      <c r="DX391" s="172"/>
      <c r="DY391" s="172"/>
      <c r="DZ391" s="172"/>
      <c r="EA391" s="172"/>
      <c r="EB391" s="172"/>
      <c r="EC391" s="172"/>
      <c r="ED391" s="172"/>
      <c r="EE391" s="172"/>
      <c r="EF391" s="172"/>
      <c r="EG391" s="172"/>
      <c r="EH391" s="172"/>
      <c r="EI391" s="172"/>
      <c r="EJ391" s="172"/>
      <c r="EK391" s="172"/>
      <c r="EL391" s="172"/>
      <c r="EM391" s="172"/>
      <c r="EN391" s="172"/>
      <c r="EO391" s="172"/>
      <c r="EP391" s="172"/>
      <c r="EQ391" s="172"/>
      <c r="ER391" s="172"/>
      <c r="ES391" s="172"/>
      <c r="ET391" s="172"/>
      <c r="EU391" s="172"/>
      <c r="EV391" s="172"/>
      <c r="EW391" s="172"/>
      <c r="EX391" s="172"/>
      <c r="EY391" s="172"/>
      <c r="EZ391" s="172"/>
      <c r="FA391" s="172"/>
      <c r="FB391" s="172"/>
      <c r="FC391" s="172"/>
      <c r="FD391" s="172"/>
      <c r="FE391" s="172"/>
      <c r="FF391" s="172"/>
      <c r="FG391" s="172"/>
      <c r="FH391" s="172"/>
      <c r="FI391" s="172"/>
      <c r="FJ391" s="172"/>
      <c r="FK391" s="172"/>
      <c r="FL391" s="172"/>
      <c r="FM391" s="172"/>
      <c r="FN391" s="172"/>
      <c r="FO391" s="172"/>
      <c r="FP391" s="172"/>
      <c r="FQ391" s="172"/>
      <c r="FR391" s="172"/>
      <c r="FS391" s="172"/>
      <c r="FT391" s="172"/>
      <c r="FU391" s="172"/>
      <c r="FV391" s="172"/>
      <c r="FW391" s="172"/>
      <c r="FX391" s="172"/>
      <c r="FY391" s="172"/>
      <c r="FZ391" s="172"/>
      <c r="GA391" s="172"/>
      <c r="GB391" s="172"/>
      <c r="GC391" s="172"/>
      <c r="GD391" s="172"/>
      <c r="GE391" s="172"/>
      <c r="GF391" s="172"/>
      <c r="GG391" s="172"/>
      <c r="GH391" s="172"/>
      <c r="GI391" s="172"/>
      <c r="GJ391" s="172"/>
      <c r="GK391" s="172"/>
      <c r="GL391" s="172"/>
      <c r="GM391" s="172"/>
      <c r="GN391" s="172"/>
      <c r="GO391" s="172"/>
      <c r="GP391" s="172"/>
      <c r="GQ391" s="172"/>
      <c r="GR391" s="172"/>
      <c r="GS391" s="172"/>
      <c r="GT391" s="172"/>
      <c r="GU391" s="172"/>
      <c r="GV391" s="172"/>
      <c r="GW391" s="172"/>
      <c r="GX391" s="172"/>
      <c r="GY391" s="172"/>
      <c r="GZ391" s="172"/>
      <c r="HA391" s="172"/>
      <c r="HB391" s="172"/>
      <c r="HC391" s="172"/>
      <c r="HD391" s="172"/>
      <c r="HE391" s="172"/>
      <c r="HF391" s="172"/>
      <c r="HG391" s="172"/>
      <c r="HH391" s="172"/>
      <c r="HI391" s="172"/>
      <c r="HJ391" s="172"/>
      <c r="HK391" s="172"/>
      <c r="HL391" s="172"/>
      <c r="HM391" s="172"/>
      <c r="HN391" s="172"/>
      <c r="HO391" s="172"/>
      <c r="HP391" s="172"/>
      <c r="HQ391" s="172"/>
      <c r="HR391" s="172"/>
      <c r="HS391" s="172"/>
      <c r="HT391" s="172"/>
      <c r="HU391" s="172"/>
      <c r="HV391" s="172"/>
      <c r="HW391" s="172"/>
      <c r="HX391" s="172"/>
      <c r="HY391" s="172"/>
      <c r="HZ391" s="172"/>
      <c r="IA391" s="172"/>
      <c r="IB391" s="172"/>
      <c r="IC391" s="172"/>
      <c r="ID391" s="172"/>
      <c r="IE391" s="172"/>
      <c r="IF391" s="172"/>
      <c r="IG391" s="172"/>
      <c r="IH391" s="172"/>
      <c r="II391" s="172"/>
      <c r="IJ391" s="172"/>
      <c r="IK391" s="172"/>
      <c r="IL391" s="172"/>
      <c r="IM391" s="172"/>
      <c r="IN391" s="172"/>
      <c r="IO391" s="172"/>
      <c r="IP391" s="172"/>
      <c r="IQ391" s="172"/>
      <c r="IR391" s="172"/>
      <c r="IS391" s="172"/>
      <c r="IT391" s="172"/>
      <c r="IU391" s="172"/>
      <c r="IV391" s="172"/>
    </row>
    <row r="392" spans="1:256">
      <c r="A392" s="823" t="s">
        <v>287</v>
      </c>
      <c r="B392" s="826" t="s">
        <v>288</v>
      </c>
      <c r="C392" s="157" t="s">
        <v>0</v>
      </c>
      <c r="D392" s="158">
        <f>E392+M392</f>
        <v>10606700</v>
      </c>
      <c r="E392" s="159">
        <f>F392+I392+J392+K392+L392</f>
        <v>0</v>
      </c>
      <c r="F392" s="159">
        <f>G392+H392</f>
        <v>0</v>
      </c>
      <c r="G392" s="159">
        <v>0</v>
      </c>
      <c r="H392" s="159">
        <v>0</v>
      </c>
      <c r="I392" s="159">
        <v>0</v>
      </c>
      <c r="J392" s="159">
        <v>0</v>
      </c>
      <c r="K392" s="159">
        <v>0</v>
      </c>
      <c r="L392" s="159">
        <v>0</v>
      </c>
      <c r="M392" s="159">
        <f>N392+P392</f>
        <v>10606700</v>
      </c>
      <c r="N392" s="159">
        <v>10606700</v>
      </c>
      <c r="O392" s="159">
        <v>0</v>
      </c>
      <c r="P392" s="159">
        <v>0</v>
      </c>
      <c r="Q392" s="166"/>
      <c r="R392" s="166"/>
      <c r="S392" s="166"/>
      <c r="T392" s="166"/>
      <c r="U392" s="166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0"/>
      <c r="BX392" s="130"/>
      <c r="BY392" s="130"/>
      <c r="BZ392" s="130"/>
      <c r="CA392" s="130"/>
      <c r="CB392" s="130"/>
      <c r="CC392" s="130"/>
      <c r="CD392" s="130"/>
      <c r="CE392" s="130"/>
      <c r="CF392" s="130"/>
      <c r="CG392" s="130"/>
      <c r="CH392" s="130"/>
      <c r="CI392" s="130"/>
      <c r="CJ392" s="130"/>
      <c r="CK392" s="130"/>
      <c r="CL392" s="130"/>
      <c r="CM392" s="130"/>
      <c r="CN392" s="130"/>
      <c r="CO392" s="130"/>
      <c r="CP392" s="130"/>
      <c r="CQ392" s="130"/>
      <c r="CR392" s="130"/>
      <c r="CS392" s="130"/>
      <c r="CT392" s="130"/>
      <c r="CU392" s="130"/>
      <c r="CV392" s="130"/>
      <c r="CW392" s="130"/>
      <c r="CX392" s="130"/>
      <c r="CY392" s="130"/>
      <c r="CZ392" s="130"/>
      <c r="DA392" s="130"/>
      <c r="DB392" s="130"/>
      <c r="DC392" s="130"/>
      <c r="DD392" s="130"/>
      <c r="DE392" s="130"/>
      <c r="DF392" s="130"/>
      <c r="DG392" s="130"/>
      <c r="DH392" s="130"/>
      <c r="DI392" s="130"/>
      <c r="DJ392" s="130"/>
      <c r="DK392" s="130"/>
      <c r="DL392" s="130"/>
      <c r="DM392" s="130"/>
      <c r="DN392" s="130"/>
      <c r="DO392" s="130"/>
      <c r="DP392" s="130"/>
      <c r="DQ392" s="130"/>
      <c r="DR392" s="130"/>
      <c r="DS392" s="130"/>
      <c r="DT392" s="130"/>
      <c r="DU392" s="130"/>
      <c r="DV392" s="130"/>
      <c r="DW392" s="130"/>
      <c r="DX392" s="130"/>
      <c r="DY392" s="130"/>
      <c r="DZ392" s="130"/>
      <c r="EA392" s="130"/>
      <c r="EB392" s="130"/>
      <c r="EC392" s="130"/>
      <c r="ED392" s="130"/>
      <c r="EE392" s="130"/>
      <c r="EF392" s="130"/>
      <c r="EG392" s="130"/>
      <c r="EH392" s="130"/>
      <c r="EI392" s="130"/>
      <c r="EJ392" s="130"/>
      <c r="EK392" s="130"/>
      <c r="EL392" s="130"/>
      <c r="EM392" s="130"/>
      <c r="EN392" s="130"/>
      <c r="EO392" s="130"/>
      <c r="EP392" s="130"/>
      <c r="EQ392" s="130"/>
      <c r="ER392" s="130"/>
      <c r="ES392" s="130"/>
      <c r="ET392" s="130"/>
      <c r="EU392" s="130"/>
      <c r="EV392" s="130"/>
      <c r="EW392" s="130"/>
      <c r="EX392" s="130"/>
      <c r="EY392" s="130"/>
      <c r="EZ392" s="130"/>
      <c r="FA392" s="130"/>
      <c r="FB392" s="130"/>
      <c r="FC392" s="130"/>
      <c r="FD392" s="130"/>
      <c r="FE392" s="130"/>
      <c r="FF392" s="130"/>
      <c r="FG392" s="130"/>
      <c r="FH392" s="130"/>
      <c r="FI392" s="130"/>
      <c r="FJ392" s="130"/>
      <c r="FK392" s="130"/>
      <c r="FL392" s="130"/>
      <c r="FM392" s="130"/>
      <c r="FN392" s="130"/>
      <c r="FO392" s="130"/>
      <c r="FP392" s="130"/>
      <c r="FQ392" s="130"/>
      <c r="FR392" s="130"/>
      <c r="FS392" s="130"/>
      <c r="FT392" s="130"/>
      <c r="FU392" s="130"/>
      <c r="FV392" s="130"/>
      <c r="FW392" s="130"/>
      <c r="FX392" s="130"/>
      <c r="FY392" s="130"/>
      <c r="FZ392" s="130"/>
      <c r="GA392" s="130"/>
      <c r="GB392" s="130"/>
      <c r="GC392" s="130"/>
      <c r="GD392" s="130"/>
      <c r="GE392" s="130"/>
      <c r="GF392" s="130"/>
      <c r="GG392" s="130"/>
      <c r="GH392" s="130"/>
      <c r="GI392" s="130"/>
      <c r="GJ392" s="130"/>
      <c r="GK392" s="130"/>
      <c r="GL392" s="130"/>
      <c r="GM392" s="130"/>
      <c r="GN392" s="130"/>
      <c r="GO392" s="130"/>
      <c r="GP392" s="130"/>
      <c r="GQ392" s="130"/>
      <c r="GR392" s="130"/>
      <c r="GS392" s="130"/>
      <c r="GT392" s="130"/>
      <c r="GU392" s="130"/>
      <c r="GV392" s="130"/>
      <c r="GW392" s="130"/>
      <c r="GX392" s="130"/>
      <c r="GY392" s="130"/>
      <c r="GZ392" s="130"/>
      <c r="HA392" s="130"/>
      <c r="HB392" s="130"/>
      <c r="HC392" s="130"/>
      <c r="HD392" s="130"/>
      <c r="HE392" s="130"/>
      <c r="HF392" s="130"/>
      <c r="HG392" s="130"/>
      <c r="HH392" s="130"/>
      <c r="HI392" s="130"/>
      <c r="HJ392" s="130"/>
      <c r="HK392" s="130"/>
      <c r="HL392" s="130"/>
      <c r="HM392" s="130"/>
      <c r="HN392" s="130"/>
      <c r="HO392" s="130"/>
      <c r="HP392" s="130"/>
      <c r="HQ392" s="130"/>
      <c r="HR392" s="130"/>
      <c r="HS392" s="130"/>
      <c r="HT392" s="130"/>
      <c r="HU392" s="130"/>
      <c r="HV392" s="130"/>
      <c r="HW392" s="130"/>
      <c r="HX392" s="130"/>
      <c r="HY392" s="130"/>
      <c r="HZ392" s="130"/>
      <c r="IA392" s="130"/>
      <c r="IB392" s="130"/>
      <c r="IC392" s="130"/>
      <c r="ID392" s="130"/>
      <c r="IE392" s="130"/>
      <c r="IF392" s="130"/>
      <c r="IG392" s="130"/>
      <c r="IH392" s="130"/>
      <c r="II392" s="130"/>
      <c r="IJ392" s="130"/>
      <c r="IK392" s="130"/>
      <c r="IL392" s="130"/>
      <c r="IM392" s="130"/>
      <c r="IN392" s="130"/>
      <c r="IO392" s="130"/>
      <c r="IP392" s="130"/>
      <c r="IQ392" s="130"/>
      <c r="IR392" s="130"/>
      <c r="IS392" s="130"/>
      <c r="IT392" s="130"/>
      <c r="IU392" s="130"/>
      <c r="IV392" s="130"/>
    </row>
    <row r="393" spans="1:256">
      <c r="A393" s="824"/>
      <c r="B393" s="827"/>
      <c r="C393" s="157" t="s">
        <v>1</v>
      </c>
      <c r="D393" s="158">
        <f>E393+M393</f>
        <v>5300000</v>
      </c>
      <c r="E393" s="159">
        <f>F393+I393+J393+K393+L393</f>
        <v>0</v>
      </c>
      <c r="F393" s="159">
        <f>G393+H393</f>
        <v>0</v>
      </c>
      <c r="G393" s="159"/>
      <c r="H393" s="159"/>
      <c r="I393" s="159"/>
      <c r="J393" s="159"/>
      <c r="K393" s="159"/>
      <c r="L393" s="159"/>
      <c r="M393" s="159">
        <f>N393+P393</f>
        <v>5300000</v>
      </c>
      <c r="N393" s="159">
        <v>5300000</v>
      </c>
      <c r="O393" s="159"/>
      <c r="P393" s="159"/>
      <c r="Q393" s="166"/>
      <c r="R393" s="166"/>
      <c r="S393" s="166"/>
      <c r="T393" s="166"/>
      <c r="U393" s="166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0"/>
      <c r="BW393" s="130"/>
      <c r="BX393" s="130"/>
      <c r="BY393" s="130"/>
      <c r="BZ393" s="130"/>
      <c r="CA393" s="130"/>
      <c r="CB393" s="130"/>
      <c r="CC393" s="130"/>
      <c r="CD393" s="130"/>
      <c r="CE393" s="130"/>
      <c r="CF393" s="130"/>
      <c r="CG393" s="130"/>
      <c r="CH393" s="130"/>
      <c r="CI393" s="130"/>
      <c r="CJ393" s="130"/>
      <c r="CK393" s="130"/>
      <c r="CL393" s="130"/>
      <c r="CM393" s="130"/>
      <c r="CN393" s="130"/>
      <c r="CO393" s="130"/>
      <c r="CP393" s="130"/>
      <c r="CQ393" s="130"/>
      <c r="CR393" s="130"/>
      <c r="CS393" s="130"/>
      <c r="CT393" s="130"/>
      <c r="CU393" s="130"/>
      <c r="CV393" s="130"/>
      <c r="CW393" s="130"/>
      <c r="CX393" s="130"/>
      <c r="CY393" s="130"/>
      <c r="CZ393" s="130"/>
      <c r="DA393" s="130"/>
      <c r="DB393" s="130"/>
      <c r="DC393" s="130"/>
      <c r="DD393" s="130"/>
      <c r="DE393" s="130"/>
      <c r="DF393" s="130"/>
      <c r="DG393" s="130"/>
      <c r="DH393" s="130"/>
      <c r="DI393" s="130"/>
      <c r="DJ393" s="130"/>
      <c r="DK393" s="130"/>
      <c r="DL393" s="130"/>
      <c r="DM393" s="130"/>
      <c r="DN393" s="130"/>
      <c r="DO393" s="130"/>
      <c r="DP393" s="130"/>
      <c r="DQ393" s="130"/>
      <c r="DR393" s="130"/>
      <c r="DS393" s="130"/>
      <c r="DT393" s="130"/>
      <c r="DU393" s="130"/>
      <c r="DV393" s="130"/>
      <c r="DW393" s="130"/>
      <c r="DX393" s="130"/>
      <c r="DY393" s="130"/>
      <c r="DZ393" s="130"/>
      <c r="EA393" s="130"/>
      <c r="EB393" s="130"/>
      <c r="EC393" s="130"/>
      <c r="ED393" s="130"/>
      <c r="EE393" s="130"/>
      <c r="EF393" s="130"/>
      <c r="EG393" s="130"/>
      <c r="EH393" s="130"/>
      <c r="EI393" s="130"/>
      <c r="EJ393" s="130"/>
      <c r="EK393" s="130"/>
      <c r="EL393" s="130"/>
      <c r="EM393" s="130"/>
      <c r="EN393" s="130"/>
      <c r="EO393" s="130"/>
      <c r="EP393" s="130"/>
      <c r="EQ393" s="130"/>
      <c r="ER393" s="130"/>
      <c r="ES393" s="130"/>
      <c r="ET393" s="130"/>
      <c r="EU393" s="130"/>
      <c r="EV393" s="130"/>
      <c r="EW393" s="130"/>
      <c r="EX393" s="130"/>
      <c r="EY393" s="130"/>
      <c r="EZ393" s="130"/>
      <c r="FA393" s="130"/>
      <c r="FB393" s="130"/>
      <c r="FC393" s="130"/>
      <c r="FD393" s="130"/>
      <c r="FE393" s="130"/>
      <c r="FF393" s="130"/>
      <c r="FG393" s="130"/>
      <c r="FH393" s="130"/>
      <c r="FI393" s="130"/>
      <c r="FJ393" s="130"/>
      <c r="FK393" s="130"/>
      <c r="FL393" s="130"/>
      <c r="FM393" s="130"/>
      <c r="FN393" s="130"/>
      <c r="FO393" s="130"/>
      <c r="FP393" s="130"/>
      <c r="FQ393" s="130"/>
      <c r="FR393" s="130"/>
      <c r="FS393" s="130"/>
      <c r="FT393" s="130"/>
      <c r="FU393" s="130"/>
      <c r="FV393" s="130"/>
      <c r="FW393" s="130"/>
      <c r="FX393" s="130"/>
      <c r="FY393" s="130"/>
      <c r="FZ393" s="130"/>
      <c r="GA393" s="130"/>
      <c r="GB393" s="130"/>
      <c r="GC393" s="130"/>
      <c r="GD393" s="130"/>
      <c r="GE393" s="130"/>
      <c r="GF393" s="130"/>
      <c r="GG393" s="130"/>
      <c r="GH393" s="130"/>
      <c r="GI393" s="130"/>
      <c r="GJ393" s="130"/>
      <c r="GK393" s="130"/>
      <c r="GL393" s="130"/>
      <c r="GM393" s="130"/>
      <c r="GN393" s="130"/>
      <c r="GO393" s="130"/>
      <c r="GP393" s="130"/>
      <c r="GQ393" s="130"/>
      <c r="GR393" s="130"/>
      <c r="GS393" s="130"/>
      <c r="GT393" s="130"/>
      <c r="GU393" s="130"/>
      <c r="GV393" s="130"/>
      <c r="GW393" s="130"/>
      <c r="GX393" s="130"/>
      <c r="GY393" s="130"/>
      <c r="GZ393" s="130"/>
      <c r="HA393" s="130"/>
      <c r="HB393" s="130"/>
      <c r="HC393" s="130"/>
      <c r="HD393" s="130"/>
      <c r="HE393" s="130"/>
      <c r="HF393" s="130"/>
      <c r="HG393" s="130"/>
      <c r="HH393" s="130"/>
      <c r="HI393" s="130"/>
      <c r="HJ393" s="130"/>
      <c r="HK393" s="130"/>
      <c r="HL393" s="130"/>
      <c r="HM393" s="130"/>
      <c r="HN393" s="130"/>
      <c r="HO393" s="130"/>
      <c r="HP393" s="130"/>
      <c r="HQ393" s="130"/>
      <c r="HR393" s="130"/>
      <c r="HS393" s="130"/>
      <c r="HT393" s="130"/>
      <c r="HU393" s="130"/>
      <c r="HV393" s="130"/>
      <c r="HW393" s="130"/>
      <c r="HX393" s="130"/>
      <c r="HY393" s="130"/>
      <c r="HZ393" s="130"/>
      <c r="IA393" s="130"/>
      <c r="IB393" s="130"/>
      <c r="IC393" s="130"/>
      <c r="ID393" s="130"/>
      <c r="IE393" s="130"/>
      <c r="IF393" s="130"/>
      <c r="IG393" s="130"/>
      <c r="IH393" s="130"/>
      <c r="II393" s="130"/>
      <c r="IJ393" s="130"/>
      <c r="IK393" s="130"/>
      <c r="IL393" s="130"/>
      <c r="IM393" s="130"/>
      <c r="IN393" s="130"/>
      <c r="IO393" s="130"/>
      <c r="IP393" s="130"/>
      <c r="IQ393" s="130"/>
      <c r="IR393" s="130"/>
      <c r="IS393" s="130"/>
      <c r="IT393" s="130"/>
      <c r="IU393" s="130"/>
      <c r="IV393" s="130"/>
    </row>
    <row r="394" spans="1:256">
      <c r="A394" s="825"/>
      <c r="B394" s="828"/>
      <c r="C394" s="157" t="s">
        <v>2</v>
      </c>
      <c r="D394" s="158">
        <f>D393+D392</f>
        <v>15906700</v>
      </c>
      <c r="E394" s="159">
        <f t="shared" ref="E394:P394" si="190">E393+E392</f>
        <v>0</v>
      </c>
      <c r="F394" s="159">
        <f t="shared" si="190"/>
        <v>0</v>
      </c>
      <c r="G394" s="159">
        <f t="shared" si="190"/>
        <v>0</v>
      </c>
      <c r="H394" s="159">
        <f t="shared" si="190"/>
        <v>0</v>
      </c>
      <c r="I394" s="159">
        <f t="shared" si="190"/>
        <v>0</v>
      </c>
      <c r="J394" s="159">
        <f t="shared" si="190"/>
        <v>0</v>
      </c>
      <c r="K394" s="159">
        <f t="shared" si="190"/>
        <v>0</v>
      </c>
      <c r="L394" s="159">
        <f t="shared" si="190"/>
        <v>0</v>
      </c>
      <c r="M394" s="159">
        <f t="shared" si="190"/>
        <v>15906700</v>
      </c>
      <c r="N394" s="159">
        <f t="shared" si="190"/>
        <v>15906700</v>
      </c>
      <c r="O394" s="159">
        <f t="shared" si="190"/>
        <v>0</v>
      </c>
      <c r="P394" s="159">
        <f t="shared" si="190"/>
        <v>0</v>
      </c>
      <c r="Q394" s="166"/>
      <c r="R394" s="166"/>
      <c r="S394" s="166"/>
      <c r="T394" s="166"/>
      <c r="U394" s="166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0"/>
      <c r="BW394" s="130"/>
      <c r="BX394" s="130"/>
      <c r="BY394" s="130"/>
      <c r="BZ394" s="130"/>
      <c r="CA394" s="130"/>
      <c r="CB394" s="130"/>
      <c r="CC394" s="130"/>
      <c r="CD394" s="130"/>
      <c r="CE394" s="130"/>
      <c r="CF394" s="130"/>
      <c r="CG394" s="130"/>
      <c r="CH394" s="130"/>
      <c r="CI394" s="130"/>
      <c r="CJ394" s="130"/>
      <c r="CK394" s="130"/>
      <c r="CL394" s="130"/>
      <c r="CM394" s="130"/>
      <c r="CN394" s="130"/>
      <c r="CO394" s="130"/>
      <c r="CP394" s="130"/>
      <c r="CQ394" s="130"/>
      <c r="CR394" s="130"/>
      <c r="CS394" s="130"/>
      <c r="CT394" s="130"/>
      <c r="CU394" s="130"/>
      <c r="CV394" s="130"/>
      <c r="CW394" s="130"/>
      <c r="CX394" s="130"/>
      <c r="CY394" s="130"/>
      <c r="CZ394" s="130"/>
      <c r="DA394" s="130"/>
      <c r="DB394" s="130"/>
      <c r="DC394" s="130"/>
      <c r="DD394" s="130"/>
      <c r="DE394" s="130"/>
      <c r="DF394" s="130"/>
      <c r="DG394" s="130"/>
      <c r="DH394" s="130"/>
      <c r="DI394" s="130"/>
      <c r="DJ394" s="130"/>
      <c r="DK394" s="130"/>
      <c r="DL394" s="130"/>
      <c r="DM394" s="130"/>
      <c r="DN394" s="130"/>
      <c r="DO394" s="130"/>
      <c r="DP394" s="130"/>
      <c r="DQ394" s="130"/>
      <c r="DR394" s="130"/>
      <c r="DS394" s="130"/>
      <c r="DT394" s="130"/>
      <c r="DU394" s="130"/>
      <c r="DV394" s="130"/>
      <c r="DW394" s="130"/>
      <c r="DX394" s="130"/>
      <c r="DY394" s="130"/>
      <c r="DZ394" s="130"/>
      <c r="EA394" s="130"/>
      <c r="EB394" s="130"/>
      <c r="EC394" s="130"/>
      <c r="ED394" s="130"/>
      <c r="EE394" s="130"/>
      <c r="EF394" s="130"/>
      <c r="EG394" s="130"/>
      <c r="EH394" s="130"/>
      <c r="EI394" s="130"/>
      <c r="EJ394" s="130"/>
      <c r="EK394" s="130"/>
      <c r="EL394" s="130"/>
      <c r="EM394" s="130"/>
      <c r="EN394" s="130"/>
      <c r="EO394" s="130"/>
      <c r="EP394" s="130"/>
      <c r="EQ394" s="130"/>
      <c r="ER394" s="130"/>
      <c r="ES394" s="130"/>
      <c r="ET394" s="130"/>
      <c r="EU394" s="130"/>
      <c r="EV394" s="130"/>
      <c r="EW394" s="130"/>
      <c r="EX394" s="130"/>
      <c r="EY394" s="130"/>
      <c r="EZ394" s="130"/>
      <c r="FA394" s="130"/>
      <c r="FB394" s="130"/>
      <c r="FC394" s="130"/>
      <c r="FD394" s="130"/>
      <c r="FE394" s="130"/>
      <c r="FF394" s="130"/>
      <c r="FG394" s="130"/>
      <c r="FH394" s="130"/>
      <c r="FI394" s="130"/>
      <c r="FJ394" s="130"/>
      <c r="FK394" s="130"/>
      <c r="FL394" s="130"/>
      <c r="FM394" s="130"/>
      <c r="FN394" s="130"/>
      <c r="FO394" s="130"/>
      <c r="FP394" s="130"/>
      <c r="FQ394" s="130"/>
      <c r="FR394" s="130"/>
      <c r="FS394" s="130"/>
      <c r="FT394" s="130"/>
      <c r="FU394" s="130"/>
      <c r="FV394" s="130"/>
      <c r="FW394" s="130"/>
      <c r="FX394" s="130"/>
      <c r="FY394" s="130"/>
      <c r="FZ394" s="130"/>
      <c r="GA394" s="130"/>
      <c r="GB394" s="130"/>
      <c r="GC394" s="130"/>
      <c r="GD394" s="130"/>
      <c r="GE394" s="130"/>
      <c r="GF394" s="130"/>
      <c r="GG394" s="130"/>
      <c r="GH394" s="130"/>
      <c r="GI394" s="130"/>
      <c r="GJ394" s="130"/>
      <c r="GK394" s="130"/>
      <c r="GL394" s="130"/>
      <c r="GM394" s="130"/>
      <c r="GN394" s="130"/>
      <c r="GO394" s="130"/>
      <c r="GP394" s="130"/>
      <c r="GQ394" s="130"/>
      <c r="GR394" s="130"/>
      <c r="GS394" s="130"/>
      <c r="GT394" s="130"/>
      <c r="GU394" s="130"/>
      <c r="GV394" s="130"/>
      <c r="GW394" s="130"/>
      <c r="GX394" s="130"/>
      <c r="GY394" s="130"/>
      <c r="GZ394" s="130"/>
      <c r="HA394" s="130"/>
      <c r="HB394" s="130"/>
      <c r="HC394" s="130"/>
      <c r="HD394" s="130"/>
      <c r="HE394" s="130"/>
      <c r="HF394" s="130"/>
      <c r="HG394" s="130"/>
      <c r="HH394" s="130"/>
      <c r="HI394" s="130"/>
      <c r="HJ394" s="130"/>
      <c r="HK394" s="130"/>
      <c r="HL394" s="130"/>
      <c r="HM394" s="130"/>
      <c r="HN394" s="130"/>
      <c r="HO394" s="130"/>
      <c r="HP394" s="130"/>
      <c r="HQ394" s="130"/>
      <c r="HR394" s="130"/>
      <c r="HS394" s="130"/>
      <c r="HT394" s="130"/>
      <c r="HU394" s="130"/>
      <c r="HV394" s="130"/>
      <c r="HW394" s="130"/>
      <c r="HX394" s="130"/>
      <c r="HY394" s="130"/>
      <c r="HZ394" s="130"/>
      <c r="IA394" s="130"/>
      <c r="IB394" s="130"/>
      <c r="IC394" s="130"/>
      <c r="ID394" s="130"/>
      <c r="IE394" s="130"/>
      <c r="IF394" s="130"/>
      <c r="IG394" s="130"/>
      <c r="IH394" s="130"/>
      <c r="II394" s="130"/>
      <c r="IJ394" s="130"/>
      <c r="IK394" s="130"/>
      <c r="IL394" s="130"/>
      <c r="IM394" s="130"/>
      <c r="IN394" s="130"/>
      <c r="IO394" s="130"/>
      <c r="IP394" s="130"/>
      <c r="IQ394" s="130"/>
      <c r="IR394" s="130"/>
      <c r="IS394" s="130"/>
      <c r="IT394" s="130"/>
      <c r="IU394" s="130"/>
      <c r="IV394" s="130"/>
    </row>
    <row r="395" spans="1:256">
      <c r="A395" s="823">
        <v>92605</v>
      </c>
      <c r="B395" s="826" t="s">
        <v>289</v>
      </c>
      <c r="C395" s="157" t="s">
        <v>0</v>
      </c>
      <c r="D395" s="158">
        <f>E395+M395</f>
        <v>34690000</v>
      </c>
      <c r="E395" s="159">
        <f>F395+I395+J395+K395+L395</f>
        <v>20690000</v>
      </c>
      <c r="F395" s="159">
        <f>G395+H395</f>
        <v>10240000</v>
      </c>
      <c r="G395" s="159">
        <v>10000</v>
      </c>
      <c r="H395" s="159">
        <f>20000+160000+5000+10040000+5000</f>
        <v>10230000</v>
      </c>
      <c r="I395" s="159">
        <v>9650000</v>
      </c>
      <c r="J395" s="159">
        <v>800000</v>
      </c>
      <c r="K395" s="159">
        <v>0</v>
      </c>
      <c r="L395" s="159">
        <v>0</v>
      </c>
      <c r="M395" s="159">
        <f>N395+P395</f>
        <v>14000000</v>
      </c>
      <c r="N395" s="159">
        <v>14000000</v>
      </c>
      <c r="O395" s="159">
        <v>0</v>
      </c>
      <c r="P395" s="159">
        <v>0</v>
      </c>
      <c r="Q395" s="166"/>
      <c r="R395" s="166"/>
      <c r="S395" s="166"/>
      <c r="T395" s="166"/>
      <c r="U395" s="166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0"/>
      <c r="BZ395" s="130"/>
      <c r="CA395" s="130"/>
      <c r="CB395" s="130"/>
      <c r="CC395" s="130"/>
      <c r="CD395" s="130"/>
      <c r="CE395" s="130"/>
      <c r="CF395" s="130"/>
      <c r="CG395" s="130"/>
      <c r="CH395" s="130"/>
      <c r="CI395" s="130"/>
      <c r="CJ395" s="130"/>
      <c r="CK395" s="130"/>
      <c r="CL395" s="130"/>
      <c r="CM395" s="130"/>
      <c r="CN395" s="130"/>
      <c r="CO395" s="130"/>
      <c r="CP395" s="130"/>
      <c r="CQ395" s="130"/>
      <c r="CR395" s="130"/>
      <c r="CS395" s="130"/>
      <c r="CT395" s="130"/>
      <c r="CU395" s="130"/>
      <c r="CV395" s="130"/>
      <c r="CW395" s="130"/>
      <c r="CX395" s="130"/>
      <c r="CY395" s="130"/>
      <c r="CZ395" s="130"/>
      <c r="DA395" s="130"/>
      <c r="DB395" s="130"/>
      <c r="DC395" s="130"/>
      <c r="DD395" s="130"/>
      <c r="DE395" s="130"/>
      <c r="DF395" s="130"/>
      <c r="DG395" s="130"/>
      <c r="DH395" s="130"/>
      <c r="DI395" s="130"/>
      <c r="DJ395" s="130"/>
      <c r="DK395" s="130"/>
      <c r="DL395" s="130"/>
      <c r="DM395" s="130"/>
      <c r="DN395" s="130"/>
      <c r="DO395" s="130"/>
      <c r="DP395" s="130"/>
      <c r="DQ395" s="130"/>
      <c r="DR395" s="130"/>
      <c r="DS395" s="130"/>
      <c r="DT395" s="130"/>
      <c r="DU395" s="130"/>
      <c r="DV395" s="130"/>
      <c r="DW395" s="130"/>
      <c r="DX395" s="130"/>
      <c r="DY395" s="130"/>
      <c r="DZ395" s="130"/>
      <c r="EA395" s="130"/>
      <c r="EB395" s="130"/>
      <c r="EC395" s="130"/>
      <c r="ED395" s="130"/>
      <c r="EE395" s="130"/>
      <c r="EF395" s="130"/>
      <c r="EG395" s="130"/>
      <c r="EH395" s="130"/>
      <c r="EI395" s="130"/>
      <c r="EJ395" s="130"/>
      <c r="EK395" s="130"/>
      <c r="EL395" s="130"/>
      <c r="EM395" s="130"/>
      <c r="EN395" s="130"/>
      <c r="EO395" s="130"/>
      <c r="EP395" s="130"/>
      <c r="EQ395" s="130"/>
      <c r="ER395" s="130"/>
      <c r="ES395" s="130"/>
      <c r="ET395" s="130"/>
      <c r="EU395" s="130"/>
      <c r="EV395" s="130"/>
      <c r="EW395" s="130"/>
      <c r="EX395" s="130"/>
      <c r="EY395" s="130"/>
      <c r="EZ395" s="130"/>
      <c r="FA395" s="130"/>
      <c r="FB395" s="130"/>
      <c r="FC395" s="130"/>
      <c r="FD395" s="130"/>
      <c r="FE395" s="130"/>
      <c r="FF395" s="130"/>
      <c r="FG395" s="130"/>
      <c r="FH395" s="130"/>
      <c r="FI395" s="130"/>
      <c r="FJ395" s="130"/>
      <c r="FK395" s="130"/>
      <c r="FL395" s="130"/>
      <c r="FM395" s="130"/>
      <c r="FN395" s="130"/>
      <c r="FO395" s="130"/>
      <c r="FP395" s="130"/>
      <c r="FQ395" s="130"/>
      <c r="FR395" s="130"/>
      <c r="FS395" s="130"/>
      <c r="FT395" s="130"/>
      <c r="FU395" s="130"/>
      <c r="FV395" s="130"/>
      <c r="FW395" s="130"/>
      <c r="FX395" s="130"/>
      <c r="FY395" s="130"/>
      <c r="FZ395" s="130"/>
      <c r="GA395" s="130"/>
      <c r="GB395" s="130"/>
      <c r="GC395" s="130"/>
      <c r="GD395" s="130"/>
      <c r="GE395" s="130"/>
      <c r="GF395" s="130"/>
      <c r="GG395" s="130"/>
      <c r="GH395" s="130"/>
      <c r="GI395" s="130"/>
      <c r="GJ395" s="130"/>
      <c r="GK395" s="130"/>
      <c r="GL395" s="130"/>
      <c r="GM395" s="130"/>
      <c r="GN395" s="130"/>
      <c r="GO395" s="130"/>
      <c r="GP395" s="130"/>
      <c r="GQ395" s="130"/>
      <c r="GR395" s="130"/>
      <c r="GS395" s="130"/>
      <c r="GT395" s="130"/>
      <c r="GU395" s="130"/>
      <c r="GV395" s="130"/>
      <c r="GW395" s="130"/>
      <c r="GX395" s="130"/>
      <c r="GY395" s="130"/>
      <c r="GZ395" s="130"/>
      <c r="HA395" s="130"/>
      <c r="HB395" s="130"/>
      <c r="HC395" s="130"/>
      <c r="HD395" s="130"/>
      <c r="HE395" s="130"/>
      <c r="HF395" s="130"/>
      <c r="HG395" s="130"/>
      <c r="HH395" s="130"/>
      <c r="HI395" s="130"/>
      <c r="HJ395" s="130"/>
      <c r="HK395" s="130"/>
      <c r="HL395" s="130"/>
      <c r="HM395" s="130"/>
      <c r="HN395" s="130"/>
      <c r="HO395" s="130"/>
      <c r="HP395" s="130"/>
      <c r="HQ395" s="130"/>
      <c r="HR395" s="130"/>
      <c r="HS395" s="130"/>
      <c r="HT395" s="130"/>
      <c r="HU395" s="130"/>
      <c r="HV395" s="130"/>
      <c r="HW395" s="130"/>
      <c r="HX395" s="130"/>
      <c r="HY395" s="130"/>
      <c r="HZ395" s="130"/>
      <c r="IA395" s="130"/>
      <c r="IB395" s="130"/>
      <c r="IC395" s="130"/>
      <c r="ID395" s="130"/>
      <c r="IE395" s="130"/>
      <c r="IF395" s="130"/>
      <c r="IG395" s="130"/>
      <c r="IH395" s="130"/>
      <c r="II395" s="130"/>
      <c r="IJ395" s="130"/>
      <c r="IK395" s="130"/>
      <c r="IL395" s="130"/>
      <c r="IM395" s="130"/>
      <c r="IN395" s="130"/>
      <c r="IO395" s="130"/>
      <c r="IP395" s="130"/>
      <c r="IQ395" s="130"/>
      <c r="IR395" s="130"/>
      <c r="IS395" s="130"/>
      <c r="IT395" s="130"/>
      <c r="IU395" s="130"/>
      <c r="IV395" s="130"/>
    </row>
    <row r="396" spans="1:256">
      <c r="A396" s="824"/>
      <c r="B396" s="827"/>
      <c r="C396" s="157" t="s">
        <v>1</v>
      </c>
      <c r="D396" s="158">
        <f>E396+M396</f>
        <v>6551500</v>
      </c>
      <c r="E396" s="159">
        <f>F396+I396+J396+K396+L396</f>
        <v>4601500</v>
      </c>
      <c r="F396" s="159">
        <f>G396+H396</f>
        <v>4601500</v>
      </c>
      <c r="G396" s="159"/>
      <c r="H396" s="159">
        <f>4601500</f>
        <v>4601500</v>
      </c>
      <c r="I396" s="159"/>
      <c r="J396" s="159"/>
      <c r="K396" s="159"/>
      <c r="L396" s="159"/>
      <c r="M396" s="159">
        <f>N396+P396</f>
        <v>1950000</v>
      </c>
      <c r="N396" s="159">
        <v>1950000</v>
      </c>
      <c r="O396" s="159"/>
      <c r="P396" s="159"/>
      <c r="Q396" s="166"/>
      <c r="R396" s="166"/>
      <c r="S396" s="166"/>
      <c r="T396" s="166"/>
      <c r="U396" s="166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0"/>
      <c r="BX396" s="130"/>
      <c r="BY396" s="130"/>
      <c r="BZ396" s="130"/>
      <c r="CA396" s="130"/>
      <c r="CB396" s="130"/>
      <c r="CC396" s="130"/>
      <c r="CD396" s="130"/>
      <c r="CE396" s="130"/>
      <c r="CF396" s="130"/>
      <c r="CG396" s="130"/>
      <c r="CH396" s="130"/>
      <c r="CI396" s="130"/>
      <c r="CJ396" s="130"/>
      <c r="CK396" s="130"/>
      <c r="CL396" s="130"/>
      <c r="CM396" s="130"/>
      <c r="CN396" s="130"/>
      <c r="CO396" s="130"/>
      <c r="CP396" s="130"/>
      <c r="CQ396" s="130"/>
      <c r="CR396" s="130"/>
      <c r="CS396" s="130"/>
      <c r="CT396" s="130"/>
      <c r="CU396" s="130"/>
      <c r="CV396" s="130"/>
      <c r="CW396" s="130"/>
      <c r="CX396" s="130"/>
      <c r="CY396" s="130"/>
      <c r="CZ396" s="130"/>
      <c r="DA396" s="130"/>
      <c r="DB396" s="130"/>
      <c r="DC396" s="130"/>
      <c r="DD396" s="130"/>
      <c r="DE396" s="130"/>
      <c r="DF396" s="130"/>
      <c r="DG396" s="130"/>
      <c r="DH396" s="130"/>
      <c r="DI396" s="130"/>
      <c r="DJ396" s="130"/>
      <c r="DK396" s="130"/>
      <c r="DL396" s="130"/>
      <c r="DM396" s="130"/>
      <c r="DN396" s="130"/>
      <c r="DO396" s="130"/>
      <c r="DP396" s="130"/>
      <c r="DQ396" s="130"/>
      <c r="DR396" s="130"/>
      <c r="DS396" s="130"/>
      <c r="DT396" s="130"/>
      <c r="DU396" s="130"/>
      <c r="DV396" s="130"/>
      <c r="DW396" s="130"/>
      <c r="DX396" s="130"/>
      <c r="DY396" s="130"/>
      <c r="DZ396" s="130"/>
      <c r="EA396" s="130"/>
      <c r="EB396" s="130"/>
      <c r="EC396" s="130"/>
      <c r="ED396" s="130"/>
      <c r="EE396" s="130"/>
      <c r="EF396" s="130"/>
      <c r="EG396" s="130"/>
      <c r="EH396" s="130"/>
      <c r="EI396" s="130"/>
      <c r="EJ396" s="130"/>
      <c r="EK396" s="130"/>
      <c r="EL396" s="130"/>
      <c r="EM396" s="130"/>
      <c r="EN396" s="130"/>
      <c r="EO396" s="130"/>
      <c r="EP396" s="130"/>
      <c r="EQ396" s="130"/>
      <c r="ER396" s="130"/>
      <c r="ES396" s="130"/>
      <c r="ET396" s="130"/>
      <c r="EU396" s="130"/>
      <c r="EV396" s="130"/>
      <c r="EW396" s="130"/>
      <c r="EX396" s="130"/>
      <c r="EY396" s="130"/>
      <c r="EZ396" s="130"/>
      <c r="FA396" s="130"/>
      <c r="FB396" s="130"/>
      <c r="FC396" s="130"/>
      <c r="FD396" s="130"/>
      <c r="FE396" s="130"/>
      <c r="FF396" s="130"/>
      <c r="FG396" s="130"/>
      <c r="FH396" s="130"/>
      <c r="FI396" s="130"/>
      <c r="FJ396" s="130"/>
      <c r="FK396" s="130"/>
      <c r="FL396" s="130"/>
      <c r="FM396" s="130"/>
      <c r="FN396" s="130"/>
      <c r="FO396" s="130"/>
      <c r="FP396" s="130"/>
      <c r="FQ396" s="130"/>
      <c r="FR396" s="130"/>
      <c r="FS396" s="130"/>
      <c r="FT396" s="130"/>
      <c r="FU396" s="130"/>
      <c r="FV396" s="130"/>
      <c r="FW396" s="130"/>
      <c r="FX396" s="130"/>
      <c r="FY396" s="130"/>
      <c r="FZ396" s="130"/>
      <c r="GA396" s="130"/>
      <c r="GB396" s="130"/>
      <c r="GC396" s="130"/>
      <c r="GD396" s="130"/>
      <c r="GE396" s="130"/>
      <c r="GF396" s="130"/>
      <c r="GG396" s="130"/>
      <c r="GH396" s="130"/>
      <c r="GI396" s="130"/>
      <c r="GJ396" s="130"/>
      <c r="GK396" s="130"/>
      <c r="GL396" s="130"/>
      <c r="GM396" s="130"/>
      <c r="GN396" s="130"/>
      <c r="GO396" s="130"/>
      <c r="GP396" s="130"/>
      <c r="GQ396" s="130"/>
      <c r="GR396" s="130"/>
      <c r="GS396" s="130"/>
      <c r="GT396" s="130"/>
      <c r="GU396" s="130"/>
      <c r="GV396" s="130"/>
      <c r="GW396" s="130"/>
      <c r="GX396" s="130"/>
      <c r="GY396" s="130"/>
      <c r="GZ396" s="130"/>
      <c r="HA396" s="130"/>
      <c r="HB396" s="130"/>
      <c r="HC396" s="130"/>
      <c r="HD396" s="130"/>
      <c r="HE396" s="130"/>
      <c r="HF396" s="130"/>
      <c r="HG396" s="130"/>
      <c r="HH396" s="130"/>
      <c r="HI396" s="130"/>
      <c r="HJ396" s="130"/>
      <c r="HK396" s="130"/>
      <c r="HL396" s="130"/>
      <c r="HM396" s="130"/>
      <c r="HN396" s="130"/>
      <c r="HO396" s="130"/>
      <c r="HP396" s="130"/>
      <c r="HQ396" s="130"/>
      <c r="HR396" s="130"/>
      <c r="HS396" s="130"/>
      <c r="HT396" s="130"/>
      <c r="HU396" s="130"/>
      <c r="HV396" s="130"/>
      <c r="HW396" s="130"/>
      <c r="HX396" s="130"/>
      <c r="HY396" s="130"/>
      <c r="HZ396" s="130"/>
      <c r="IA396" s="130"/>
      <c r="IB396" s="130"/>
      <c r="IC396" s="130"/>
      <c r="ID396" s="130"/>
      <c r="IE396" s="130"/>
      <c r="IF396" s="130"/>
      <c r="IG396" s="130"/>
      <c r="IH396" s="130"/>
      <c r="II396" s="130"/>
      <c r="IJ396" s="130"/>
      <c r="IK396" s="130"/>
      <c r="IL396" s="130"/>
      <c r="IM396" s="130"/>
      <c r="IN396" s="130"/>
      <c r="IO396" s="130"/>
      <c r="IP396" s="130"/>
      <c r="IQ396" s="130"/>
      <c r="IR396" s="130"/>
      <c r="IS396" s="130"/>
      <c r="IT396" s="130"/>
      <c r="IU396" s="130"/>
      <c r="IV396" s="130"/>
    </row>
    <row r="397" spans="1:256">
      <c r="A397" s="825"/>
      <c r="B397" s="828"/>
      <c r="C397" s="157" t="s">
        <v>2</v>
      </c>
      <c r="D397" s="158">
        <f>D396+D395</f>
        <v>41241500</v>
      </c>
      <c r="E397" s="159">
        <f t="shared" ref="E397:P397" si="191">E396+E395</f>
        <v>25291500</v>
      </c>
      <c r="F397" s="159">
        <f t="shared" si="191"/>
        <v>14841500</v>
      </c>
      <c r="G397" s="159">
        <f t="shared" si="191"/>
        <v>10000</v>
      </c>
      <c r="H397" s="159">
        <f t="shared" si="191"/>
        <v>14831500</v>
      </c>
      <c r="I397" s="159">
        <f t="shared" si="191"/>
        <v>9650000</v>
      </c>
      <c r="J397" s="159">
        <f t="shared" si="191"/>
        <v>800000</v>
      </c>
      <c r="K397" s="159">
        <f t="shared" si="191"/>
        <v>0</v>
      </c>
      <c r="L397" s="159">
        <f t="shared" si="191"/>
        <v>0</v>
      </c>
      <c r="M397" s="159">
        <f t="shared" si="191"/>
        <v>15950000</v>
      </c>
      <c r="N397" s="159">
        <f t="shared" si="191"/>
        <v>15950000</v>
      </c>
      <c r="O397" s="159">
        <f t="shared" si="191"/>
        <v>0</v>
      </c>
      <c r="P397" s="159">
        <f t="shared" si="191"/>
        <v>0</v>
      </c>
      <c r="Q397" s="166"/>
      <c r="R397" s="166"/>
      <c r="S397" s="166"/>
      <c r="T397" s="166"/>
      <c r="U397" s="166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/>
      <c r="BQ397" s="130"/>
      <c r="BR397" s="130"/>
      <c r="BS397" s="130"/>
      <c r="BT397" s="130"/>
      <c r="BU397" s="130"/>
      <c r="BV397" s="130"/>
      <c r="BW397" s="130"/>
      <c r="BX397" s="130"/>
      <c r="BY397" s="130"/>
      <c r="BZ397" s="130"/>
      <c r="CA397" s="130"/>
      <c r="CB397" s="130"/>
      <c r="CC397" s="130"/>
      <c r="CD397" s="130"/>
      <c r="CE397" s="130"/>
      <c r="CF397" s="130"/>
      <c r="CG397" s="130"/>
      <c r="CH397" s="130"/>
      <c r="CI397" s="130"/>
      <c r="CJ397" s="130"/>
      <c r="CK397" s="130"/>
      <c r="CL397" s="130"/>
      <c r="CM397" s="130"/>
      <c r="CN397" s="130"/>
      <c r="CO397" s="130"/>
      <c r="CP397" s="130"/>
      <c r="CQ397" s="130"/>
      <c r="CR397" s="130"/>
      <c r="CS397" s="130"/>
      <c r="CT397" s="130"/>
      <c r="CU397" s="130"/>
      <c r="CV397" s="130"/>
      <c r="CW397" s="130"/>
      <c r="CX397" s="130"/>
      <c r="CY397" s="130"/>
      <c r="CZ397" s="130"/>
      <c r="DA397" s="130"/>
      <c r="DB397" s="130"/>
      <c r="DC397" s="130"/>
      <c r="DD397" s="130"/>
      <c r="DE397" s="130"/>
      <c r="DF397" s="130"/>
      <c r="DG397" s="130"/>
      <c r="DH397" s="130"/>
      <c r="DI397" s="130"/>
      <c r="DJ397" s="130"/>
      <c r="DK397" s="130"/>
      <c r="DL397" s="130"/>
      <c r="DM397" s="130"/>
      <c r="DN397" s="130"/>
      <c r="DO397" s="130"/>
      <c r="DP397" s="130"/>
      <c r="DQ397" s="130"/>
      <c r="DR397" s="130"/>
      <c r="DS397" s="130"/>
      <c r="DT397" s="130"/>
      <c r="DU397" s="130"/>
      <c r="DV397" s="130"/>
      <c r="DW397" s="130"/>
      <c r="DX397" s="130"/>
      <c r="DY397" s="130"/>
      <c r="DZ397" s="130"/>
      <c r="EA397" s="130"/>
      <c r="EB397" s="130"/>
      <c r="EC397" s="130"/>
      <c r="ED397" s="130"/>
      <c r="EE397" s="130"/>
      <c r="EF397" s="130"/>
      <c r="EG397" s="130"/>
      <c r="EH397" s="130"/>
      <c r="EI397" s="130"/>
      <c r="EJ397" s="130"/>
      <c r="EK397" s="130"/>
      <c r="EL397" s="130"/>
      <c r="EM397" s="130"/>
      <c r="EN397" s="130"/>
      <c r="EO397" s="130"/>
      <c r="EP397" s="130"/>
      <c r="EQ397" s="130"/>
      <c r="ER397" s="130"/>
      <c r="ES397" s="130"/>
      <c r="ET397" s="130"/>
      <c r="EU397" s="130"/>
      <c r="EV397" s="130"/>
      <c r="EW397" s="130"/>
      <c r="EX397" s="130"/>
      <c r="EY397" s="130"/>
      <c r="EZ397" s="130"/>
      <c r="FA397" s="130"/>
      <c r="FB397" s="130"/>
      <c r="FC397" s="130"/>
      <c r="FD397" s="130"/>
      <c r="FE397" s="130"/>
      <c r="FF397" s="130"/>
      <c r="FG397" s="130"/>
      <c r="FH397" s="130"/>
      <c r="FI397" s="130"/>
      <c r="FJ397" s="130"/>
      <c r="FK397" s="130"/>
      <c r="FL397" s="130"/>
      <c r="FM397" s="130"/>
      <c r="FN397" s="130"/>
      <c r="FO397" s="130"/>
      <c r="FP397" s="130"/>
      <c r="FQ397" s="130"/>
      <c r="FR397" s="130"/>
      <c r="FS397" s="130"/>
      <c r="FT397" s="130"/>
      <c r="FU397" s="130"/>
      <c r="FV397" s="130"/>
      <c r="FW397" s="130"/>
      <c r="FX397" s="130"/>
      <c r="FY397" s="130"/>
      <c r="FZ397" s="130"/>
      <c r="GA397" s="130"/>
      <c r="GB397" s="130"/>
      <c r="GC397" s="130"/>
      <c r="GD397" s="130"/>
      <c r="GE397" s="130"/>
      <c r="GF397" s="130"/>
      <c r="GG397" s="130"/>
      <c r="GH397" s="130"/>
      <c r="GI397" s="130"/>
      <c r="GJ397" s="130"/>
      <c r="GK397" s="130"/>
      <c r="GL397" s="130"/>
      <c r="GM397" s="130"/>
      <c r="GN397" s="130"/>
      <c r="GO397" s="130"/>
      <c r="GP397" s="130"/>
      <c r="GQ397" s="130"/>
      <c r="GR397" s="130"/>
      <c r="GS397" s="130"/>
      <c r="GT397" s="130"/>
      <c r="GU397" s="130"/>
      <c r="GV397" s="130"/>
      <c r="GW397" s="130"/>
      <c r="GX397" s="130"/>
      <c r="GY397" s="130"/>
      <c r="GZ397" s="130"/>
      <c r="HA397" s="130"/>
      <c r="HB397" s="130"/>
      <c r="HC397" s="130"/>
      <c r="HD397" s="130"/>
      <c r="HE397" s="130"/>
      <c r="HF397" s="130"/>
      <c r="HG397" s="130"/>
      <c r="HH397" s="130"/>
      <c r="HI397" s="130"/>
      <c r="HJ397" s="130"/>
      <c r="HK397" s="130"/>
      <c r="HL397" s="130"/>
      <c r="HM397" s="130"/>
      <c r="HN397" s="130"/>
      <c r="HO397" s="130"/>
      <c r="HP397" s="130"/>
      <c r="HQ397" s="130"/>
      <c r="HR397" s="130"/>
      <c r="HS397" s="130"/>
      <c r="HT397" s="130"/>
      <c r="HU397" s="130"/>
      <c r="HV397" s="130"/>
      <c r="HW397" s="130"/>
      <c r="HX397" s="130"/>
      <c r="HY397" s="130"/>
      <c r="HZ397" s="130"/>
      <c r="IA397" s="130"/>
      <c r="IB397" s="130"/>
      <c r="IC397" s="130"/>
      <c r="ID397" s="130"/>
      <c r="IE397" s="130"/>
      <c r="IF397" s="130"/>
      <c r="IG397" s="130"/>
      <c r="IH397" s="130"/>
      <c r="II397" s="130"/>
      <c r="IJ397" s="130"/>
      <c r="IK397" s="130"/>
      <c r="IL397" s="130"/>
      <c r="IM397" s="130"/>
      <c r="IN397" s="130"/>
      <c r="IO397" s="130"/>
      <c r="IP397" s="130"/>
      <c r="IQ397" s="130"/>
      <c r="IR397" s="130"/>
      <c r="IS397" s="130"/>
      <c r="IT397" s="130"/>
      <c r="IU397" s="130"/>
      <c r="IV397" s="130"/>
    </row>
    <row r="398" spans="1:256" hidden="1">
      <c r="A398" s="823" t="s">
        <v>290</v>
      </c>
      <c r="B398" s="826" t="s">
        <v>291</v>
      </c>
      <c r="C398" s="157" t="s">
        <v>0</v>
      </c>
      <c r="D398" s="158">
        <f>E398+M398</f>
        <v>1054156</v>
      </c>
      <c r="E398" s="159">
        <f>F398+I398+J398+K398+L398</f>
        <v>12321</v>
      </c>
      <c r="F398" s="159">
        <f>G398+H398</f>
        <v>0</v>
      </c>
      <c r="G398" s="159">
        <v>0</v>
      </c>
      <c r="H398" s="159">
        <v>0</v>
      </c>
      <c r="I398" s="159">
        <v>0</v>
      </c>
      <c r="J398" s="159">
        <v>0</v>
      </c>
      <c r="K398" s="159">
        <v>12321</v>
      </c>
      <c r="L398" s="159">
        <v>0</v>
      </c>
      <c r="M398" s="159">
        <f>N398+P398</f>
        <v>1041835</v>
      </c>
      <c r="N398" s="159">
        <v>1041835</v>
      </c>
      <c r="O398" s="159">
        <v>1041835</v>
      </c>
      <c r="P398" s="159">
        <v>0</v>
      </c>
      <c r="Q398" s="166"/>
      <c r="R398" s="166"/>
      <c r="S398" s="166"/>
      <c r="T398" s="166"/>
      <c r="U398" s="166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0"/>
      <c r="BZ398" s="130"/>
      <c r="CA398" s="130"/>
      <c r="CB398" s="130"/>
      <c r="CC398" s="130"/>
      <c r="CD398" s="130"/>
      <c r="CE398" s="130"/>
      <c r="CF398" s="130"/>
      <c r="CG398" s="130"/>
      <c r="CH398" s="130"/>
      <c r="CI398" s="130"/>
      <c r="CJ398" s="130"/>
      <c r="CK398" s="130"/>
      <c r="CL398" s="130"/>
      <c r="CM398" s="130"/>
      <c r="CN398" s="130"/>
      <c r="CO398" s="130"/>
      <c r="CP398" s="130"/>
      <c r="CQ398" s="130"/>
      <c r="CR398" s="130"/>
      <c r="CS398" s="130"/>
      <c r="CT398" s="130"/>
      <c r="CU398" s="130"/>
      <c r="CV398" s="130"/>
      <c r="CW398" s="130"/>
      <c r="CX398" s="130"/>
      <c r="CY398" s="130"/>
      <c r="CZ398" s="130"/>
      <c r="DA398" s="130"/>
      <c r="DB398" s="130"/>
      <c r="DC398" s="130"/>
      <c r="DD398" s="130"/>
      <c r="DE398" s="130"/>
      <c r="DF398" s="130"/>
      <c r="DG398" s="130"/>
      <c r="DH398" s="130"/>
      <c r="DI398" s="130"/>
      <c r="DJ398" s="130"/>
      <c r="DK398" s="130"/>
      <c r="DL398" s="130"/>
      <c r="DM398" s="130"/>
      <c r="DN398" s="130"/>
      <c r="DO398" s="130"/>
      <c r="DP398" s="130"/>
      <c r="DQ398" s="130"/>
      <c r="DR398" s="130"/>
      <c r="DS398" s="130"/>
      <c r="DT398" s="130"/>
      <c r="DU398" s="130"/>
      <c r="DV398" s="130"/>
      <c r="DW398" s="130"/>
      <c r="DX398" s="130"/>
      <c r="DY398" s="130"/>
      <c r="DZ398" s="130"/>
      <c r="EA398" s="130"/>
      <c r="EB398" s="130"/>
      <c r="EC398" s="130"/>
      <c r="ED398" s="130"/>
      <c r="EE398" s="130"/>
      <c r="EF398" s="130"/>
      <c r="EG398" s="130"/>
      <c r="EH398" s="130"/>
      <c r="EI398" s="130"/>
      <c r="EJ398" s="130"/>
      <c r="EK398" s="130"/>
      <c r="EL398" s="130"/>
      <c r="EM398" s="130"/>
      <c r="EN398" s="130"/>
      <c r="EO398" s="130"/>
      <c r="EP398" s="130"/>
      <c r="EQ398" s="130"/>
      <c r="ER398" s="130"/>
      <c r="ES398" s="130"/>
      <c r="ET398" s="130"/>
      <c r="EU398" s="130"/>
      <c r="EV398" s="130"/>
      <c r="EW398" s="130"/>
      <c r="EX398" s="130"/>
      <c r="EY398" s="130"/>
      <c r="EZ398" s="130"/>
      <c r="FA398" s="130"/>
      <c r="FB398" s="130"/>
      <c r="FC398" s="130"/>
      <c r="FD398" s="130"/>
      <c r="FE398" s="130"/>
      <c r="FF398" s="130"/>
      <c r="FG398" s="130"/>
      <c r="FH398" s="130"/>
      <c r="FI398" s="130"/>
      <c r="FJ398" s="130"/>
      <c r="FK398" s="130"/>
      <c r="FL398" s="130"/>
      <c r="FM398" s="130"/>
      <c r="FN398" s="130"/>
      <c r="FO398" s="130"/>
      <c r="FP398" s="130"/>
      <c r="FQ398" s="130"/>
      <c r="FR398" s="130"/>
      <c r="FS398" s="130"/>
      <c r="FT398" s="130"/>
      <c r="FU398" s="130"/>
      <c r="FV398" s="130"/>
      <c r="FW398" s="130"/>
      <c r="FX398" s="130"/>
      <c r="FY398" s="130"/>
      <c r="FZ398" s="130"/>
      <c r="GA398" s="130"/>
      <c r="GB398" s="130"/>
      <c r="GC398" s="130"/>
      <c r="GD398" s="130"/>
      <c r="GE398" s="130"/>
      <c r="GF398" s="130"/>
      <c r="GG398" s="130"/>
      <c r="GH398" s="130"/>
      <c r="GI398" s="130"/>
      <c r="GJ398" s="130"/>
      <c r="GK398" s="130"/>
      <c r="GL398" s="130"/>
      <c r="GM398" s="130"/>
      <c r="GN398" s="130"/>
      <c r="GO398" s="130"/>
      <c r="GP398" s="130"/>
      <c r="GQ398" s="130"/>
      <c r="GR398" s="130"/>
      <c r="GS398" s="130"/>
      <c r="GT398" s="130"/>
      <c r="GU398" s="130"/>
      <c r="GV398" s="130"/>
      <c r="GW398" s="130"/>
      <c r="GX398" s="130"/>
      <c r="GY398" s="130"/>
      <c r="GZ398" s="130"/>
      <c r="HA398" s="130"/>
      <c r="HB398" s="130"/>
      <c r="HC398" s="130"/>
      <c r="HD398" s="130"/>
      <c r="HE398" s="130"/>
      <c r="HF398" s="130"/>
      <c r="HG398" s="130"/>
      <c r="HH398" s="130"/>
      <c r="HI398" s="130"/>
      <c r="HJ398" s="130"/>
      <c r="HK398" s="130"/>
      <c r="HL398" s="130"/>
      <c r="HM398" s="130"/>
      <c r="HN398" s="130"/>
      <c r="HO398" s="130"/>
      <c r="HP398" s="130"/>
      <c r="HQ398" s="130"/>
      <c r="HR398" s="130"/>
      <c r="HS398" s="130"/>
      <c r="HT398" s="130"/>
      <c r="HU398" s="130"/>
      <c r="HV398" s="130"/>
      <c r="HW398" s="130"/>
      <c r="HX398" s="130"/>
      <c r="HY398" s="130"/>
      <c r="HZ398" s="130"/>
      <c r="IA398" s="130"/>
      <c r="IB398" s="130"/>
      <c r="IC398" s="130"/>
      <c r="ID398" s="130"/>
      <c r="IE398" s="130"/>
      <c r="IF398" s="130"/>
      <c r="IG398" s="130"/>
      <c r="IH398" s="130"/>
      <c r="II398" s="130"/>
      <c r="IJ398" s="130"/>
      <c r="IK398" s="130"/>
      <c r="IL398" s="130"/>
      <c r="IM398" s="130"/>
      <c r="IN398" s="130"/>
      <c r="IO398" s="130"/>
      <c r="IP398" s="130"/>
      <c r="IQ398" s="130"/>
      <c r="IR398" s="130"/>
      <c r="IS398" s="130"/>
      <c r="IT398" s="130"/>
      <c r="IU398" s="130"/>
      <c r="IV398" s="130"/>
    </row>
    <row r="399" spans="1:256" hidden="1">
      <c r="A399" s="824"/>
      <c r="B399" s="827"/>
      <c r="C399" s="157" t="s">
        <v>1</v>
      </c>
      <c r="D399" s="158">
        <f>E399+M399</f>
        <v>0</v>
      </c>
      <c r="E399" s="159">
        <f>F399+I399+J399+K399+L399</f>
        <v>0</v>
      </c>
      <c r="F399" s="159">
        <f>G399+H399</f>
        <v>0</v>
      </c>
      <c r="G399" s="159"/>
      <c r="H399" s="159"/>
      <c r="I399" s="159"/>
      <c r="J399" s="159"/>
      <c r="K399" s="159"/>
      <c r="L399" s="159"/>
      <c r="M399" s="159">
        <f>N399+P399</f>
        <v>0</v>
      </c>
      <c r="N399" s="159"/>
      <c r="O399" s="159"/>
      <c r="P399" s="159"/>
      <c r="Q399" s="166"/>
      <c r="R399" s="166"/>
      <c r="S399" s="166"/>
      <c r="T399" s="166"/>
      <c r="U399" s="166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0"/>
      <c r="BZ399" s="130"/>
      <c r="CA399" s="130"/>
      <c r="CB399" s="130"/>
      <c r="CC399" s="130"/>
      <c r="CD399" s="130"/>
      <c r="CE399" s="130"/>
      <c r="CF399" s="130"/>
      <c r="CG399" s="130"/>
      <c r="CH399" s="130"/>
      <c r="CI399" s="130"/>
      <c r="CJ399" s="130"/>
      <c r="CK399" s="130"/>
      <c r="CL399" s="130"/>
      <c r="CM399" s="130"/>
      <c r="CN399" s="130"/>
      <c r="CO399" s="130"/>
      <c r="CP399" s="130"/>
      <c r="CQ399" s="130"/>
      <c r="CR399" s="130"/>
      <c r="CS399" s="130"/>
      <c r="CT399" s="130"/>
      <c r="CU399" s="130"/>
      <c r="CV399" s="130"/>
      <c r="CW399" s="130"/>
      <c r="CX399" s="130"/>
      <c r="CY399" s="130"/>
      <c r="CZ399" s="130"/>
      <c r="DA399" s="130"/>
      <c r="DB399" s="130"/>
      <c r="DC399" s="130"/>
      <c r="DD399" s="130"/>
      <c r="DE399" s="130"/>
      <c r="DF399" s="130"/>
      <c r="DG399" s="130"/>
      <c r="DH399" s="130"/>
      <c r="DI399" s="130"/>
      <c r="DJ399" s="130"/>
      <c r="DK399" s="130"/>
      <c r="DL399" s="130"/>
      <c r="DM399" s="130"/>
      <c r="DN399" s="130"/>
      <c r="DO399" s="130"/>
      <c r="DP399" s="130"/>
      <c r="DQ399" s="130"/>
      <c r="DR399" s="130"/>
      <c r="DS399" s="130"/>
      <c r="DT399" s="130"/>
      <c r="DU399" s="130"/>
      <c r="DV399" s="130"/>
      <c r="DW399" s="130"/>
      <c r="DX399" s="130"/>
      <c r="DY399" s="130"/>
      <c r="DZ399" s="130"/>
      <c r="EA399" s="130"/>
      <c r="EB399" s="130"/>
      <c r="EC399" s="130"/>
      <c r="ED399" s="130"/>
      <c r="EE399" s="130"/>
      <c r="EF399" s="130"/>
      <c r="EG399" s="130"/>
      <c r="EH399" s="130"/>
      <c r="EI399" s="130"/>
      <c r="EJ399" s="130"/>
      <c r="EK399" s="130"/>
      <c r="EL399" s="130"/>
      <c r="EM399" s="130"/>
      <c r="EN399" s="130"/>
      <c r="EO399" s="130"/>
      <c r="EP399" s="130"/>
      <c r="EQ399" s="130"/>
      <c r="ER399" s="130"/>
      <c r="ES399" s="130"/>
      <c r="ET399" s="130"/>
      <c r="EU399" s="130"/>
      <c r="EV399" s="130"/>
      <c r="EW399" s="130"/>
      <c r="EX399" s="130"/>
      <c r="EY399" s="130"/>
      <c r="EZ399" s="130"/>
      <c r="FA399" s="130"/>
      <c r="FB399" s="130"/>
      <c r="FC399" s="130"/>
      <c r="FD399" s="130"/>
      <c r="FE399" s="130"/>
      <c r="FF399" s="130"/>
      <c r="FG399" s="130"/>
      <c r="FH399" s="130"/>
      <c r="FI399" s="130"/>
      <c r="FJ399" s="130"/>
      <c r="FK399" s="130"/>
      <c r="FL399" s="130"/>
      <c r="FM399" s="130"/>
      <c r="FN399" s="130"/>
      <c r="FO399" s="130"/>
      <c r="FP399" s="130"/>
      <c r="FQ399" s="130"/>
      <c r="FR399" s="130"/>
      <c r="FS399" s="130"/>
      <c r="FT399" s="130"/>
      <c r="FU399" s="130"/>
      <c r="FV399" s="130"/>
      <c r="FW399" s="130"/>
      <c r="FX399" s="130"/>
      <c r="FY399" s="130"/>
      <c r="FZ399" s="130"/>
      <c r="GA399" s="130"/>
      <c r="GB399" s="130"/>
      <c r="GC399" s="130"/>
      <c r="GD399" s="130"/>
      <c r="GE399" s="130"/>
      <c r="GF399" s="130"/>
      <c r="GG399" s="130"/>
      <c r="GH399" s="130"/>
      <c r="GI399" s="130"/>
      <c r="GJ399" s="130"/>
      <c r="GK399" s="130"/>
      <c r="GL399" s="130"/>
      <c r="GM399" s="130"/>
      <c r="GN399" s="130"/>
      <c r="GO399" s="130"/>
      <c r="GP399" s="130"/>
      <c r="GQ399" s="130"/>
      <c r="GR399" s="130"/>
      <c r="GS399" s="130"/>
      <c r="GT399" s="130"/>
      <c r="GU399" s="130"/>
      <c r="GV399" s="130"/>
      <c r="GW399" s="130"/>
      <c r="GX399" s="130"/>
      <c r="GY399" s="130"/>
      <c r="GZ399" s="130"/>
      <c r="HA399" s="130"/>
      <c r="HB399" s="130"/>
      <c r="HC399" s="130"/>
      <c r="HD399" s="130"/>
      <c r="HE399" s="130"/>
      <c r="HF399" s="130"/>
      <c r="HG399" s="130"/>
      <c r="HH399" s="130"/>
      <c r="HI399" s="130"/>
      <c r="HJ399" s="130"/>
      <c r="HK399" s="130"/>
      <c r="HL399" s="130"/>
      <c r="HM399" s="130"/>
      <c r="HN399" s="130"/>
      <c r="HO399" s="130"/>
      <c r="HP399" s="130"/>
      <c r="HQ399" s="130"/>
      <c r="HR399" s="130"/>
      <c r="HS399" s="130"/>
      <c r="HT399" s="130"/>
      <c r="HU399" s="130"/>
      <c r="HV399" s="130"/>
      <c r="HW399" s="130"/>
      <c r="HX399" s="130"/>
      <c r="HY399" s="130"/>
      <c r="HZ399" s="130"/>
      <c r="IA399" s="130"/>
      <c r="IB399" s="130"/>
      <c r="IC399" s="130"/>
      <c r="ID399" s="130"/>
      <c r="IE399" s="130"/>
      <c r="IF399" s="130"/>
      <c r="IG399" s="130"/>
      <c r="IH399" s="130"/>
      <c r="II399" s="130"/>
      <c r="IJ399" s="130"/>
      <c r="IK399" s="130"/>
      <c r="IL399" s="130"/>
      <c r="IM399" s="130"/>
      <c r="IN399" s="130"/>
      <c r="IO399" s="130"/>
      <c r="IP399" s="130"/>
      <c r="IQ399" s="130"/>
      <c r="IR399" s="130"/>
      <c r="IS399" s="130"/>
      <c r="IT399" s="130"/>
      <c r="IU399" s="130"/>
      <c r="IV399" s="130"/>
    </row>
    <row r="400" spans="1:256" hidden="1">
      <c r="A400" s="825"/>
      <c r="B400" s="828"/>
      <c r="C400" s="157" t="s">
        <v>2</v>
      </c>
      <c r="D400" s="158">
        <f>D399+D398</f>
        <v>1054156</v>
      </c>
      <c r="E400" s="159">
        <f t="shared" ref="E400:P400" si="192">E399+E398</f>
        <v>12321</v>
      </c>
      <c r="F400" s="159">
        <f t="shared" si="192"/>
        <v>0</v>
      </c>
      <c r="G400" s="159">
        <f t="shared" si="192"/>
        <v>0</v>
      </c>
      <c r="H400" s="159">
        <f t="shared" si="192"/>
        <v>0</v>
      </c>
      <c r="I400" s="159">
        <f t="shared" si="192"/>
        <v>0</v>
      </c>
      <c r="J400" s="159">
        <f t="shared" si="192"/>
        <v>0</v>
      </c>
      <c r="K400" s="159">
        <f t="shared" si="192"/>
        <v>12321</v>
      </c>
      <c r="L400" s="159">
        <f t="shared" si="192"/>
        <v>0</v>
      </c>
      <c r="M400" s="159">
        <f t="shared" si="192"/>
        <v>1041835</v>
      </c>
      <c r="N400" s="159">
        <f t="shared" si="192"/>
        <v>1041835</v>
      </c>
      <c r="O400" s="159">
        <f t="shared" si="192"/>
        <v>1041835</v>
      </c>
      <c r="P400" s="159">
        <f t="shared" si="192"/>
        <v>0</v>
      </c>
      <c r="Q400" s="166"/>
      <c r="R400" s="166"/>
      <c r="S400" s="166"/>
      <c r="T400" s="166"/>
      <c r="U400" s="166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  <c r="BQ400" s="130"/>
      <c r="BR400" s="130"/>
      <c r="BS400" s="130"/>
      <c r="BT400" s="130"/>
      <c r="BU400" s="130"/>
      <c r="BV400" s="130"/>
      <c r="BW400" s="130"/>
      <c r="BX400" s="130"/>
      <c r="BY400" s="130"/>
      <c r="BZ400" s="130"/>
      <c r="CA400" s="130"/>
      <c r="CB400" s="130"/>
      <c r="CC400" s="130"/>
      <c r="CD400" s="130"/>
      <c r="CE400" s="130"/>
      <c r="CF400" s="130"/>
      <c r="CG400" s="130"/>
      <c r="CH400" s="130"/>
      <c r="CI400" s="130"/>
      <c r="CJ400" s="130"/>
      <c r="CK400" s="130"/>
      <c r="CL400" s="130"/>
      <c r="CM400" s="130"/>
      <c r="CN400" s="130"/>
      <c r="CO400" s="130"/>
      <c r="CP400" s="130"/>
      <c r="CQ400" s="130"/>
      <c r="CR400" s="130"/>
      <c r="CS400" s="130"/>
      <c r="CT400" s="130"/>
      <c r="CU400" s="130"/>
      <c r="CV400" s="130"/>
      <c r="CW400" s="130"/>
      <c r="CX400" s="130"/>
      <c r="CY400" s="130"/>
      <c r="CZ400" s="130"/>
      <c r="DA400" s="130"/>
      <c r="DB400" s="130"/>
      <c r="DC400" s="130"/>
      <c r="DD400" s="130"/>
      <c r="DE400" s="130"/>
      <c r="DF400" s="130"/>
      <c r="DG400" s="130"/>
      <c r="DH400" s="130"/>
      <c r="DI400" s="130"/>
      <c r="DJ400" s="130"/>
      <c r="DK400" s="130"/>
      <c r="DL400" s="130"/>
      <c r="DM400" s="130"/>
      <c r="DN400" s="130"/>
      <c r="DO400" s="130"/>
      <c r="DP400" s="130"/>
      <c r="DQ400" s="130"/>
      <c r="DR400" s="130"/>
      <c r="DS400" s="130"/>
      <c r="DT400" s="130"/>
      <c r="DU400" s="130"/>
      <c r="DV400" s="130"/>
      <c r="DW400" s="130"/>
      <c r="DX400" s="130"/>
      <c r="DY400" s="130"/>
      <c r="DZ400" s="130"/>
      <c r="EA400" s="130"/>
      <c r="EB400" s="130"/>
      <c r="EC400" s="130"/>
      <c r="ED400" s="130"/>
      <c r="EE400" s="130"/>
      <c r="EF400" s="130"/>
      <c r="EG400" s="130"/>
      <c r="EH400" s="130"/>
      <c r="EI400" s="130"/>
      <c r="EJ400" s="130"/>
      <c r="EK400" s="130"/>
      <c r="EL400" s="130"/>
      <c r="EM400" s="130"/>
      <c r="EN400" s="130"/>
      <c r="EO400" s="130"/>
      <c r="EP400" s="130"/>
      <c r="EQ400" s="130"/>
      <c r="ER400" s="130"/>
      <c r="ES400" s="130"/>
      <c r="ET400" s="130"/>
      <c r="EU400" s="130"/>
      <c r="EV400" s="130"/>
      <c r="EW400" s="130"/>
      <c r="EX400" s="130"/>
      <c r="EY400" s="130"/>
      <c r="EZ400" s="130"/>
      <c r="FA400" s="130"/>
      <c r="FB400" s="130"/>
      <c r="FC400" s="130"/>
      <c r="FD400" s="130"/>
      <c r="FE400" s="130"/>
      <c r="FF400" s="130"/>
      <c r="FG400" s="130"/>
      <c r="FH400" s="130"/>
      <c r="FI400" s="130"/>
      <c r="FJ400" s="130"/>
      <c r="FK400" s="130"/>
      <c r="FL400" s="130"/>
      <c r="FM400" s="130"/>
      <c r="FN400" s="130"/>
      <c r="FO400" s="130"/>
      <c r="FP400" s="130"/>
      <c r="FQ400" s="130"/>
      <c r="FR400" s="130"/>
      <c r="FS400" s="130"/>
      <c r="FT400" s="130"/>
      <c r="FU400" s="130"/>
      <c r="FV400" s="130"/>
      <c r="FW400" s="130"/>
      <c r="FX400" s="130"/>
      <c r="FY400" s="130"/>
      <c r="FZ400" s="130"/>
      <c r="GA400" s="130"/>
      <c r="GB400" s="130"/>
      <c r="GC400" s="130"/>
      <c r="GD400" s="130"/>
      <c r="GE400" s="130"/>
      <c r="GF400" s="130"/>
      <c r="GG400" s="130"/>
      <c r="GH400" s="130"/>
      <c r="GI400" s="130"/>
      <c r="GJ400" s="130"/>
      <c r="GK400" s="130"/>
      <c r="GL400" s="130"/>
      <c r="GM400" s="130"/>
      <c r="GN400" s="130"/>
      <c r="GO400" s="130"/>
      <c r="GP400" s="130"/>
      <c r="GQ400" s="130"/>
      <c r="GR400" s="130"/>
      <c r="GS400" s="130"/>
      <c r="GT400" s="130"/>
      <c r="GU400" s="130"/>
      <c r="GV400" s="130"/>
      <c r="GW400" s="130"/>
      <c r="GX400" s="130"/>
      <c r="GY400" s="130"/>
      <c r="GZ400" s="130"/>
      <c r="HA400" s="130"/>
      <c r="HB400" s="130"/>
      <c r="HC400" s="130"/>
      <c r="HD400" s="130"/>
      <c r="HE400" s="130"/>
      <c r="HF400" s="130"/>
      <c r="HG400" s="130"/>
      <c r="HH400" s="130"/>
      <c r="HI400" s="130"/>
      <c r="HJ400" s="130"/>
      <c r="HK400" s="130"/>
      <c r="HL400" s="130"/>
      <c r="HM400" s="130"/>
      <c r="HN400" s="130"/>
      <c r="HO400" s="130"/>
      <c r="HP400" s="130"/>
      <c r="HQ400" s="130"/>
      <c r="HR400" s="130"/>
      <c r="HS400" s="130"/>
      <c r="HT400" s="130"/>
      <c r="HU400" s="130"/>
      <c r="HV400" s="130"/>
      <c r="HW400" s="130"/>
      <c r="HX400" s="130"/>
      <c r="HY400" s="130"/>
      <c r="HZ400" s="130"/>
      <c r="IA400" s="130"/>
      <c r="IB400" s="130"/>
      <c r="IC400" s="130"/>
      <c r="ID400" s="130"/>
      <c r="IE400" s="130"/>
      <c r="IF400" s="130"/>
      <c r="IG400" s="130"/>
      <c r="IH400" s="130"/>
      <c r="II400" s="130"/>
      <c r="IJ400" s="130"/>
      <c r="IK400" s="130"/>
      <c r="IL400" s="130"/>
      <c r="IM400" s="130"/>
      <c r="IN400" s="130"/>
      <c r="IO400" s="130"/>
      <c r="IP400" s="130"/>
      <c r="IQ400" s="130"/>
      <c r="IR400" s="130"/>
      <c r="IS400" s="130"/>
      <c r="IT400" s="130"/>
      <c r="IU400" s="130"/>
      <c r="IV400" s="130"/>
    </row>
    <row r="401" spans="1:256" ht="5.0999999999999996" customHeight="1">
      <c r="A401" s="146"/>
      <c r="B401" s="156"/>
      <c r="C401" s="157"/>
      <c r="D401" s="158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60"/>
      <c r="R401" s="160"/>
      <c r="S401" s="160"/>
      <c r="T401" s="160"/>
      <c r="U401" s="160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  <c r="BI401" s="151"/>
      <c r="BJ401" s="151"/>
      <c r="BK401" s="151"/>
      <c r="BL401" s="151"/>
      <c r="BM401" s="151"/>
      <c r="BN401" s="151"/>
      <c r="BO401" s="151"/>
      <c r="BP401" s="151"/>
      <c r="BQ401" s="151"/>
      <c r="BR401" s="151"/>
      <c r="BS401" s="151"/>
      <c r="BT401" s="151"/>
      <c r="BU401" s="151"/>
      <c r="BV401" s="151"/>
      <c r="BW401" s="151"/>
      <c r="BX401" s="151"/>
      <c r="BY401" s="151"/>
      <c r="BZ401" s="151"/>
      <c r="CA401" s="151"/>
      <c r="CB401" s="151"/>
      <c r="CC401" s="151"/>
      <c r="CD401" s="151"/>
      <c r="CE401" s="151"/>
      <c r="CF401" s="151"/>
      <c r="CG401" s="151"/>
      <c r="CH401" s="151"/>
      <c r="CI401" s="151"/>
      <c r="CJ401" s="151"/>
      <c r="CK401" s="151"/>
      <c r="CL401" s="151"/>
      <c r="CM401" s="151"/>
      <c r="CN401" s="151"/>
      <c r="CO401" s="151"/>
      <c r="CP401" s="151"/>
      <c r="CQ401" s="151"/>
      <c r="CR401" s="151"/>
      <c r="CS401" s="151"/>
      <c r="CT401" s="151"/>
      <c r="CU401" s="151"/>
      <c r="CV401" s="151"/>
      <c r="CW401" s="151"/>
      <c r="CX401" s="151"/>
      <c r="CY401" s="151"/>
      <c r="CZ401" s="151"/>
      <c r="DA401" s="151"/>
      <c r="DB401" s="151"/>
      <c r="DC401" s="151"/>
      <c r="DD401" s="151"/>
      <c r="DE401" s="151"/>
      <c r="DF401" s="151"/>
      <c r="DG401" s="151"/>
      <c r="DH401" s="151"/>
      <c r="DI401" s="151"/>
      <c r="DJ401" s="151"/>
      <c r="DK401" s="151"/>
      <c r="DL401" s="151"/>
      <c r="DM401" s="151"/>
      <c r="DN401" s="151"/>
      <c r="DO401" s="151"/>
      <c r="DP401" s="151"/>
      <c r="DQ401" s="151"/>
      <c r="DR401" s="151"/>
      <c r="DS401" s="151"/>
      <c r="DT401" s="151"/>
      <c r="DU401" s="151"/>
      <c r="DV401" s="151"/>
      <c r="DW401" s="151"/>
      <c r="DX401" s="151"/>
      <c r="DY401" s="151"/>
      <c r="DZ401" s="151"/>
      <c r="EA401" s="151"/>
      <c r="EB401" s="151"/>
      <c r="EC401" s="151"/>
      <c r="ED401" s="151"/>
      <c r="EE401" s="151"/>
      <c r="EF401" s="151"/>
      <c r="EG401" s="151"/>
      <c r="EH401" s="151"/>
      <c r="EI401" s="151"/>
      <c r="EJ401" s="151"/>
      <c r="EK401" s="151"/>
      <c r="EL401" s="151"/>
      <c r="EM401" s="151"/>
      <c r="EN401" s="151"/>
      <c r="EO401" s="151"/>
      <c r="EP401" s="151"/>
      <c r="EQ401" s="151"/>
      <c r="ER401" s="151"/>
      <c r="ES401" s="151"/>
      <c r="ET401" s="151"/>
      <c r="EU401" s="151"/>
      <c r="EV401" s="151"/>
      <c r="EW401" s="151"/>
      <c r="EX401" s="151"/>
      <c r="EY401" s="151"/>
      <c r="EZ401" s="151"/>
      <c r="FA401" s="151"/>
      <c r="FB401" s="151"/>
      <c r="FC401" s="151"/>
      <c r="FD401" s="151"/>
      <c r="FE401" s="151"/>
      <c r="FF401" s="151"/>
      <c r="FG401" s="151"/>
      <c r="FH401" s="151"/>
      <c r="FI401" s="151"/>
      <c r="FJ401" s="151"/>
      <c r="FK401" s="151"/>
      <c r="FL401" s="151"/>
      <c r="FM401" s="151"/>
      <c r="FN401" s="151"/>
      <c r="FO401" s="151"/>
      <c r="FP401" s="151"/>
      <c r="FQ401" s="151"/>
      <c r="FR401" s="151"/>
      <c r="FS401" s="151"/>
      <c r="FT401" s="151"/>
      <c r="FU401" s="151"/>
      <c r="FV401" s="151"/>
      <c r="FW401" s="151"/>
      <c r="FX401" s="151"/>
      <c r="FY401" s="151"/>
      <c r="FZ401" s="151"/>
      <c r="GA401" s="151"/>
      <c r="GB401" s="151"/>
      <c r="GC401" s="151"/>
      <c r="GD401" s="151"/>
      <c r="GE401" s="151"/>
      <c r="GF401" s="151"/>
      <c r="GG401" s="151"/>
      <c r="GH401" s="151"/>
      <c r="GI401" s="151"/>
      <c r="GJ401" s="151"/>
      <c r="GK401" s="151"/>
      <c r="GL401" s="151"/>
      <c r="GM401" s="151"/>
      <c r="GN401" s="151"/>
      <c r="GO401" s="151"/>
      <c r="GP401" s="151"/>
      <c r="GQ401" s="151"/>
      <c r="GR401" s="151"/>
      <c r="GS401" s="151"/>
      <c r="GT401" s="151"/>
      <c r="GU401" s="151"/>
      <c r="GV401" s="151"/>
      <c r="GW401" s="151"/>
      <c r="GX401" s="151"/>
      <c r="GY401" s="151"/>
      <c r="GZ401" s="151"/>
      <c r="HA401" s="151"/>
      <c r="HB401" s="151"/>
      <c r="HC401" s="151"/>
      <c r="HD401" s="151"/>
      <c r="HE401" s="151"/>
      <c r="HF401" s="151"/>
      <c r="HG401" s="151"/>
      <c r="HH401" s="151"/>
      <c r="HI401" s="151"/>
      <c r="HJ401" s="151"/>
      <c r="HK401" s="151"/>
      <c r="HL401" s="151"/>
      <c r="HM401" s="151"/>
      <c r="HN401" s="151"/>
      <c r="HO401" s="151"/>
      <c r="HP401" s="151"/>
      <c r="HQ401" s="151"/>
      <c r="HR401" s="151"/>
      <c r="HS401" s="151"/>
      <c r="HT401" s="151"/>
      <c r="HU401" s="151"/>
      <c r="HV401" s="151"/>
      <c r="HW401" s="151"/>
      <c r="HX401" s="151"/>
      <c r="HY401" s="151"/>
      <c r="HZ401" s="151"/>
      <c r="IA401" s="151"/>
      <c r="IB401" s="151"/>
      <c r="IC401" s="151"/>
      <c r="ID401" s="151"/>
      <c r="IE401" s="151"/>
      <c r="IF401" s="151"/>
      <c r="IG401" s="151"/>
      <c r="IH401" s="151"/>
      <c r="II401" s="151"/>
      <c r="IJ401" s="151"/>
      <c r="IK401" s="151"/>
      <c r="IL401" s="151"/>
      <c r="IM401" s="151"/>
      <c r="IN401" s="151"/>
      <c r="IO401" s="151"/>
      <c r="IP401" s="151"/>
      <c r="IQ401" s="151"/>
      <c r="IR401" s="151"/>
      <c r="IS401" s="151"/>
      <c r="IT401" s="151"/>
      <c r="IU401" s="151"/>
      <c r="IV401" s="151"/>
    </row>
    <row r="402" spans="1:256" ht="15.75">
      <c r="A402" s="829"/>
      <c r="B402" s="832" t="s">
        <v>151</v>
      </c>
      <c r="C402" s="176" t="s">
        <v>0</v>
      </c>
      <c r="D402" s="177">
        <f t="shared" ref="D402:P403" si="193">D13</f>
        <v>2185705916.8800001</v>
      </c>
      <c r="E402" s="177">
        <f t="shared" si="193"/>
        <v>1429973476.8800001</v>
      </c>
      <c r="F402" s="177">
        <f t="shared" si="193"/>
        <v>598641852.48000002</v>
      </c>
      <c r="G402" s="177">
        <f t="shared" si="193"/>
        <v>295717042</v>
      </c>
      <c r="H402" s="177">
        <f t="shared" si="193"/>
        <v>302924810.48000002</v>
      </c>
      <c r="I402" s="177">
        <f t="shared" si="193"/>
        <v>501652202.39999998</v>
      </c>
      <c r="J402" s="177">
        <f t="shared" si="193"/>
        <v>4779766</v>
      </c>
      <c r="K402" s="177">
        <f t="shared" si="193"/>
        <v>251659570</v>
      </c>
      <c r="L402" s="177">
        <f t="shared" si="193"/>
        <v>73240086</v>
      </c>
      <c r="M402" s="177">
        <f t="shared" si="193"/>
        <v>755732440</v>
      </c>
      <c r="N402" s="177">
        <f t="shared" si="193"/>
        <v>714035815</v>
      </c>
      <c r="O402" s="177">
        <f t="shared" si="193"/>
        <v>131210952</v>
      </c>
      <c r="P402" s="177">
        <f t="shared" si="193"/>
        <v>41696625</v>
      </c>
      <c r="Q402" s="154"/>
      <c r="R402" s="154"/>
      <c r="S402" s="154"/>
      <c r="T402" s="154"/>
      <c r="U402" s="154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5"/>
      <c r="CM402" s="155"/>
      <c r="CN402" s="155"/>
      <c r="CO402" s="155"/>
      <c r="CP402" s="155"/>
      <c r="CQ402" s="155"/>
      <c r="CR402" s="155"/>
      <c r="CS402" s="155"/>
      <c r="CT402" s="155"/>
      <c r="CU402" s="155"/>
      <c r="CV402" s="155"/>
      <c r="CW402" s="155"/>
      <c r="CX402" s="155"/>
      <c r="CY402" s="155"/>
      <c r="CZ402" s="155"/>
      <c r="DA402" s="155"/>
      <c r="DB402" s="155"/>
      <c r="DC402" s="155"/>
      <c r="DD402" s="155"/>
      <c r="DE402" s="155"/>
      <c r="DF402" s="155"/>
      <c r="DG402" s="155"/>
      <c r="DH402" s="155"/>
      <c r="DI402" s="155"/>
      <c r="DJ402" s="155"/>
      <c r="DK402" s="155"/>
      <c r="DL402" s="155"/>
      <c r="DM402" s="155"/>
      <c r="DN402" s="155"/>
      <c r="DO402" s="155"/>
      <c r="DP402" s="155"/>
      <c r="DQ402" s="155"/>
      <c r="DR402" s="155"/>
      <c r="DS402" s="155"/>
      <c r="DT402" s="155"/>
      <c r="DU402" s="155"/>
      <c r="DV402" s="155"/>
      <c r="DW402" s="155"/>
      <c r="DX402" s="155"/>
      <c r="DY402" s="155"/>
      <c r="DZ402" s="155"/>
      <c r="EA402" s="155"/>
      <c r="EB402" s="155"/>
      <c r="EC402" s="155"/>
      <c r="ED402" s="155"/>
      <c r="EE402" s="155"/>
      <c r="EF402" s="155"/>
      <c r="EG402" s="155"/>
      <c r="EH402" s="155"/>
      <c r="EI402" s="155"/>
      <c r="EJ402" s="155"/>
      <c r="EK402" s="155"/>
      <c r="EL402" s="155"/>
      <c r="EM402" s="155"/>
      <c r="EN402" s="155"/>
      <c r="EO402" s="155"/>
      <c r="EP402" s="155"/>
      <c r="EQ402" s="155"/>
      <c r="ER402" s="155"/>
      <c r="ES402" s="155"/>
      <c r="ET402" s="155"/>
      <c r="EU402" s="155"/>
      <c r="EV402" s="155"/>
      <c r="EW402" s="155"/>
      <c r="EX402" s="155"/>
      <c r="EY402" s="155"/>
      <c r="EZ402" s="155"/>
      <c r="FA402" s="155"/>
      <c r="FB402" s="155"/>
      <c r="FC402" s="155"/>
      <c r="FD402" s="155"/>
      <c r="FE402" s="155"/>
      <c r="FF402" s="155"/>
      <c r="FG402" s="155"/>
      <c r="FH402" s="155"/>
      <c r="FI402" s="155"/>
      <c r="FJ402" s="155"/>
      <c r="FK402" s="155"/>
      <c r="FL402" s="155"/>
      <c r="FM402" s="155"/>
      <c r="FN402" s="155"/>
      <c r="FO402" s="155"/>
      <c r="FP402" s="155"/>
      <c r="FQ402" s="155"/>
      <c r="FR402" s="155"/>
      <c r="FS402" s="155"/>
      <c r="FT402" s="155"/>
      <c r="FU402" s="155"/>
      <c r="FV402" s="155"/>
      <c r="FW402" s="155"/>
      <c r="FX402" s="155"/>
      <c r="FY402" s="155"/>
      <c r="FZ402" s="155"/>
      <c r="GA402" s="155"/>
      <c r="GB402" s="155"/>
      <c r="GC402" s="155"/>
      <c r="GD402" s="155"/>
      <c r="GE402" s="155"/>
      <c r="GF402" s="155"/>
      <c r="GG402" s="155"/>
      <c r="GH402" s="155"/>
      <c r="GI402" s="155"/>
      <c r="GJ402" s="155"/>
      <c r="GK402" s="155"/>
      <c r="GL402" s="155"/>
      <c r="GM402" s="155"/>
      <c r="GN402" s="155"/>
      <c r="GO402" s="155"/>
      <c r="GP402" s="155"/>
      <c r="GQ402" s="155"/>
      <c r="GR402" s="155"/>
      <c r="GS402" s="155"/>
      <c r="GT402" s="155"/>
      <c r="GU402" s="155"/>
      <c r="GV402" s="155"/>
      <c r="GW402" s="155"/>
      <c r="GX402" s="155"/>
      <c r="GY402" s="155"/>
      <c r="GZ402" s="155"/>
      <c r="HA402" s="155"/>
      <c r="HB402" s="155"/>
      <c r="HC402" s="155"/>
      <c r="HD402" s="155"/>
      <c r="HE402" s="155"/>
      <c r="HF402" s="155"/>
      <c r="HG402" s="155"/>
      <c r="HH402" s="155"/>
      <c r="HI402" s="155"/>
      <c r="HJ402" s="155"/>
      <c r="HK402" s="155"/>
      <c r="HL402" s="155"/>
      <c r="HM402" s="155"/>
      <c r="HN402" s="155"/>
      <c r="HO402" s="155"/>
      <c r="HP402" s="155"/>
      <c r="HQ402" s="155"/>
      <c r="HR402" s="155"/>
      <c r="HS402" s="155"/>
      <c r="HT402" s="155"/>
      <c r="HU402" s="155"/>
      <c r="HV402" s="155"/>
      <c r="HW402" s="155"/>
      <c r="HX402" s="155"/>
      <c r="HY402" s="155"/>
      <c r="HZ402" s="155"/>
      <c r="IA402" s="155"/>
      <c r="IB402" s="155"/>
      <c r="IC402" s="155"/>
      <c r="ID402" s="155"/>
      <c r="IE402" s="155"/>
      <c r="IF402" s="155"/>
      <c r="IG402" s="155"/>
      <c r="IH402" s="155"/>
      <c r="II402" s="155"/>
      <c r="IJ402" s="155"/>
      <c r="IK402" s="155"/>
      <c r="IL402" s="155"/>
      <c r="IM402" s="155"/>
      <c r="IN402" s="155"/>
      <c r="IO402" s="155"/>
      <c r="IP402" s="155"/>
      <c r="IQ402" s="155"/>
      <c r="IR402" s="155"/>
      <c r="IS402" s="155"/>
      <c r="IT402" s="155"/>
      <c r="IU402" s="155"/>
      <c r="IV402" s="155"/>
    </row>
    <row r="403" spans="1:256" ht="15.75">
      <c r="A403" s="830"/>
      <c r="B403" s="833"/>
      <c r="C403" s="176" t="s">
        <v>1</v>
      </c>
      <c r="D403" s="177">
        <f t="shared" si="193"/>
        <v>108322064</v>
      </c>
      <c r="E403" s="177">
        <f t="shared" si="193"/>
        <v>26757510</v>
      </c>
      <c r="F403" s="177">
        <f t="shared" si="193"/>
        <v>12107717</v>
      </c>
      <c r="G403" s="177">
        <f t="shared" si="193"/>
        <v>1227201</v>
      </c>
      <c r="H403" s="177">
        <f t="shared" si="193"/>
        <v>10880516</v>
      </c>
      <c r="I403" s="177">
        <f t="shared" si="193"/>
        <v>3315478</v>
      </c>
      <c r="J403" s="177">
        <f t="shared" si="193"/>
        <v>117733</v>
      </c>
      <c r="K403" s="177">
        <f t="shared" si="193"/>
        <v>11216582</v>
      </c>
      <c r="L403" s="177">
        <f t="shared" si="193"/>
        <v>0</v>
      </c>
      <c r="M403" s="177">
        <f t="shared" si="193"/>
        <v>81564554</v>
      </c>
      <c r="N403" s="177">
        <f t="shared" si="193"/>
        <v>75564554</v>
      </c>
      <c r="O403" s="177">
        <f t="shared" si="193"/>
        <v>-2809665</v>
      </c>
      <c r="P403" s="177">
        <f t="shared" si="193"/>
        <v>6000000</v>
      </c>
      <c r="Q403" s="154"/>
      <c r="R403" s="154"/>
      <c r="S403" s="154"/>
      <c r="T403" s="154"/>
      <c r="U403" s="154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5"/>
      <c r="CM403" s="155"/>
      <c r="CN403" s="155"/>
      <c r="CO403" s="155"/>
      <c r="CP403" s="155"/>
      <c r="CQ403" s="155"/>
      <c r="CR403" s="155"/>
      <c r="CS403" s="155"/>
      <c r="CT403" s="155"/>
      <c r="CU403" s="155"/>
      <c r="CV403" s="155"/>
      <c r="CW403" s="155"/>
      <c r="CX403" s="155"/>
      <c r="CY403" s="155"/>
      <c r="CZ403" s="155"/>
      <c r="DA403" s="155"/>
      <c r="DB403" s="155"/>
      <c r="DC403" s="155"/>
      <c r="DD403" s="155"/>
      <c r="DE403" s="155"/>
      <c r="DF403" s="155"/>
      <c r="DG403" s="155"/>
      <c r="DH403" s="155"/>
      <c r="DI403" s="155"/>
      <c r="DJ403" s="155"/>
      <c r="DK403" s="155"/>
      <c r="DL403" s="155"/>
      <c r="DM403" s="155"/>
      <c r="DN403" s="155"/>
      <c r="DO403" s="155"/>
      <c r="DP403" s="155"/>
      <c r="DQ403" s="155"/>
      <c r="DR403" s="155"/>
      <c r="DS403" s="155"/>
      <c r="DT403" s="155"/>
      <c r="DU403" s="155"/>
      <c r="DV403" s="155"/>
      <c r="DW403" s="155"/>
      <c r="DX403" s="155"/>
      <c r="DY403" s="155"/>
      <c r="DZ403" s="155"/>
      <c r="EA403" s="155"/>
      <c r="EB403" s="155"/>
      <c r="EC403" s="155"/>
      <c r="ED403" s="155"/>
      <c r="EE403" s="155"/>
      <c r="EF403" s="155"/>
      <c r="EG403" s="155"/>
      <c r="EH403" s="155"/>
      <c r="EI403" s="155"/>
      <c r="EJ403" s="155"/>
      <c r="EK403" s="155"/>
      <c r="EL403" s="155"/>
      <c r="EM403" s="155"/>
      <c r="EN403" s="155"/>
      <c r="EO403" s="155"/>
      <c r="EP403" s="155"/>
      <c r="EQ403" s="155"/>
      <c r="ER403" s="155"/>
      <c r="ES403" s="155"/>
      <c r="ET403" s="155"/>
      <c r="EU403" s="155"/>
      <c r="EV403" s="155"/>
      <c r="EW403" s="155"/>
      <c r="EX403" s="155"/>
      <c r="EY403" s="155"/>
      <c r="EZ403" s="155"/>
      <c r="FA403" s="155"/>
      <c r="FB403" s="155"/>
      <c r="FC403" s="155"/>
      <c r="FD403" s="155"/>
      <c r="FE403" s="155"/>
      <c r="FF403" s="155"/>
      <c r="FG403" s="155"/>
      <c r="FH403" s="155"/>
      <c r="FI403" s="155"/>
      <c r="FJ403" s="155"/>
      <c r="FK403" s="155"/>
      <c r="FL403" s="155"/>
      <c r="FM403" s="155"/>
      <c r="FN403" s="155"/>
      <c r="FO403" s="155"/>
      <c r="FP403" s="155"/>
      <c r="FQ403" s="155"/>
      <c r="FR403" s="155"/>
      <c r="FS403" s="155"/>
      <c r="FT403" s="155"/>
      <c r="FU403" s="155"/>
      <c r="FV403" s="155"/>
      <c r="FW403" s="155"/>
      <c r="FX403" s="155"/>
      <c r="FY403" s="155"/>
      <c r="FZ403" s="155"/>
      <c r="GA403" s="155"/>
      <c r="GB403" s="155"/>
      <c r="GC403" s="155"/>
      <c r="GD403" s="155"/>
      <c r="GE403" s="155"/>
      <c r="GF403" s="155"/>
      <c r="GG403" s="155"/>
      <c r="GH403" s="155"/>
      <c r="GI403" s="155"/>
      <c r="GJ403" s="155"/>
      <c r="GK403" s="155"/>
      <c r="GL403" s="155"/>
      <c r="GM403" s="155"/>
      <c r="GN403" s="155"/>
      <c r="GO403" s="155"/>
      <c r="GP403" s="155"/>
      <c r="GQ403" s="155"/>
      <c r="GR403" s="155"/>
      <c r="GS403" s="155"/>
      <c r="GT403" s="155"/>
      <c r="GU403" s="155"/>
      <c r="GV403" s="155"/>
      <c r="GW403" s="155"/>
      <c r="GX403" s="155"/>
      <c r="GY403" s="155"/>
      <c r="GZ403" s="155"/>
      <c r="HA403" s="155"/>
      <c r="HB403" s="155"/>
      <c r="HC403" s="155"/>
      <c r="HD403" s="155"/>
      <c r="HE403" s="155"/>
      <c r="HF403" s="155"/>
      <c r="HG403" s="155"/>
      <c r="HH403" s="155"/>
      <c r="HI403" s="155"/>
      <c r="HJ403" s="155"/>
      <c r="HK403" s="155"/>
      <c r="HL403" s="155"/>
      <c r="HM403" s="155"/>
      <c r="HN403" s="155"/>
      <c r="HO403" s="155"/>
      <c r="HP403" s="155"/>
      <c r="HQ403" s="155"/>
      <c r="HR403" s="155"/>
      <c r="HS403" s="155"/>
      <c r="HT403" s="155"/>
      <c r="HU403" s="155"/>
      <c r="HV403" s="155"/>
      <c r="HW403" s="155"/>
      <c r="HX403" s="155"/>
      <c r="HY403" s="155"/>
      <c r="HZ403" s="155"/>
      <c r="IA403" s="155"/>
      <c r="IB403" s="155"/>
      <c r="IC403" s="155"/>
      <c r="ID403" s="155"/>
      <c r="IE403" s="155"/>
      <c r="IF403" s="155"/>
      <c r="IG403" s="155"/>
      <c r="IH403" s="155"/>
      <c r="II403" s="155"/>
      <c r="IJ403" s="155"/>
      <c r="IK403" s="155"/>
      <c r="IL403" s="155"/>
      <c r="IM403" s="155"/>
      <c r="IN403" s="155"/>
      <c r="IO403" s="155"/>
      <c r="IP403" s="155"/>
      <c r="IQ403" s="155"/>
      <c r="IR403" s="155"/>
      <c r="IS403" s="155"/>
      <c r="IT403" s="155"/>
      <c r="IU403" s="155"/>
      <c r="IV403" s="155"/>
    </row>
    <row r="404" spans="1:256" ht="15.75">
      <c r="A404" s="831"/>
      <c r="B404" s="834"/>
      <c r="C404" s="176" t="s">
        <v>2</v>
      </c>
      <c r="D404" s="177">
        <f>D402+D403</f>
        <v>2294027980.8800001</v>
      </c>
      <c r="E404" s="177">
        <f t="shared" ref="E404:P404" si="194">E402+E403</f>
        <v>1456730986.8800001</v>
      </c>
      <c r="F404" s="177">
        <f t="shared" si="194"/>
        <v>610749569.48000002</v>
      </c>
      <c r="G404" s="177">
        <f t="shared" si="194"/>
        <v>296944243</v>
      </c>
      <c r="H404" s="177">
        <f t="shared" si="194"/>
        <v>313805326.48000002</v>
      </c>
      <c r="I404" s="177">
        <f t="shared" si="194"/>
        <v>504967680.39999998</v>
      </c>
      <c r="J404" s="177">
        <f t="shared" si="194"/>
        <v>4897499</v>
      </c>
      <c r="K404" s="177">
        <f t="shared" si="194"/>
        <v>262876152</v>
      </c>
      <c r="L404" s="177">
        <f t="shared" si="194"/>
        <v>73240086</v>
      </c>
      <c r="M404" s="177">
        <f t="shared" si="194"/>
        <v>837296994</v>
      </c>
      <c r="N404" s="177">
        <f t="shared" si="194"/>
        <v>789600369</v>
      </c>
      <c r="O404" s="177">
        <f t="shared" si="194"/>
        <v>128401287</v>
      </c>
      <c r="P404" s="177">
        <f t="shared" si="194"/>
        <v>47696625</v>
      </c>
      <c r="Q404" s="154"/>
      <c r="R404" s="154"/>
      <c r="S404" s="154"/>
      <c r="T404" s="154"/>
      <c r="U404" s="154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5"/>
      <c r="CM404" s="155"/>
      <c r="CN404" s="155"/>
      <c r="CO404" s="155"/>
      <c r="CP404" s="155"/>
      <c r="CQ404" s="155"/>
      <c r="CR404" s="155"/>
      <c r="CS404" s="155"/>
      <c r="CT404" s="155"/>
      <c r="CU404" s="155"/>
      <c r="CV404" s="155"/>
      <c r="CW404" s="155"/>
      <c r="CX404" s="155"/>
      <c r="CY404" s="155"/>
      <c r="CZ404" s="155"/>
      <c r="DA404" s="155"/>
      <c r="DB404" s="155"/>
      <c r="DC404" s="155"/>
      <c r="DD404" s="155"/>
      <c r="DE404" s="155"/>
      <c r="DF404" s="155"/>
      <c r="DG404" s="155"/>
      <c r="DH404" s="155"/>
      <c r="DI404" s="155"/>
      <c r="DJ404" s="155"/>
      <c r="DK404" s="155"/>
      <c r="DL404" s="155"/>
      <c r="DM404" s="155"/>
      <c r="DN404" s="155"/>
      <c r="DO404" s="155"/>
      <c r="DP404" s="155"/>
      <c r="DQ404" s="155"/>
      <c r="DR404" s="155"/>
      <c r="DS404" s="155"/>
      <c r="DT404" s="155"/>
      <c r="DU404" s="155"/>
      <c r="DV404" s="155"/>
      <c r="DW404" s="155"/>
      <c r="DX404" s="155"/>
      <c r="DY404" s="155"/>
      <c r="DZ404" s="155"/>
      <c r="EA404" s="155"/>
      <c r="EB404" s="155"/>
      <c r="EC404" s="155"/>
      <c r="ED404" s="155"/>
      <c r="EE404" s="155"/>
      <c r="EF404" s="155"/>
      <c r="EG404" s="155"/>
      <c r="EH404" s="155"/>
      <c r="EI404" s="155"/>
      <c r="EJ404" s="155"/>
      <c r="EK404" s="155"/>
      <c r="EL404" s="155"/>
      <c r="EM404" s="155"/>
      <c r="EN404" s="155"/>
      <c r="EO404" s="155"/>
      <c r="EP404" s="155"/>
      <c r="EQ404" s="155"/>
      <c r="ER404" s="155"/>
      <c r="ES404" s="155"/>
      <c r="ET404" s="155"/>
      <c r="EU404" s="155"/>
      <c r="EV404" s="155"/>
      <c r="EW404" s="155"/>
      <c r="EX404" s="155"/>
      <c r="EY404" s="155"/>
      <c r="EZ404" s="155"/>
      <c r="FA404" s="155"/>
      <c r="FB404" s="155"/>
      <c r="FC404" s="155"/>
      <c r="FD404" s="155"/>
      <c r="FE404" s="155"/>
      <c r="FF404" s="155"/>
      <c r="FG404" s="155"/>
      <c r="FH404" s="155"/>
      <c r="FI404" s="155"/>
      <c r="FJ404" s="155"/>
      <c r="FK404" s="155"/>
      <c r="FL404" s="155"/>
      <c r="FM404" s="155"/>
      <c r="FN404" s="155"/>
      <c r="FO404" s="155"/>
      <c r="FP404" s="155"/>
      <c r="FQ404" s="155"/>
      <c r="FR404" s="155"/>
      <c r="FS404" s="155"/>
      <c r="FT404" s="155"/>
      <c r="FU404" s="155"/>
      <c r="FV404" s="155"/>
      <c r="FW404" s="155"/>
      <c r="FX404" s="155"/>
      <c r="FY404" s="155"/>
      <c r="FZ404" s="155"/>
      <c r="GA404" s="155"/>
      <c r="GB404" s="155"/>
      <c r="GC404" s="155"/>
      <c r="GD404" s="155"/>
      <c r="GE404" s="155"/>
      <c r="GF404" s="155"/>
      <c r="GG404" s="155"/>
      <c r="GH404" s="155"/>
      <c r="GI404" s="155"/>
      <c r="GJ404" s="155"/>
      <c r="GK404" s="155"/>
      <c r="GL404" s="155"/>
      <c r="GM404" s="155"/>
      <c r="GN404" s="155"/>
      <c r="GO404" s="155"/>
      <c r="GP404" s="155"/>
      <c r="GQ404" s="155"/>
      <c r="GR404" s="155"/>
      <c r="GS404" s="155"/>
      <c r="GT404" s="155"/>
      <c r="GU404" s="155"/>
      <c r="GV404" s="155"/>
      <c r="GW404" s="155"/>
      <c r="GX404" s="155"/>
      <c r="GY404" s="155"/>
      <c r="GZ404" s="155"/>
      <c r="HA404" s="155"/>
      <c r="HB404" s="155"/>
      <c r="HC404" s="155"/>
      <c r="HD404" s="155"/>
      <c r="HE404" s="155"/>
      <c r="HF404" s="155"/>
      <c r="HG404" s="155"/>
      <c r="HH404" s="155"/>
      <c r="HI404" s="155"/>
      <c r="HJ404" s="155"/>
      <c r="HK404" s="155"/>
      <c r="HL404" s="155"/>
      <c r="HM404" s="155"/>
      <c r="HN404" s="155"/>
      <c r="HO404" s="155"/>
      <c r="HP404" s="155"/>
      <c r="HQ404" s="155"/>
      <c r="HR404" s="155"/>
      <c r="HS404" s="155"/>
      <c r="HT404" s="155"/>
      <c r="HU404" s="155"/>
      <c r="HV404" s="155"/>
      <c r="HW404" s="155"/>
      <c r="HX404" s="155"/>
      <c r="HY404" s="155"/>
      <c r="HZ404" s="155"/>
      <c r="IA404" s="155"/>
      <c r="IB404" s="155"/>
      <c r="IC404" s="155"/>
      <c r="ID404" s="155"/>
      <c r="IE404" s="155"/>
      <c r="IF404" s="155"/>
      <c r="IG404" s="155"/>
      <c r="IH404" s="155"/>
      <c r="II404" s="155"/>
      <c r="IJ404" s="155"/>
      <c r="IK404" s="155"/>
      <c r="IL404" s="155"/>
      <c r="IM404" s="155"/>
      <c r="IN404" s="155"/>
      <c r="IO404" s="155"/>
      <c r="IP404" s="155"/>
      <c r="IQ404" s="155"/>
      <c r="IR404" s="155"/>
      <c r="IS404" s="155"/>
      <c r="IT404" s="155"/>
      <c r="IU404" s="155"/>
      <c r="IV404" s="155"/>
    </row>
    <row r="405" spans="1:256" ht="14.25">
      <c r="A405" s="178" t="s">
        <v>94</v>
      </c>
      <c r="B405" s="135"/>
      <c r="C405" s="179"/>
      <c r="D405" s="179"/>
      <c r="E405" s="180"/>
      <c r="F405" s="180"/>
      <c r="G405" s="180"/>
      <c r="H405" s="180"/>
      <c r="I405" s="180"/>
      <c r="J405" s="180"/>
      <c r="K405" s="181"/>
      <c r="L405" s="181"/>
      <c r="M405" s="181"/>
      <c r="N405" s="181"/>
      <c r="O405" s="181"/>
      <c r="P405" s="181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 ht="14.25">
      <c r="A406" s="178" t="s">
        <v>292</v>
      </c>
      <c r="B406" s="135"/>
      <c r="C406" s="179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 ht="14.25">
      <c r="A407" s="178" t="s">
        <v>293</v>
      </c>
      <c r="B407" s="135"/>
      <c r="C407" s="179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4.25">
      <c r="A408" s="178" t="s">
        <v>294</v>
      </c>
      <c r="B408" s="135"/>
      <c r="C408" s="179"/>
      <c r="D408" s="183"/>
      <c r="E408" s="135"/>
      <c r="F408" s="135"/>
      <c r="G408" s="135"/>
      <c r="H408" s="135"/>
      <c r="I408" s="135"/>
      <c r="J408" s="135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>
      <c r="A409" s="136"/>
      <c r="B409" s="132"/>
      <c r="C409" s="132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</row>
  </sheetData>
  <sheetProtection algorithmName="SHA-512" hashValue="O/7p74J5/hI9hfKuMndaQAm9KC40X7Yn5UIhQWSZp4D+IZqQovIVj1dzNG47m5Vml+YA8g4YMS1dTw2NjmILww==" saltValue="sBvUNoTPenmojOFp4+UfSw==" spinCount="100000" sheet="1" objects="1" scenarios="1"/>
  <mergeCells count="278"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98:A400"/>
    <mergeCell ref="B398:B400"/>
    <mergeCell ref="A402:A404"/>
    <mergeCell ref="B402:B404"/>
    <mergeCell ref="A389:A391"/>
    <mergeCell ref="B389:B391"/>
    <mergeCell ref="A392:A394"/>
    <mergeCell ref="B392:B394"/>
    <mergeCell ref="A395:A397"/>
    <mergeCell ref="B395:B397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2865-87B5-435B-AEFE-DC1650CE5AC8}">
  <dimension ref="A1:G287"/>
  <sheetViews>
    <sheetView view="pageBreakPreview" topLeftCell="A263" zoomScaleNormal="106" zoomScaleSheetLayoutView="100" workbookViewId="0">
      <selection activeCell="G271" sqref="G271"/>
    </sheetView>
  </sheetViews>
  <sheetFormatPr defaultRowHeight="12.75"/>
  <cols>
    <col min="1" max="1" width="7.25" style="228" customWidth="1"/>
    <col min="2" max="2" width="7.125" style="228" customWidth="1"/>
    <col min="3" max="3" width="42.25" style="217" customWidth="1"/>
    <col min="4" max="4" width="13.875" style="217" customWidth="1"/>
    <col min="5" max="5" width="12.75" style="217" customWidth="1"/>
    <col min="6" max="6" width="12.25" style="217" customWidth="1"/>
    <col min="7" max="7" width="14.125" style="217" customWidth="1"/>
    <col min="8" max="252" width="9" style="217"/>
    <col min="253" max="253" width="7.25" style="217" customWidth="1"/>
    <col min="254" max="254" width="7.125" style="217" customWidth="1"/>
    <col min="255" max="255" width="42.25" style="217" customWidth="1"/>
    <col min="256" max="256" width="13.875" style="217" customWidth="1"/>
    <col min="257" max="257" width="12.75" style="217" customWidth="1"/>
    <col min="258" max="258" width="12.25" style="217" customWidth="1"/>
    <col min="259" max="259" width="14.125" style="217" customWidth="1"/>
    <col min="260" max="508" width="9" style="217"/>
    <col min="509" max="509" width="7.25" style="217" customWidth="1"/>
    <col min="510" max="510" width="7.125" style="217" customWidth="1"/>
    <col min="511" max="511" width="42.25" style="217" customWidth="1"/>
    <col min="512" max="512" width="13.875" style="217" customWidth="1"/>
    <col min="513" max="513" width="12.75" style="217" customWidth="1"/>
    <col min="514" max="514" width="12.25" style="217" customWidth="1"/>
    <col min="515" max="515" width="14.125" style="217" customWidth="1"/>
    <col min="516" max="764" width="9" style="217"/>
    <col min="765" max="765" width="7.25" style="217" customWidth="1"/>
    <col min="766" max="766" width="7.125" style="217" customWidth="1"/>
    <col min="767" max="767" width="42.25" style="217" customWidth="1"/>
    <col min="768" max="768" width="13.875" style="217" customWidth="1"/>
    <col min="769" max="769" width="12.75" style="217" customWidth="1"/>
    <col min="770" max="770" width="12.25" style="217" customWidth="1"/>
    <col min="771" max="771" width="14.125" style="217" customWidth="1"/>
    <col min="772" max="1020" width="9" style="217"/>
    <col min="1021" max="1021" width="7.25" style="217" customWidth="1"/>
    <col min="1022" max="1022" width="7.125" style="217" customWidth="1"/>
    <col min="1023" max="1023" width="42.25" style="217" customWidth="1"/>
    <col min="1024" max="1024" width="13.875" style="217" customWidth="1"/>
    <col min="1025" max="1025" width="12.75" style="217" customWidth="1"/>
    <col min="1026" max="1026" width="12.25" style="217" customWidth="1"/>
    <col min="1027" max="1027" width="14.125" style="217" customWidth="1"/>
    <col min="1028" max="1276" width="9" style="217"/>
    <col min="1277" max="1277" width="7.25" style="217" customWidth="1"/>
    <col min="1278" max="1278" width="7.125" style="217" customWidth="1"/>
    <col min="1279" max="1279" width="42.25" style="217" customWidth="1"/>
    <col min="1280" max="1280" width="13.875" style="217" customWidth="1"/>
    <col min="1281" max="1281" width="12.75" style="217" customWidth="1"/>
    <col min="1282" max="1282" width="12.25" style="217" customWidth="1"/>
    <col min="1283" max="1283" width="14.125" style="217" customWidth="1"/>
    <col min="1284" max="1532" width="9" style="217"/>
    <col min="1533" max="1533" width="7.25" style="217" customWidth="1"/>
    <col min="1534" max="1534" width="7.125" style="217" customWidth="1"/>
    <col min="1535" max="1535" width="42.25" style="217" customWidth="1"/>
    <col min="1536" max="1536" width="13.875" style="217" customWidth="1"/>
    <col min="1537" max="1537" width="12.75" style="217" customWidth="1"/>
    <col min="1538" max="1538" width="12.25" style="217" customWidth="1"/>
    <col min="1539" max="1539" width="14.125" style="217" customWidth="1"/>
    <col min="1540" max="1788" width="9" style="217"/>
    <col min="1789" max="1789" width="7.25" style="217" customWidth="1"/>
    <col min="1790" max="1790" width="7.125" style="217" customWidth="1"/>
    <col min="1791" max="1791" width="42.25" style="217" customWidth="1"/>
    <col min="1792" max="1792" width="13.875" style="217" customWidth="1"/>
    <col min="1793" max="1793" width="12.75" style="217" customWidth="1"/>
    <col min="1794" max="1794" width="12.25" style="217" customWidth="1"/>
    <col min="1795" max="1795" width="14.125" style="217" customWidth="1"/>
    <col min="1796" max="2044" width="9" style="217"/>
    <col min="2045" max="2045" width="7.25" style="217" customWidth="1"/>
    <col min="2046" max="2046" width="7.125" style="217" customWidth="1"/>
    <col min="2047" max="2047" width="42.25" style="217" customWidth="1"/>
    <col min="2048" max="2048" width="13.875" style="217" customWidth="1"/>
    <col min="2049" max="2049" width="12.75" style="217" customWidth="1"/>
    <col min="2050" max="2050" width="12.25" style="217" customWidth="1"/>
    <col min="2051" max="2051" width="14.125" style="217" customWidth="1"/>
    <col min="2052" max="2300" width="9" style="217"/>
    <col min="2301" max="2301" width="7.25" style="217" customWidth="1"/>
    <col min="2302" max="2302" width="7.125" style="217" customWidth="1"/>
    <col min="2303" max="2303" width="42.25" style="217" customWidth="1"/>
    <col min="2304" max="2304" width="13.875" style="217" customWidth="1"/>
    <col min="2305" max="2305" width="12.75" style="217" customWidth="1"/>
    <col min="2306" max="2306" width="12.25" style="217" customWidth="1"/>
    <col min="2307" max="2307" width="14.125" style="217" customWidth="1"/>
    <col min="2308" max="2556" width="9" style="217"/>
    <col min="2557" max="2557" width="7.25" style="217" customWidth="1"/>
    <col min="2558" max="2558" width="7.125" style="217" customWidth="1"/>
    <col min="2559" max="2559" width="42.25" style="217" customWidth="1"/>
    <col min="2560" max="2560" width="13.875" style="217" customWidth="1"/>
    <col min="2561" max="2561" width="12.75" style="217" customWidth="1"/>
    <col min="2562" max="2562" width="12.25" style="217" customWidth="1"/>
    <col min="2563" max="2563" width="14.125" style="217" customWidth="1"/>
    <col min="2564" max="2812" width="9" style="217"/>
    <col min="2813" max="2813" width="7.25" style="217" customWidth="1"/>
    <col min="2814" max="2814" width="7.125" style="217" customWidth="1"/>
    <col min="2815" max="2815" width="42.25" style="217" customWidth="1"/>
    <col min="2816" max="2816" width="13.875" style="217" customWidth="1"/>
    <col min="2817" max="2817" width="12.75" style="217" customWidth="1"/>
    <col min="2818" max="2818" width="12.25" style="217" customWidth="1"/>
    <col min="2819" max="2819" width="14.125" style="217" customWidth="1"/>
    <col min="2820" max="3068" width="9" style="217"/>
    <col min="3069" max="3069" width="7.25" style="217" customWidth="1"/>
    <col min="3070" max="3070" width="7.125" style="217" customWidth="1"/>
    <col min="3071" max="3071" width="42.25" style="217" customWidth="1"/>
    <col min="3072" max="3072" width="13.875" style="217" customWidth="1"/>
    <col min="3073" max="3073" width="12.75" style="217" customWidth="1"/>
    <col min="3074" max="3074" width="12.25" style="217" customWidth="1"/>
    <col min="3075" max="3075" width="14.125" style="217" customWidth="1"/>
    <col min="3076" max="3324" width="9" style="217"/>
    <col min="3325" max="3325" width="7.25" style="217" customWidth="1"/>
    <col min="3326" max="3326" width="7.125" style="217" customWidth="1"/>
    <col min="3327" max="3327" width="42.25" style="217" customWidth="1"/>
    <col min="3328" max="3328" width="13.875" style="217" customWidth="1"/>
    <col min="3329" max="3329" width="12.75" style="217" customWidth="1"/>
    <col min="3330" max="3330" width="12.25" style="217" customWidth="1"/>
    <col min="3331" max="3331" width="14.125" style="217" customWidth="1"/>
    <col min="3332" max="3580" width="9" style="217"/>
    <col min="3581" max="3581" width="7.25" style="217" customWidth="1"/>
    <col min="3582" max="3582" width="7.125" style="217" customWidth="1"/>
    <col min="3583" max="3583" width="42.25" style="217" customWidth="1"/>
    <col min="3584" max="3584" width="13.875" style="217" customWidth="1"/>
    <col min="3585" max="3585" width="12.75" style="217" customWidth="1"/>
    <col min="3586" max="3586" width="12.25" style="217" customWidth="1"/>
    <col min="3587" max="3587" width="14.125" style="217" customWidth="1"/>
    <col min="3588" max="3836" width="9" style="217"/>
    <col min="3837" max="3837" width="7.25" style="217" customWidth="1"/>
    <col min="3838" max="3838" width="7.125" style="217" customWidth="1"/>
    <col min="3839" max="3839" width="42.25" style="217" customWidth="1"/>
    <col min="3840" max="3840" width="13.875" style="217" customWidth="1"/>
    <col min="3841" max="3841" width="12.75" style="217" customWidth="1"/>
    <col min="3842" max="3842" width="12.25" style="217" customWidth="1"/>
    <col min="3843" max="3843" width="14.125" style="217" customWidth="1"/>
    <col min="3844" max="4092" width="9" style="217"/>
    <col min="4093" max="4093" width="7.25" style="217" customWidth="1"/>
    <col min="4094" max="4094" width="7.125" style="217" customWidth="1"/>
    <col min="4095" max="4095" width="42.25" style="217" customWidth="1"/>
    <col min="4096" max="4096" width="13.875" style="217" customWidth="1"/>
    <col min="4097" max="4097" width="12.75" style="217" customWidth="1"/>
    <col min="4098" max="4098" width="12.25" style="217" customWidth="1"/>
    <col min="4099" max="4099" width="14.125" style="217" customWidth="1"/>
    <col min="4100" max="4348" width="9" style="217"/>
    <col min="4349" max="4349" width="7.25" style="217" customWidth="1"/>
    <col min="4350" max="4350" width="7.125" style="217" customWidth="1"/>
    <col min="4351" max="4351" width="42.25" style="217" customWidth="1"/>
    <col min="4352" max="4352" width="13.875" style="217" customWidth="1"/>
    <col min="4353" max="4353" width="12.75" style="217" customWidth="1"/>
    <col min="4354" max="4354" width="12.25" style="217" customWidth="1"/>
    <col min="4355" max="4355" width="14.125" style="217" customWidth="1"/>
    <col min="4356" max="4604" width="9" style="217"/>
    <col min="4605" max="4605" width="7.25" style="217" customWidth="1"/>
    <col min="4606" max="4606" width="7.125" style="217" customWidth="1"/>
    <col min="4607" max="4607" width="42.25" style="217" customWidth="1"/>
    <col min="4608" max="4608" width="13.875" style="217" customWidth="1"/>
    <col min="4609" max="4609" width="12.75" style="217" customWidth="1"/>
    <col min="4610" max="4610" width="12.25" style="217" customWidth="1"/>
    <col min="4611" max="4611" width="14.125" style="217" customWidth="1"/>
    <col min="4612" max="4860" width="9" style="217"/>
    <col min="4861" max="4861" width="7.25" style="217" customWidth="1"/>
    <col min="4862" max="4862" width="7.125" style="217" customWidth="1"/>
    <col min="4863" max="4863" width="42.25" style="217" customWidth="1"/>
    <col min="4864" max="4864" width="13.875" style="217" customWidth="1"/>
    <col min="4865" max="4865" width="12.75" style="217" customWidth="1"/>
    <col min="4866" max="4866" width="12.25" style="217" customWidth="1"/>
    <col min="4867" max="4867" width="14.125" style="217" customWidth="1"/>
    <col min="4868" max="5116" width="9" style="217"/>
    <col min="5117" max="5117" width="7.25" style="217" customWidth="1"/>
    <col min="5118" max="5118" width="7.125" style="217" customWidth="1"/>
    <col min="5119" max="5119" width="42.25" style="217" customWidth="1"/>
    <col min="5120" max="5120" width="13.875" style="217" customWidth="1"/>
    <col min="5121" max="5121" width="12.75" style="217" customWidth="1"/>
    <col min="5122" max="5122" width="12.25" style="217" customWidth="1"/>
    <col min="5123" max="5123" width="14.125" style="217" customWidth="1"/>
    <col min="5124" max="5372" width="9" style="217"/>
    <col min="5373" max="5373" width="7.25" style="217" customWidth="1"/>
    <col min="5374" max="5374" width="7.125" style="217" customWidth="1"/>
    <col min="5375" max="5375" width="42.25" style="217" customWidth="1"/>
    <col min="5376" max="5376" width="13.875" style="217" customWidth="1"/>
    <col min="5377" max="5377" width="12.75" style="217" customWidth="1"/>
    <col min="5378" max="5378" width="12.25" style="217" customWidth="1"/>
    <col min="5379" max="5379" width="14.125" style="217" customWidth="1"/>
    <col min="5380" max="5628" width="9" style="217"/>
    <col min="5629" max="5629" width="7.25" style="217" customWidth="1"/>
    <col min="5630" max="5630" width="7.125" style="217" customWidth="1"/>
    <col min="5631" max="5631" width="42.25" style="217" customWidth="1"/>
    <col min="5632" max="5632" width="13.875" style="217" customWidth="1"/>
    <col min="5633" max="5633" width="12.75" style="217" customWidth="1"/>
    <col min="5634" max="5634" width="12.25" style="217" customWidth="1"/>
    <col min="5635" max="5635" width="14.125" style="217" customWidth="1"/>
    <col min="5636" max="5884" width="9" style="217"/>
    <col min="5885" max="5885" width="7.25" style="217" customWidth="1"/>
    <col min="5886" max="5886" width="7.125" style="217" customWidth="1"/>
    <col min="5887" max="5887" width="42.25" style="217" customWidth="1"/>
    <col min="5888" max="5888" width="13.875" style="217" customWidth="1"/>
    <col min="5889" max="5889" width="12.75" style="217" customWidth="1"/>
    <col min="5890" max="5890" width="12.25" style="217" customWidth="1"/>
    <col min="5891" max="5891" width="14.125" style="217" customWidth="1"/>
    <col min="5892" max="6140" width="9" style="217"/>
    <col min="6141" max="6141" width="7.25" style="217" customWidth="1"/>
    <col min="6142" max="6142" width="7.125" style="217" customWidth="1"/>
    <col min="6143" max="6143" width="42.25" style="217" customWidth="1"/>
    <col min="6144" max="6144" width="13.875" style="217" customWidth="1"/>
    <col min="6145" max="6145" width="12.75" style="217" customWidth="1"/>
    <col min="6146" max="6146" width="12.25" style="217" customWidth="1"/>
    <col min="6147" max="6147" width="14.125" style="217" customWidth="1"/>
    <col min="6148" max="6396" width="9" style="217"/>
    <col min="6397" max="6397" width="7.25" style="217" customWidth="1"/>
    <col min="6398" max="6398" width="7.125" style="217" customWidth="1"/>
    <col min="6399" max="6399" width="42.25" style="217" customWidth="1"/>
    <col min="6400" max="6400" width="13.875" style="217" customWidth="1"/>
    <col min="6401" max="6401" width="12.75" style="217" customWidth="1"/>
    <col min="6402" max="6402" width="12.25" style="217" customWidth="1"/>
    <col min="6403" max="6403" width="14.125" style="217" customWidth="1"/>
    <col min="6404" max="6652" width="9" style="217"/>
    <col min="6653" max="6653" width="7.25" style="217" customWidth="1"/>
    <col min="6654" max="6654" width="7.125" style="217" customWidth="1"/>
    <col min="6655" max="6655" width="42.25" style="217" customWidth="1"/>
    <col min="6656" max="6656" width="13.875" style="217" customWidth="1"/>
    <col min="6657" max="6657" width="12.75" style="217" customWidth="1"/>
    <col min="6658" max="6658" width="12.25" style="217" customWidth="1"/>
    <col min="6659" max="6659" width="14.125" style="217" customWidth="1"/>
    <col min="6660" max="6908" width="9" style="217"/>
    <col min="6909" max="6909" width="7.25" style="217" customWidth="1"/>
    <col min="6910" max="6910" width="7.125" style="217" customWidth="1"/>
    <col min="6911" max="6911" width="42.25" style="217" customWidth="1"/>
    <col min="6912" max="6912" width="13.875" style="217" customWidth="1"/>
    <col min="6913" max="6913" width="12.75" style="217" customWidth="1"/>
    <col min="6914" max="6914" width="12.25" style="217" customWidth="1"/>
    <col min="6915" max="6915" width="14.125" style="217" customWidth="1"/>
    <col min="6916" max="7164" width="9" style="217"/>
    <col min="7165" max="7165" width="7.25" style="217" customWidth="1"/>
    <col min="7166" max="7166" width="7.125" style="217" customWidth="1"/>
    <col min="7167" max="7167" width="42.25" style="217" customWidth="1"/>
    <col min="7168" max="7168" width="13.875" style="217" customWidth="1"/>
    <col min="7169" max="7169" width="12.75" style="217" customWidth="1"/>
    <col min="7170" max="7170" width="12.25" style="217" customWidth="1"/>
    <col min="7171" max="7171" width="14.125" style="217" customWidth="1"/>
    <col min="7172" max="7420" width="9" style="217"/>
    <col min="7421" max="7421" width="7.25" style="217" customWidth="1"/>
    <col min="7422" max="7422" width="7.125" style="217" customWidth="1"/>
    <col min="7423" max="7423" width="42.25" style="217" customWidth="1"/>
    <col min="7424" max="7424" width="13.875" style="217" customWidth="1"/>
    <col min="7425" max="7425" width="12.75" style="217" customWidth="1"/>
    <col min="7426" max="7426" width="12.25" style="217" customWidth="1"/>
    <col min="7427" max="7427" width="14.125" style="217" customWidth="1"/>
    <col min="7428" max="7676" width="9" style="217"/>
    <col min="7677" max="7677" width="7.25" style="217" customWidth="1"/>
    <col min="7678" max="7678" width="7.125" style="217" customWidth="1"/>
    <col min="7679" max="7679" width="42.25" style="217" customWidth="1"/>
    <col min="7680" max="7680" width="13.875" style="217" customWidth="1"/>
    <col min="7681" max="7681" width="12.75" style="217" customWidth="1"/>
    <col min="7682" max="7682" width="12.25" style="217" customWidth="1"/>
    <col min="7683" max="7683" width="14.125" style="217" customWidth="1"/>
    <col min="7684" max="7932" width="9" style="217"/>
    <col min="7933" max="7933" width="7.25" style="217" customWidth="1"/>
    <col min="7934" max="7934" width="7.125" style="217" customWidth="1"/>
    <col min="7935" max="7935" width="42.25" style="217" customWidth="1"/>
    <col min="7936" max="7936" width="13.875" style="217" customWidth="1"/>
    <col min="7937" max="7937" width="12.75" style="217" customWidth="1"/>
    <col min="7938" max="7938" width="12.25" style="217" customWidth="1"/>
    <col min="7939" max="7939" width="14.125" style="217" customWidth="1"/>
    <col min="7940" max="8188" width="9" style="217"/>
    <col min="8189" max="8189" width="7.25" style="217" customWidth="1"/>
    <col min="8190" max="8190" width="7.125" style="217" customWidth="1"/>
    <col min="8191" max="8191" width="42.25" style="217" customWidth="1"/>
    <col min="8192" max="8192" width="13.875" style="217" customWidth="1"/>
    <col min="8193" max="8193" width="12.75" style="217" customWidth="1"/>
    <col min="8194" max="8194" width="12.25" style="217" customWidth="1"/>
    <col min="8195" max="8195" width="14.125" style="217" customWidth="1"/>
    <col min="8196" max="8444" width="9" style="217"/>
    <col min="8445" max="8445" width="7.25" style="217" customWidth="1"/>
    <col min="8446" max="8446" width="7.125" style="217" customWidth="1"/>
    <col min="8447" max="8447" width="42.25" style="217" customWidth="1"/>
    <col min="8448" max="8448" width="13.875" style="217" customWidth="1"/>
    <col min="8449" max="8449" width="12.75" style="217" customWidth="1"/>
    <col min="8450" max="8450" width="12.25" style="217" customWidth="1"/>
    <col min="8451" max="8451" width="14.125" style="217" customWidth="1"/>
    <col min="8452" max="8700" width="9" style="217"/>
    <col min="8701" max="8701" width="7.25" style="217" customWidth="1"/>
    <col min="8702" max="8702" width="7.125" style="217" customWidth="1"/>
    <col min="8703" max="8703" width="42.25" style="217" customWidth="1"/>
    <col min="8704" max="8704" width="13.875" style="217" customWidth="1"/>
    <col min="8705" max="8705" width="12.75" style="217" customWidth="1"/>
    <col min="8706" max="8706" width="12.25" style="217" customWidth="1"/>
    <col min="8707" max="8707" width="14.125" style="217" customWidth="1"/>
    <col min="8708" max="8956" width="9" style="217"/>
    <col min="8957" max="8957" width="7.25" style="217" customWidth="1"/>
    <col min="8958" max="8958" width="7.125" style="217" customWidth="1"/>
    <col min="8959" max="8959" width="42.25" style="217" customWidth="1"/>
    <col min="8960" max="8960" width="13.875" style="217" customWidth="1"/>
    <col min="8961" max="8961" width="12.75" style="217" customWidth="1"/>
    <col min="8962" max="8962" width="12.25" style="217" customWidth="1"/>
    <col min="8963" max="8963" width="14.125" style="217" customWidth="1"/>
    <col min="8964" max="9212" width="9" style="217"/>
    <col min="9213" max="9213" width="7.25" style="217" customWidth="1"/>
    <col min="9214" max="9214" width="7.125" style="217" customWidth="1"/>
    <col min="9215" max="9215" width="42.25" style="217" customWidth="1"/>
    <col min="9216" max="9216" width="13.875" style="217" customWidth="1"/>
    <col min="9217" max="9217" width="12.75" style="217" customWidth="1"/>
    <col min="9218" max="9218" width="12.25" style="217" customWidth="1"/>
    <col min="9219" max="9219" width="14.125" style="217" customWidth="1"/>
    <col min="9220" max="9468" width="9" style="217"/>
    <col min="9469" max="9469" width="7.25" style="217" customWidth="1"/>
    <col min="9470" max="9470" width="7.125" style="217" customWidth="1"/>
    <col min="9471" max="9471" width="42.25" style="217" customWidth="1"/>
    <col min="9472" max="9472" width="13.875" style="217" customWidth="1"/>
    <col min="9473" max="9473" width="12.75" style="217" customWidth="1"/>
    <col min="9474" max="9474" width="12.25" style="217" customWidth="1"/>
    <col min="9475" max="9475" width="14.125" style="217" customWidth="1"/>
    <col min="9476" max="9724" width="9" style="217"/>
    <col min="9725" max="9725" width="7.25" style="217" customWidth="1"/>
    <col min="9726" max="9726" width="7.125" style="217" customWidth="1"/>
    <col min="9727" max="9727" width="42.25" style="217" customWidth="1"/>
    <col min="9728" max="9728" width="13.875" style="217" customWidth="1"/>
    <col min="9729" max="9729" width="12.75" style="217" customWidth="1"/>
    <col min="9730" max="9730" width="12.25" style="217" customWidth="1"/>
    <col min="9731" max="9731" width="14.125" style="217" customWidth="1"/>
    <col min="9732" max="9980" width="9" style="217"/>
    <col min="9981" max="9981" width="7.25" style="217" customWidth="1"/>
    <col min="9982" max="9982" width="7.125" style="217" customWidth="1"/>
    <col min="9983" max="9983" width="42.25" style="217" customWidth="1"/>
    <col min="9984" max="9984" width="13.875" style="217" customWidth="1"/>
    <col min="9985" max="9985" width="12.75" style="217" customWidth="1"/>
    <col min="9986" max="9986" width="12.25" style="217" customWidth="1"/>
    <col min="9987" max="9987" width="14.125" style="217" customWidth="1"/>
    <col min="9988" max="10236" width="9" style="217"/>
    <col min="10237" max="10237" width="7.25" style="217" customWidth="1"/>
    <col min="10238" max="10238" width="7.125" style="217" customWidth="1"/>
    <col min="10239" max="10239" width="42.25" style="217" customWidth="1"/>
    <col min="10240" max="10240" width="13.875" style="217" customWidth="1"/>
    <col min="10241" max="10241" width="12.75" style="217" customWidth="1"/>
    <col min="10242" max="10242" width="12.25" style="217" customWidth="1"/>
    <col min="10243" max="10243" width="14.125" style="217" customWidth="1"/>
    <col min="10244" max="10492" width="9" style="217"/>
    <col min="10493" max="10493" width="7.25" style="217" customWidth="1"/>
    <col min="10494" max="10494" width="7.125" style="217" customWidth="1"/>
    <col min="10495" max="10495" width="42.25" style="217" customWidth="1"/>
    <col min="10496" max="10496" width="13.875" style="217" customWidth="1"/>
    <col min="10497" max="10497" width="12.75" style="217" customWidth="1"/>
    <col min="10498" max="10498" width="12.25" style="217" customWidth="1"/>
    <col min="10499" max="10499" width="14.125" style="217" customWidth="1"/>
    <col min="10500" max="10748" width="9" style="217"/>
    <col min="10749" max="10749" width="7.25" style="217" customWidth="1"/>
    <col min="10750" max="10750" width="7.125" style="217" customWidth="1"/>
    <col min="10751" max="10751" width="42.25" style="217" customWidth="1"/>
    <col min="10752" max="10752" width="13.875" style="217" customWidth="1"/>
    <col min="10753" max="10753" width="12.75" style="217" customWidth="1"/>
    <col min="10754" max="10754" width="12.25" style="217" customWidth="1"/>
    <col min="10755" max="10755" width="14.125" style="217" customWidth="1"/>
    <col min="10756" max="11004" width="9" style="217"/>
    <col min="11005" max="11005" width="7.25" style="217" customWidth="1"/>
    <col min="11006" max="11006" width="7.125" style="217" customWidth="1"/>
    <col min="11007" max="11007" width="42.25" style="217" customWidth="1"/>
    <col min="11008" max="11008" width="13.875" style="217" customWidth="1"/>
    <col min="11009" max="11009" width="12.75" style="217" customWidth="1"/>
    <col min="11010" max="11010" width="12.25" style="217" customWidth="1"/>
    <col min="11011" max="11011" width="14.125" style="217" customWidth="1"/>
    <col min="11012" max="11260" width="9" style="217"/>
    <col min="11261" max="11261" width="7.25" style="217" customWidth="1"/>
    <col min="11262" max="11262" width="7.125" style="217" customWidth="1"/>
    <col min="11263" max="11263" width="42.25" style="217" customWidth="1"/>
    <col min="11264" max="11264" width="13.875" style="217" customWidth="1"/>
    <col min="11265" max="11265" width="12.75" style="217" customWidth="1"/>
    <col min="11266" max="11266" width="12.25" style="217" customWidth="1"/>
    <col min="11267" max="11267" width="14.125" style="217" customWidth="1"/>
    <col min="11268" max="11516" width="9" style="217"/>
    <col min="11517" max="11517" width="7.25" style="217" customWidth="1"/>
    <col min="11518" max="11518" width="7.125" style="217" customWidth="1"/>
    <col min="11519" max="11519" width="42.25" style="217" customWidth="1"/>
    <col min="11520" max="11520" width="13.875" style="217" customWidth="1"/>
    <col min="11521" max="11521" width="12.75" style="217" customWidth="1"/>
    <col min="11522" max="11522" width="12.25" style="217" customWidth="1"/>
    <col min="11523" max="11523" width="14.125" style="217" customWidth="1"/>
    <col min="11524" max="11772" width="9" style="217"/>
    <col min="11773" max="11773" width="7.25" style="217" customWidth="1"/>
    <col min="11774" max="11774" width="7.125" style="217" customWidth="1"/>
    <col min="11775" max="11775" width="42.25" style="217" customWidth="1"/>
    <col min="11776" max="11776" width="13.875" style="217" customWidth="1"/>
    <col min="11777" max="11777" width="12.75" style="217" customWidth="1"/>
    <col min="11778" max="11778" width="12.25" style="217" customWidth="1"/>
    <col min="11779" max="11779" width="14.125" style="217" customWidth="1"/>
    <col min="11780" max="12028" width="9" style="217"/>
    <col min="12029" max="12029" width="7.25" style="217" customWidth="1"/>
    <col min="12030" max="12030" width="7.125" style="217" customWidth="1"/>
    <col min="12031" max="12031" width="42.25" style="217" customWidth="1"/>
    <col min="12032" max="12032" width="13.875" style="217" customWidth="1"/>
    <col min="12033" max="12033" width="12.75" style="217" customWidth="1"/>
    <col min="12034" max="12034" width="12.25" style="217" customWidth="1"/>
    <col min="12035" max="12035" width="14.125" style="217" customWidth="1"/>
    <col min="12036" max="12284" width="9" style="217"/>
    <col min="12285" max="12285" width="7.25" style="217" customWidth="1"/>
    <col min="12286" max="12286" width="7.125" style="217" customWidth="1"/>
    <col min="12287" max="12287" width="42.25" style="217" customWidth="1"/>
    <col min="12288" max="12288" width="13.875" style="217" customWidth="1"/>
    <col min="12289" max="12289" width="12.75" style="217" customWidth="1"/>
    <col min="12290" max="12290" width="12.25" style="217" customWidth="1"/>
    <col min="12291" max="12291" width="14.125" style="217" customWidth="1"/>
    <col min="12292" max="12540" width="9" style="217"/>
    <col min="12541" max="12541" width="7.25" style="217" customWidth="1"/>
    <col min="12542" max="12542" width="7.125" style="217" customWidth="1"/>
    <col min="12543" max="12543" width="42.25" style="217" customWidth="1"/>
    <col min="12544" max="12544" width="13.875" style="217" customWidth="1"/>
    <col min="12545" max="12545" width="12.75" style="217" customWidth="1"/>
    <col min="12546" max="12546" width="12.25" style="217" customWidth="1"/>
    <col min="12547" max="12547" width="14.125" style="217" customWidth="1"/>
    <col min="12548" max="12796" width="9" style="217"/>
    <col min="12797" max="12797" width="7.25" style="217" customWidth="1"/>
    <col min="12798" max="12798" width="7.125" style="217" customWidth="1"/>
    <col min="12799" max="12799" width="42.25" style="217" customWidth="1"/>
    <col min="12800" max="12800" width="13.875" style="217" customWidth="1"/>
    <col min="12801" max="12801" width="12.75" style="217" customWidth="1"/>
    <col min="12802" max="12802" width="12.25" style="217" customWidth="1"/>
    <col min="12803" max="12803" width="14.125" style="217" customWidth="1"/>
    <col min="12804" max="13052" width="9" style="217"/>
    <col min="13053" max="13053" width="7.25" style="217" customWidth="1"/>
    <col min="13054" max="13054" width="7.125" style="217" customWidth="1"/>
    <col min="13055" max="13055" width="42.25" style="217" customWidth="1"/>
    <col min="13056" max="13056" width="13.875" style="217" customWidth="1"/>
    <col min="13057" max="13057" width="12.75" style="217" customWidth="1"/>
    <col min="13058" max="13058" width="12.25" style="217" customWidth="1"/>
    <col min="13059" max="13059" width="14.125" style="217" customWidth="1"/>
    <col min="13060" max="13308" width="9" style="217"/>
    <col min="13309" max="13309" width="7.25" style="217" customWidth="1"/>
    <col min="13310" max="13310" width="7.125" style="217" customWidth="1"/>
    <col min="13311" max="13311" width="42.25" style="217" customWidth="1"/>
    <col min="13312" max="13312" width="13.875" style="217" customWidth="1"/>
    <col min="13313" max="13313" width="12.75" style="217" customWidth="1"/>
    <col min="13314" max="13314" width="12.25" style="217" customWidth="1"/>
    <col min="13315" max="13315" width="14.125" style="217" customWidth="1"/>
    <col min="13316" max="13564" width="9" style="217"/>
    <col min="13565" max="13565" width="7.25" style="217" customWidth="1"/>
    <col min="13566" max="13566" width="7.125" style="217" customWidth="1"/>
    <col min="13567" max="13567" width="42.25" style="217" customWidth="1"/>
    <col min="13568" max="13568" width="13.875" style="217" customWidth="1"/>
    <col min="13569" max="13569" width="12.75" style="217" customWidth="1"/>
    <col min="13570" max="13570" width="12.25" style="217" customWidth="1"/>
    <col min="13571" max="13571" width="14.125" style="217" customWidth="1"/>
    <col min="13572" max="13820" width="9" style="217"/>
    <col min="13821" max="13821" width="7.25" style="217" customWidth="1"/>
    <col min="13822" max="13822" width="7.125" style="217" customWidth="1"/>
    <col min="13823" max="13823" width="42.25" style="217" customWidth="1"/>
    <col min="13824" max="13824" width="13.875" style="217" customWidth="1"/>
    <col min="13825" max="13825" width="12.75" style="217" customWidth="1"/>
    <col min="13826" max="13826" width="12.25" style="217" customWidth="1"/>
    <col min="13827" max="13827" width="14.125" style="217" customWidth="1"/>
    <col min="13828" max="14076" width="9" style="217"/>
    <col min="14077" max="14077" width="7.25" style="217" customWidth="1"/>
    <col min="14078" max="14078" width="7.125" style="217" customWidth="1"/>
    <col min="14079" max="14079" width="42.25" style="217" customWidth="1"/>
    <col min="14080" max="14080" width="13.875" style="217" customWidth="1"/>
    <col min="14081" max="14081" width="12.75" style="217" customWidth="1"/>
    <col min="14082" max="14082" width="12.25" style="217" customWidth="1"/>
    <col min="14083" max="14083" width="14.125" style="217" customWidth="1"/>
    <col min="14084" max="14332" width="9" style="217"/>
    <col min="14333" max="14333" width="7.25" style="217" customWidth="1"/>
    <col min="14334" max="14334" width="7.125" style="217" customWidth="1"/>
    <col min="14335" max="14335" width="42.25" style="217" customWidth="1"/>
    <col min="14336" max="14336" width="13.875" style="217" customWidth="1"/>
    <col min="14337" max="14337" width="12.75" style="217" customWidth="1"/>
    <col min="14338" max="14338" width="12.25" style="217" customWidth="1"/>
    <col min="14339" max="14339" width="14.125" style="217" customWidth="1"/>
    <col min="14340" max="14588" width="9" style="217"/>
    <col min="14589" max="14589" width="7.25" style="217" customWidth="1"/>
    <col min="14590" max="14590" width="7.125" style="217" customWidth="1"/>
    <col min="14591" max="14591" width="42.25" style="217" customWidth="1"/>
    <col min="14592" max="14592" width="13.875" style="217" customWidth="1"/>
    <col min="14593" max="14593" width="12.75" style="217" customWidth="1"/>
    <col min="14594" max="14594" width="12.25" style="217" customWidth="1"/>
    <col min="14595" max="14595" width="14.125" style="217" customWidth="1"/>
    <col min="14596" max="14844" width="9" style="217"/>
    <col min="14845" max="14845" width="7.25" style="217" customWidth="1"/>
    <col min="14846" max="14846" width="7.125" style="217" customWidth="1"/>
    <col min="14847" max="14847" width="42.25" style="217" customWidth="1"/>
    <col min="14848" max="14848" width="13.875" style="217" customWidth="1"/>
    <col min="14849" max="14849" width="12.75" style="217" customWidth="1"/>
    <col min="14850" max="14850" width="12.25" style="217" customWidth="1"/>
    <col min="14851" max="14851" width="14.125" style="217" customWidth="1"/>
    <col min="14852" max="15100" width="9" style="217"/>
    <col min="15101" max="15101" width="7.25" style="217" customWidth="1"/>
    <col min="15102" max="15102" width="7.125" style="217" customWidth="1"/>
    <col min="15103" max="15103" width="42.25" style="217" customWidth="1"/>
    <col min="15104" max="15104" width="13.875" style="217" customWidth="1"/>
    <col min="15105" max="15105" width="12.75" style="217" customWidth="1"/>
    <col min="15106" max="15106" width="12.25" style="217" customWidth="1"/>
    <col min="15107" max="15107" width="14.125" style="217" customWidth="1"/>
    <col min="15108" max="15356" width="9" style="217"/>
    <col min="15357" max="15357" width="7.25" style="217" customWidth="1"/>
    <col min="15358" max="15358" width="7.125" style="217" customWidth="1"/>
    <col min="15359" max="15359" width="42.25" style="217" customWidth="1"/>
    <col min="15360" max="15360" width="13.875" style="217" customWidth="1"/>
    <col min="15361" max="15361" width="12.75" style="217" customWidth="1"/>
    <col min="15362" max="15362" width="12.25" style="217" customWidth="1"/>
    <col min="15363" max="15363" width="14.125" style="217" customWidth="1"/>
    <col min="15364" max="15612" width="9" style="217"/>
    <col min="15613" max="15613" width="7.25" style="217" customWidth="1"/>
    <col min="15614" max="15614" width="7.125" style="217" customWidth="1"/>
    <col min="15615" max="15615" width="42.25" style="217" customWidth="1"/>
    <col min="15616" max="15616" width="13.875" style="217" customWidth="1"/>
    <col min="15617" max="15617" width="12.75" style="217" customWidth="1"/>
    <col min="15618" max="15618" width="12.25" style="217" customWidth="1"/>
    <col min="15619" max="15619" width="14.125" style="217" customWidth="1"/>
    <col min="15620" max="15868" width="9" style="217"/>
    <col min="15869" max="15869" width="7.25" style="217" customWidth="1"/>
    <col min="15870" max="15870" width="7.125" style="217" customWidth="1"/>
    <col min="15871" max="15871" width="42.25" style="217" customWidth="1"/>
    <col min="15872" max="15872" width="13.875" style="217" customWidth="1"/>
    <col min="15873" max="15873" width="12.75" style="217" customWidth="1"/>
    <col min="15874" max="15874" width="12.25" style="217" customWidth="1"/>
    <col min="15875" max="15875" width="14.125" style="217" customWidth="1"/>
    <col min="15876" max="16124" width="9" style="217"/>
    <col min="16125" max="16125" width="7.25" style="217" customWidth="1"/>
    <col min="16126" max="16126" width="7.125" style="217" customWidth="1"/>
    <col min="16127" max="16127" width="42.25" style="217" customWidth="1"/>
    <col min="16128" max="16128" width="13.875" style="217" customWidth="1"/>
    <col min="16129" max="16129" width="12.75" style="217" customWidth="1"/>
    <col min="16130" max="16130" width="12.25" style="217" customWidth="1"/>
    <col min="16131" max="16131" width="14.125" style="217" customWidth="1"/>
    <col min="16132" max="16384" width="9" style="217"/>
  </cols>
  <sheetData>
    <row r="1" spans="1:7" s="135" customFormat="1">
      <c r="A1" s="183"/>
      <c r="B1" s="179"/>
      <c r="D1" s="133"/>
      <c r="F1" s="133" t="s">
        <v>295</v>
      </c>
      <c r="G1" s="133"/>
    </row>
    <row r="2" spans="1:7" s="135" customFormat="1" ht="13.15" customHeight="1">
      <c r="A2" s="183"/>
      <c r="B2" s="179"/>
      <c r="D2" s="133"/>
      <c r="F2" s="4" t="s">
        <v>132</v>
      </c>
      <c r="G2" s="133"/>
    </row>
    <row r="3" spans="1:7" s="135" customFormat="1">
      <c r="A3" s="183"/>
      <c r="B3" s="179"/>
      <c r="D3" s="133"/>
      <c r="F3" s="4" t="s">
        <v>557</v>
      </c>
      <c r="G3" s="133"/>
    </row>
    <row r="4" spans="1:7" s="135" customFormat="1">
      <c r="A4" s="183"/>
      <c r="B4" s="179"/>
    </row>
    <row r="5" spans="1:7" s="266" customFormat="1" ht="47.45" customHeight="1">
      <c r="A5" s="856" t="s">
        <v>296</v>
      </c>
      <c r="B5" s="856"/>
      <c r="C5" s="856"/>
      <c r="D5" s="856"/>
      <c r="E5" s="856"/>
      <c r="F5" s="856"/>
      <c r="G5" s="856"/>
    </row>
    <row r="6" spans="1:7" s="135" customFormat="1">
      <c r="A6" s="184"/>
      <c r="B6" s="184"/>
      <c r="C6" s="134"/>
      <c r="D6" s="134"/>
      <c r="E6" s="134"/>
      <c r="F6" s="134"/>
      <c r="G6" s="184" t="s">
        <v>35</v>
      </c>
    </row>
    <row r="7" spans="1:7" s="188" customFormat="1">
      <c r="A7" s="185" t="s">
        <v>36</v>
      </c>
      <c r="B7" s="857" t="s">
        <v>73</v>
      </c>
      <c r="C7" s="858" t="s">
        <v>37</v>
      </c>
      <c r="D7" s="186" t="s">
        <v>297</v>
      </c>
      <c r="E7" s="860" t="s">
        <v>298</v>
      </c>
      <c r="F7" s="862" t="s">
        <v>76</v>
      </c>
      <c r="G7" s="187" t="s">
        <v>299</v>
      </c>
    </row>
    <row r="8" spans="1:7" s="188" customFormat="1" ht="14.25" customHeight="1">
      <c r="A8" s="189" t="s">
        <v>300</v>
      </c>
      <c r="B8" s="857"/>
      <c r="C8" s="859"/>
      <c r="D8" s="190" t="s">
        <v>301</v>
      </c>
      <c r="E8" s="861"/>
      <c r="F8" s="863"/>
      <c r="G8" s="191" t="s">
        <v>302</v>
      </c>
    </row>
    <row r="9" spans="1:7" s="194" customFormat="1" ht="12">
      <c r="A9" s="192">
        <v>1</v>
      </c>
      <c r="B9" s="193">
        <v>2</v>
      </c>
      <c r="C9" s="192">
        <v>3</v>
      </c>
      <c r="D9" s="193">
        <v>4</v>
      </c>
      <c r="E9" s="192">
        <v>5</v>
      </c>
      <c r="F9" s="193">
        <v>6</v>
      </c>
      <c r="G9" s="192">
        <v>7</v>
      </c>
    </row>
    <row r="10" spans="1:7" s="200" customFormat="1" ht="18.600000000000001" customHeight="1">
      <c r="A10" s="195"/>
      <c r="B10" s="196"/>
      <c r="C10" s="197" t="s">
        <v>303</v>
      </c>
      <c r="D10" s="198">
        <v>2185705916.8800001</v>
      </c>
      <c r="E10" s="199">
        <f>E11+E17+E28+E52+E55+E58+E99+E134+E161+E176+E194+E206+E210+E237+E272+E282</f>
        <v>114759557</v>
      </c>
      <c r="F10" s="199">
        <f>F11+F17+F28+F52+F55+F58+F99+F134+F161+F176+F194+F206+F210+F237+F272+F282</f>
        <v>6437493</v>
      </c>
      <c r="G10" s="199">
        <f>D10+E10-F10</f>
        <v>2294027980.8800001</v>
      </c>
    </row>
    <row r="11" spans="1:7" s="206" customFormat="1" ht="15.95" customHeight="1">
      <c r="A11" s="201" t="s">
        <v>42</v>
      </c>
      <c r="B11" s="202" t="s">
        <v>92</v>
      </c>
      <c r="C11" s="203" t="s">
        <v>98</v>
      </c>
      <c r="D11" s="204">
        <v>30765689.84</v>
      </c>
      <c r="E11" s="205">
        <f>E12</f>
        <v>170000</v>
      </c>
      <c r="F11" s="205">
        <f>F12</f>
        <v>0</v>
      </c>
      <c r="G11" s="205">
        <f>D11+E11-F11</f>
        <v>30935689.84</v>
      </c>
    </row>
    <row r="12" spans="1:7" s="206" customFormat="1" ht="15.95" customHeight="1">
      <c r="A12" s="207" t="s">
        <v>160</v>
      </c>
      <c r="B12" s="208" t="s">
        <v>92</v>
      </c>
      <c r="C12" s="209" t="s">
        <v>103</v>
      </c>
      <c r="D12" s="210">
        <v>3455689.84</v>
      </c>
      <c r="E12" s="211">
        <f>SUM(E13:E16)</f>
        <v>170000</v>
      </c>
      <c r="F12" s="211">
        <f>SUM(F13:F16)</f>
        <v>0</v>
      </c>
      <c r="G12" s="211">
        <f t="shared" ref="G12:G75" si="0">D12+E12-F12</f>
        <v>3625689.84</v>
      </c>
    </row>
    <row r="13" spans="1:7" ht="15.95" customHeight="1">
      <c r="A13" s="212" t="s">
        <v>92</v>
      </c>
      <c r="B13" s="213">
        <v>4170</v>
      </c>
      <c r="C13" s="214" t="s">
        <v>304</v>
      </c>
      <c r="D13" s="215">
        <v>0</v>
      </c>
      <c r="E13" s="216">
        <v>5000</v>
      </c>
      <c r="F13" s="215">
        <v>0</v>
      </c>
      <c r="G13" s="216">
        <f t="shared" si="0"/>
        <v>5000</v>
      </c>
    </row>
    <row r="14" spans="1:7" ht="15.95" customHeight="1">
      <c r="A14" s="212" t="s">
        <v>92</v>
      </c>
      <c r="B14" s="213">
        <v>4210</v>
      </c>
      <c r="C14" s="214" t="s">
        <v>305</v>
      </c>
      <c r="D14" s="215">
        <v>85000</v>
      </c>
      <c r="E14" s="216">
        <v>35700</v>
      </c>
      <c r="F14" s="215">
        <v>0</v>
      </c>
      <c r="G14" s="216">
        <f t="shared" si="0"/>
        <v>120700</v>
      </c>
    </row>
    <row r="15" spans="1:7" ht="15.95" customHeight="1">
      <c r="A15" s="212" t="s">
        <v>92</v>
      </c>
      <c r="B15" s="213">
        <v>4220</v>
      </c>
      <c r="C15" s="214" t="s">
        <v>306</v>
      </c>
      <c r="D15" s="215">
        <v>7500</v>
      </c>
      <c r="E15" s="216">
        <v>16700</v>
      </c>
      <c r="F15" s="215">
        <v>0</v>
      </c>
      <c r="G15" s="216">
        <f t="shared" si="0"/>
        <v>24200</v>
      </c>
    </row>
    <row r="16" spans="1:7" ht="15.95" customHeight="1">
      <c r="A16" s="212" t="s">
        <v>92</v>
      </c>
      <c r="B16" s="213">
        <v>4300</v>
      </c>
      <c r="C16" s="214" t="s">
        <v>307</v>
      </c>
      <c r="D16" s="215">
        <v>2482975</v>
      </c>
      <c r="E16" s="216">
        <v>112600</v>
      </c>
      <c r="F16" s="215">
        <v>0</v>
      </c>
      <c r="G16" s="216">
        <f t="shared" si="0"/>
        <v>2595575</v>
      </c>
    </row>
    <row r="17" spans="1:7" s="206" customFormat="1" ht="15.95" customHeight="1">
      <c r="A17" s="201" t="s">
        <v>81</v>
      </c>
      <c r="B17" s="202" t="s">
        <v>92</v>
      </c>
      <c r="C17" s="203" t="s">
        <v>82</v>
      </c>
      <c r="D17" s="204">
        <v>28808976</v>
      </c>
      <c r="E17" s="205">
        <f>E18</f>
        <v>275858</v>
      </c>
      <c r="F17" s="205">
        <f>F18</f>
        <v>0</v>
      </c>
      <c r="G17" s="205">
        <f t="shared" si="0"/>
        <v>29084834</v>
      </c>
    </row>
    <row r="18" spans="1:7" s="206" customFormat="1" ht="15.95" customHeight="1">
      <c r="A18" s="207">
        <v>15095</v>
      </c>
      <c r="B18" s="208" t="s">
        <v>92</v>
      </c>
      <c r="C18" s="209" t="s">
        <v>103</v>
      </c>
      <c r="D18" s="210">
        <v>262533</v>
      </c>
      <c r="E18" s="211">
        <f>SUM(E19:E27)</f>
        <v>275858</v>
      </c>
      <c r="F18" s="211">
        <f>SUM(F19:F27)</f>
        <v>0</v>
      </c>
      <c r="G18" s="211">
        <f t="shared" si="0"/>
        <v>538391</v>
      </c>
    </row>
    <row r="19" spans="1:7" ht="72.95" customHeight="1">
      <c r="A19" s="212" t="s">
        <v>92</v>
      </c>
      <c r="B19" s="213">
        <v>2009</v>
      </c>
      <c r="C19" s="214" t="s">
        <v>308</v>
      </c>
      <c r="D19" s="215">
        <v>0</v>
      </c>
      <c r="E19" s="216">
        <v>263158</v>
      </c>
      <c r="F19" s="215">
        <v>0</v>
      </c>
      <c r="G19" s="216">
        <f t="shared" si="0"/>
        <v>263158</v>
      </c>
    </row>
    <row r="20" spans="1:7" ht="15.95" customHeight="1">
      <c r="A20" s="212" t="s">
        <v>92</v>
      </c>
      <c r="B20" s="213">
        <v>3038</v>
      </c>
      <c r="C20" s="214" t="s">
        <v>309</v>
      </c>
      <c r="D20" s="215">
        <v>4000</v>
      </c>
      <c r="E20" s="216">
        <v>800</v>
      </c>
      <c r="F20" s="215">
        <v>0</v>
      </c>
      <c r="G20" s="216">
        <f t="shared" si="0"/>
        <v>4800</v>
      </c>
    </row>
    <row r="21" spans="1:7" ht="15.95" customHeight="1">
      <c r="A21" s="212" t="s">
        <v>92</v>
      </c>
      <c r="B21" s="213">
        <v>3039</v>
      </c>
      <c r="C21" s="214" t="s">
        <v>309</v>
      </c>
      <c r="D21" s="215">
        <v>1000</v>
      </c>
      <c r="E21" s="216">
        <v>200</v>
      </c>
      <c r="F21" s="215">
        <v>0</v>
      </c>
      <c r="G21" s="216">
        <f t="shared" si="0"/>
        <v>1200</v>
      </c>
    </row>
    <row r="22" spans="1:7" ht="15.95" customHeight="1">
      <c r="A22" s="212" t="s">
        <v>92</v>
      </c>
      <c r="B22" s="213">
        <v>4308</v>
      </c>
      <c r="C22" s="214" t="s">
        <v>307</v>
      </c>
      <c r="D22" s="215">
        <v>60726</v>
      </c>
      <c r="E22" s="216">
        <v>4560</v>
      </c>
      <c r="F22" s="215">
        <v>0</v>
      </c>
      <c r="G22" s="216">
        <f t="shared" si="0"/>
        <v>65286</v>
      </c>
    </row>
    <row r="23" spans="1:7" ht="15.95" customHeight="1">
      <c r="A23" s="212" t="s">
        <v>92</v>
      </c>
      <c r="B23" s="213">
        <v>4309</v>
      </c>
      <c r="C23" s="214" t="s">
        <v>307</v>
      </c>
      <c r="D23" s="215">
        <v>15179</v>
      </c>
      <c r="E23" s="216">
        <v>1140</v>
      </c>
      <c r="F23" s="215">
        <v>0</v>
      </c>
      <c r="G23" s="216">
        <f t="shared" si="0"/>
        <v>16319</v>
      </c>
    </row>
    <row r="24" spans="1:7" ht="15.95" customHeight="1">
      <c r="A24" s="212" t="s">
        <v>92</v>
      </c>
      <c r="B24" s="213">
        <v>4418</v>
      </c>
      <c r="C24" s="214" t="s">
        <v>310</v>
      </c>
      <c r="D24" s="215">
        <v>800</v>
      </c>
      <c r="E24" s="216">
        <v>800</v>
      </c>
      <c r="F24" s="215">
        <v>0</v>
      </c>
      <c r="G24" s="216">
        <f t="shared" si="0"/>
        <v>1600</v>
      </c>
    </row>
    <row r="25" spans="1:7" ht="15.95" customHeight="1">
      <c r="A25" s="212" t="s">
        <v>92</v>
      </c>
      <c r="B25" s="213">
        <v>4419</v>
      </c>
      <c r="C25" s="214" t="s">
        <v>310</v>
      </c>
      <c r="D25" s="215">
        <v>200</v>
      </c>
      <c r="E25" s="216">
        <v>200</v>
      </c>
      <c r="F25" s="215">
        <v>0</v>
      </c>
      <c r="G25" s="216">
        <f t="shared" si="0"/>
        <v>400</v>
      </c>
    </row>
    <row r="26" spans="1:7" ht="15.95" customHeight="1">
      <c r="A26" s="212" t="s">
        <v>92</v>
      </c>
      <c r="B26" s="213">
        <v>4428</v>
      </c>
      <c r="C26" s="214" t="s">
        <v>311</v>
      </c>
      <c r="D26" s="215">
        <v>22400</v>
      </c>
      <c r="E26" s="216">
        <v>4000</v>
      </c>
      <c r="F26" s="215">
        <v>0</v>
      </c>
      <c r="G26" s="216">
        <f t="shared" si="0"/>
        <v>26400</v>
      </c>
    </row>
    <row r="27" spans="1:7" ht="15.95" customHeight="1">
      <c r="A27" s="212" t="s">
        <v>92</v>
      </c>
      <c r="B27" s="213">
        <v>4429</v>
      </c>
      <c r="C27" s="214" t="s">
        <v>311</v>
      </c>
      <c r="D27" s="215">
        <v>5600</v>
      </c>
      <c r="E27" s="216">
        <v>1000</v>
      </c>
      <c r="F27" s="215">
        <v>0</v>
      </c>
      <c r="G27" s="216">
        <f t="shared" si="0"/>
        <v>6600</v>
      </c>
    </row>
    <row r="28" spans="1:7" s="206" customFormat="1" ht="15.95" customHeight="1">
      <c r="A28" s="201" t="s">
        <v>45</v>
      </c>
      <c r="B28" s="202" t="s">
        <v>92</v>
      </c>
      <c r="C28" s="203" t="s">
        <v>46</v>
      </c>
      <c r="D28" s="204">
        <v>807313147</v>
      </c>
      <c r="E28" s="205">
        <f>E29+E31</f>
        <v>61377401</v>
      </c>
      <c r="F28" s="205">
        <f>F29+F31</f>
        <v>0</v>
      </c>
      <c r="G28" s="205">
        <f t="shared" si="0"/>
        <v>868690548</v>
      </c>
    </row>
    <row r="29" spans="1:7" s="206" customFormat="1" ht="15.95" customHeight="1">
      <c r="A29" s="207">
        <v>60013</v>
      </c>
      <c r="B29" s="208" t="s">
        <v>92</v>
      </c>
      <c r="C29" s="209" t="s">
        <v>105</v>
      </c>
      <c r="D29" s="210">
        <v>463966241</v>
      </c>
      <c r="E29" s="211">
        <f>E30</f>
        <v>61237360</v>
      </c>
      <c r="F29" s="211">
        <f>F30</f>
        <v>0</v>
      </c>
      <c r="G29" s="211">
        <f t="shared" si="0"/>
        <v>525203601</v>
      </c>
    </row>
    <row r="30" spans="1:7" ht="15.95" customHeight="1">
      <c r="A30" s="212" t="s">
        <v>92</v>
      </c>
      <c r="B30" s="213">
        <v>6050</v>
      </c>
      <c r="C30" s="214" t="s">
        <v>312</v>
      </c>
      <c r="D30" s="215">
        <v>263986130</v>
      </c>
      <c r="E30" s="216">
        <v>61237360</v>
      </c>
      <c r="F30" s="215">
        <v>0</v>
      </c>
      <c r="G30" s="216">
        <f t="shared" si="0"/>
        <v>325223490</v>
      </c>
    </row>
    <row r="31" spans="1:7" s="206" customFormat="1" ht="15.95" customHeight="1">
      <c r="A31" s="207">
        <v>60095</v>
      </c>
      <c r="B31" s="208" t="s">
        <v>92</v>
      </c>
      <c r="C31" s="209" t="s">
        <v>103</v>
      </c>
      <c r="D31" s="210">
        <v>499000</v>
      </c>
      <c r="E31" s="211">
        <f>SUM(E32:E51)</f>
        <v>140041</v>
      </c>
      <c r="F31" s="211">
        <f>SUM(F32:F51)</f>
        <v>0</v>
      </c>
      <c r="G31" s="211">
        <f t="shared" si="0"/>
        <v>639041</v>
      </c>
    </row>
    <row r="32" spans="1:7" ht="15.95" customHeight="1">
      <c r="A32" s="212" t="s">
        <v>92</v>
      </c>
      <c r="B32" s="213">
        <v>4018</v>
      </c>
      <c r="C32" s="214" t="s">
        <v>313</v>
      </c>
      <c r="D32" s="215">
        <v>0</v>
      </c>
      <c r="E32" s="216">
        <v>62514</v>
      </c>
      <c r="F32" s="215">
        <v>0</v>
      </c>
      <c r="G32" s="216">
        <f t="shared" si="0"/>
        <v>62514</v>
      </c>
    </row>
    <row r="33" spans="1:7" ht="15.95" customHeight="1">
      <c r="A33" s="212" t="s">
        <v>92</v>
      </c>
      <c r="B33" s="213">
        <v>4019</v>
      </c>
      <c r="C33" s="214" t="s">
        <v>313</v>
      </c>
      <c r="D33" s="215">
        <v>0</v>
      </c>
      <c r="E33" s="216">
        <v>15628</v>
      </c>
      <c r="F33" s="215">
        <v>0</v>
      </c>
      <c r="G33" s="216">
        <f t="shared" si="0"/>
        <v>15628</v>
      </c>
    </row>
    <row r="34" spans="1:7" ht="15.95" customHeight="1">
      <c r="A34" s="212" t="s">
        <v>92</v>
      </c>
      <c r="B34" s="213">
        <v>4118</v>
      </c>
      <c r="C34" s="214" t="s">
        <v>314</v>
      </c>
      <c r="D34" s="215">
        <v>0</v>
      </c>
      <c r="E34" s="216">
        <v>10584</v>
      </c>
      <c r="F34" s="215">
        <v>0</v>
      </c>
      <c r="G34" s="216">
        <f t="shared" si="0"/>
        <v>10584</v>
      </c>
    </row>
    <row r="35" spans="1:7" ht="15.95" customHeight="1">
      <c r="A35" s="212" t="s">
        <v>92</v>
      </c>
      <c r="B35" s="213">
        <v>4119</v>
      </c>
      <c r="C35" s="214" t="s">
        <v>314</v>
      </c>
      <c r="D35" s="215">
        <v>0</v>
      </c>
      <c r="E35" s="216">
        <v>2646</v>
      </c>
      <c r="F35" s="215">
        <v>0</v>
      </c>
      <c r="G35" s="216">
        <f t="shared" si="0"/>
        <v>2646</v>
      </c>
    </row>
    <row r="36" spans="1:7" ht="15.95" customHeight="1">
      <c r="A36" s="212" t="s">
        <v>92</v>
      </c>
      <c r="B36" s="213">
        <v>4128</v>
      </c>
      <c r="C36" s="214" t="s">
        <v>315</v>
      </c>
      <c r="D36" s="215">
        <v>0</v>
      </c>
      <c r="E36" s="216">
        <v>1532</v>
      </c>
      <c r="F36" s="215">
        <v>0</v>
      </c>
      <c r="G36" s="216">
        <f t="shared" si="0"/>
        <v>1532</v>
      </c>
    </row>
    <row r="37" spans="1:7" ht="15.95" customHeight="1">
      <c r="A37" s="212" t="s">
        <v>92</v>
      </c>
      <c r="B37" s="213">
        <v>4129</v>
      </c>
      <c r="C37" s="214" t="s">
        <v>315</v>
      </c>
      <c r="D37" s="215">
        <v>0</v>
      </c>
      <c r="E37" s="216">
        <v>383</v>
      </c>
      <c r="F37" s="215">
        <v>0</v>
      </c>
      <c r="G37" s="216">
        <f t="shared" si="0"/>
        <v>383</v>
      </c>
    </row>
    <row r="38" spans="1:7" ht="15.95" customHeight="1">
      <c r="A38" s="212" t="s">
        <v>92</v>
      </c>
      <c r="B38" s="213">
        <v>4218</v>
      </c>
      <c r="C38" s="214" t="s">
        <v>305</v>
      </c>
      <c r="D38" s="215">
        <v>0</v>
      </c>
      <c r="E38" s="216">
        <v>1600</v>
      </c>
      <c r="F38" s="215">
        <v>0</v>
      </c>
      <c r="G38" s="216">
        <f t="shared" si="0"/>
        <v>1600</v>
      </c>
    </row>
    <row r="39" spans="1:7" ht="15.95" customHeight="1">
      <c r="A39" s="212" t="s">
        <v>92</v>
      </c>
      <c r="B39" s="213">
        <v>4219</v>
      </c>
      <c r="C39" s="214" t="s">
        <v>305</v>
      </c>
      <c r="D39" s="215">
        <v>0</v>
      </c>
      <c r="E39" s="216">
        <v>400</v>
      </c>
      <c r="F39" s="215">
        <v>0</v>
      </c>
      <c r="G39" s="216">
        <f t="shared" si="0"/>
        <v>400</v>
      </c>
    </row>
    <row r="40" spans="1:7" ht="15.95" customHeight="1">
      <c r="A40" s="212" t="s">
        <v>92</v>
      </c>
      <c r="B40" s="213">
        <v>4308</v>
      </c>
      <c r="C40" s="214" t="s">
        <v>307</v>
      </c>
      <c r="D40" s="215">
        <v>0</v>
      </c>
      <c r="E40" s="216">
        <v>18804</v>
      </c>
      <c r="F40" s="215">
        <v>0</v>
      </c>
      <c r="G40" s="216">
        <f t="shared" si="0"/>
        <v>18804</v>
      </c>
    </row>
    <row r="41" spans="1:7" ht="15.95" customHeight="1">
      <c r="A41" s="212" t="s">
        <v>92</v>
      </c>
      <c r="B41" s="213">
        <v>4309</v>
      </c>
      <c r="C41" s="214" t="s">
        <v>307</v>
      </c>
      <c r="D41" s="215">
        <v>0</v>
      </c>
      <c r="E41" s="216">
        <v>4701</v>
      </c>
      <c r="F41" s="215">
        <v>0</v>
      </c>
      <c r="G41" s="216">
        <f t="shared" si="0"/>
        <v>4701</v>
      </c>
    </row>
    <row r="42" spans="1:7" ht="15.95" customHeight="1">
      <c r="A42" s="212" t="s">
        <v>92</v>
      </c>
      <c r="B42" s="213">
        <v>4388</v>
      </c>
      <c r="C42" s="214" t="s">
        <v>316</v>
      </c>
      <c r="D42" s="215">
        <v>0</v>
      </c>
      <c r="E42" s="216">
        <v>2000</v>
      </c>
      <c r="F42" s="215">
        <v>0</v>
      </c>
      <c r="G42" s="216">
        <f t="shared" si="0"/>
        <v>2000</v>
      </c>
    </row>
    <row r="43" spans="1:7" ht="15.95" customHeight="1">
      <c r="A43" s="212" t="s">
        <v>92</v>
      </c>
      <c r="B43" s="213">
        <v>4389</v>
      </c>
      <c r="C43" s="214" t="s">
        <v>316</v>
      </c>
      <c r="D43" s="215">
        <v>0</v>
      </c>
      <c r="E43" s="216">
        <v>500</v>
      </c>
      <c r="F43" s="215">
        <v>0</v>
      </c>
      <c r="G43" s="216">
        <f t="shared" si="0"/>
        <v>500</v>
      </c>
    </row>
    <row r="44" spans="1:7" ht="15.95" customHeight="1">
      <c r="A44" s="212" t="s">
        <v>92</v>
      </c>
      <c r="B44" s="213">
        <v>4418</v>
      </c>
      <c r="C44" s="214" t="s">
        <v>310</v>
      </c>
      <c r="D44" s="215">
        <v>0</v>
      </c>
      <c r="E44" s="216">
        <v>800</v>
      </c>
      <c r="F44" s="215">
        <v>0</v>
      </c>
      <c r="G44" s="216">
        <f t="shared" si="0"/>
        <v>800</v>
      </c>
    </row>
    <row r="45" spans="1:7" ht="15.95" customHeight="1">
      <c r="A45" s="212" t="s">
        <v>92</v>
      </c>
      <c r="B45" s="213">
        <v>4419</v>
      </c>
      <c r="C45" s="214" t="s">
        <v>310</v>
      </c>
      <c r="D45" s="215">
        <v>0</v>
      </c>
      <c r="E45" s="216">
        <v>200</v>
      </c>
      <c r="F45" s="215">
        <v>0</v>
      </c>
      <c r="G45" s="216">
        <f t="shared" si="0"/>
        <v>200</v>
      </c>
    </row>
    <row r="46" spans="1:7" ht="15.95" customHeight="1">
      <c r="A46" s="212" t="s">
        <v>92</v>
      </c>
      <c r="B46" s="213">
        <v>4428</v>
      </c>
      <c r="C46" s="214" t="s">
        <v>311</v>
      </c>
      <c r="D46" s="215">
        <v>0</v>
      </c>
      <c r="E46" s="216">
        <v>13007</v>
      </c>
      <c r="F46" s="215">
        <v>0</v>
      </c>
      <c r="G46" s="216">
        <f t="shared" si="0"/>
        <v>13007</v>
      </c>
    </row>
    <row r="47" spans="1:7" ht="15.95" customHeight="1">
      <c r="A47" s="212" t="s">
        <v>92</v>
      </c>
      <c r="B47" s="213">
        <v>4429</v>
      </c>
      <c r="C47" s="214" t="s">
        <v>311</v>
      </c>
      <c r="D47" s="215">
        <v>0</v>
      </c>
      <c r="E47" s="216">
        <v>3252</v>
      </c>
      <c r="F47" s="215">
        <v>0</v>
      </c>
      <c r="G47" s="216">
        <f t="shared" si="0"/>
        <v>3252</v>
      </c>
    </row>
    <row r="48" spans="1:7" ht="15.95" customHeight="1">
      <c r="A48" s="212" t="s">
        <v>92</v>
      </c>
      <c r="B48" s="213">
        <v>4438</v>
      </c>
      <c r="C48" s="214" t="s">
        <v>317</v>
      </c>
      <c r="D48" s="215">
        <v>0</v>
      </c>
      <c r="E48" s="216">
        <v>254</v>
      </c>
      <c r="F48" s="215">
        <v>0</v>
      </c>
      <c r="G48" s="216">
        <f t="shared" si="0"/>
        <v>254</v>
      </c>
    </row>
    <row r="49" spans="1:7" ht="15.95" customHeight="1">
      <c r="A49" s="212" t="s">
        <v>92</v>
      </c>
      <c r="B49" s="213">
        <v>4439</v>
      </c>
      <c r="C49" s="214" t="s">
        <v>317</v>
      </c>
      <c r="D49" s="215">
        <v>0</v>
      </c>
      <c r="E49" s="216">
        <v>64</v>
      </c>
      <c r="F49" s="215">
        <v>0</v>
      </c>
      <c r="G49" s="216">
        <f t="shared" si="0"/>
        <v>64</v>
      </c>
    </row>
    <row r="50" spans="1:7" ht="15.95" customHeight="1">
      <c r="A50" s="212" t="s">
        <v>92</v>
      </c>
      <c r="B50" s="213">
        <v>4718</v>
      </c>
      <c r="C50" s="214" t="s">
        <v>318</v>
      </c>
      <c r="D50" s="215">
        <v>0</v>
      </c>
      <c r="E50" s="216">
        <v>938</v>
      </c>
      <c r="F50" s="215">
        <v>0</v>
      </c>
      <c r="G50" s="216">
        <f t="shared" si="0"/>
        <v>938</v>
      </c>
    </row>
    <row r="51" spans="1:7" ht="15.95" customHeight="1">
      <c r="A51" s="212" t="s">
        <v>92</v>
      </c>
      <c r="B51" s="213">
        <v>4719</v>
      </c>
      <c r="C51" s="214" t="s">
        <v>318</v>
      </c>
      <c r="D51" s="215">
        <v>0</v>
      </c>
      <c r="E51" s="216">
        <v>234</v>
      </c>
      <c r="F51" s="215">
        <v>0</v>
      </c>
      <c r="G51" s="216">
        <f t="shared" si="0"/>
        <v>234</v>
      </c>
    </row>
    <row r="52" spans="1:7" s="206" customFormat="1" ht="15.95" customHeight="1">
      <c r="A52" s="201" t="s">
        <v>85</v>
      </c>
      <c r="B52" s="202" t="s">
        <v>92</v>
      </c>
      <c r="C52" s="203" t="s">
        <v>86</v>
      </c>
      <c r="D52" s="204">
        <v>2966900</v>
      </c>
      <c r="E52" s="205">
        <f>E53</f>
        <v>100000</v>
      </c>
      <c r="F52" s="205">
        <f>F53</f>
        <v>0</v>
      </c>
      <c r="G52" s="205">
        <f t="shared" si="0"/>
        <v>3066900</v>
      </c>
    </row>
    <row r="53" spans="1:7" s="206" customFormat="1" ht="15.95" customHeight="1">
      <c r="A53" s="207">
        <v>63095</v>
      </c>
      <c r="B53" s="208" t="s">
        <v>92</v>
      </c>
      <c r="C53" s="209" t="s">
        <v>103</v>
      </c>
      <c r="D53" s="210">
        <v>2966900</v>
      </c>
      <c r="E53" s="211">
        <f>E54</f>
        <v>100000</v>
      </c>
      <c r="F53" s="211">
        <f>F54</f>
        <v>0</v>
      </c>
      <c r="G53" s="211">
        <f t="shared" si="0"/>
        <v>3066900</v>
      </c>
    </row>
    <row r="54" spans="1:7" ht="63.75" customHeight="1">
      <c r="A54" s="212" t="s">
        <v>92</v>
      </c>
      <c r="B54" s="213">
        <v>2360</v>
      </c>
      <c r="C54" s="214" t="s">
        <v>319</v>
      </c>
      <c r="D54" s="215">
        <v>250000</v>
      </c>
      <c r="E54" s="216">
        <v>100000</v>
      </c>
      <c r="F54" s="215">
        <v>0</v>
      </c>
      <c r="G54" s="216">
        <f t="shared" si="0"/>
        <v>350000</v>
      </c>
    </row>
    <row r="55" spans="1:7" s="206" customFormat="1" ht="15.95" customHeight="1">
      <c r="A55" s="201" t="s">
        <v>51</v>
      </c>
      <c r="B55" s="202" t="s">
        <v>92</v>
      </c>
      <c r="C55" s="203" t="s">
        <v>52</v>
      </c>
      <c r="D55" s="204">
        <v>23610231</v>
      </c>
      <c r="E55" s="205">
        <f>E56</f>
        <v>50000</v>
      </c>
      <c r="F55" s="205">
        <f>F56</f>
        <v>0</v>
      </c>
      <c r="G55" s="205">
        <f t="shared" si="0"/>
        <v>23660231</v>
      </c>
    </row>
    <row r="56" spans="1:7" s="206" customFormat="1" ht="15.95" customHeight="1">
      <c r="A56" s="201">
        <v>72095</v>
      </c>
      <c r="B56" s="202" t="s">
        <v>92</v>
      </c>
      <c r="C56" s="203" t="s">
        <v>103</v>
      </c>
      <c r="D56" s="204">
        <v>23610231</v>
      </c>
      <c r="E56" s="205">
        <f>E57</f>
        <v>50000</v>
      </c>
      <c r="F56" s="205">
        <f>F57</f>
        <v>0</v>
      </c>
      <c r="G56" s="205">
        <f t="shared" si="0"/>
        <v>23660231</v>
      </c>
    </row>
    <row r="57" spans="1:7" ht="15.95" customHeight="1">
      <c r="A57" s="256" t="s">
        <v>92</v>
      </c>
      <c r="B57" s="257">
        <v>4210</v>
      </c>
      <c r="C57" s="258" t="s">
        <v>305</v>
      </c>
      <c r="D57" s="259">
        <v>15000</v>
      </c>
      <c r="E57" s="260">
        <v>50000</v>
      </c>
      <c r="F57" s="259">
        <v>0</v>
      </c>
      <c r="G57" s="260">
        <f t="shared" si="0"/>
        <v>65000</v>
      </c>
    </row>
    <row r="58" spans="1:7" s="206" customFormat="1" ht="15.95" customHeight="1">
      <c r="A58" s="201" t="s">
        <v>53</v>
      </c>
      <c r="B58" s="202" t="s">
        <v>92</v>
      </c>
      <c r="C58" s="203" t="s">
        <v>54</v>
      </c>
      <c r="D58" s="204">
        <v>301451543.63999999</v>
      </c>
      <c r="E58" s="205">
        <f>E59+E72+E83</f>
        <v>13651235</v>
      </c>
      <c r="F58" s="205">
        <f>F59+F72+F83</f>
        <v>2932353</v>
      </c>
      <c r="G58" s="205">
        <f t="shared" si="0"/>
        <v>312170425.63999999</v>
      </c>
    </row>
    <row r="59" spans="1:7" s="206" customFormat="1" ht="15.95" customHeight="1">
      <c r="A59" s="207">
        <v>75018</v>
      </c>
      <c r="B59" s="208" t="s">
        <v>92</v>
      </c>
      <c r="C59" s="209" t="s">
        <v>205</v>
      </c>
      <c r="D59" s="210">
        <v>216224072.63999999</v>
      </c>
      <c r="E59" s="211">
        <f>SUM(E60:E71)</f>
        <v>320000</v>
      </c>
      <c r="F59" s="211">
        <f>SUM(F60:F71)</f>
        <v>2932353</v>
      </c>
      <c r="G59" s="211">
        <f t="shared" si="0"/>
        <v>213611719.63999999</v>
      </c>
    </row>
    <row r="60" spans="1:7" ht="15.95" customHeight="1">
      <c r="A60" s="212" t="s">
        <v>92</v>
      </c>
      <c r="B60" s="213">
        <v>4018</v>
      </c>
      <c r="C60" s="214" t="s">
        <v>313</v>
      </c>
      <c r="D60" s="215">
        <v>36573579</v>
      </c>
      <c r="E60" s="216">
        <v>0</v>
      </c>
      <c r="F60" s="215">
        <v>2026803</v>
      </c>
      <c r="G60" s="216">
        <f t="shared" si="0"/>
        <v>34546776</v>
      </c>
    </row>
    <row r="61" spans="1:7" ht="15.95" customHeight="1">
      <c r="A61" s="212" t="s">
        <v>92</v>
      </c>
      <c r="B61" s="213">
        <v>4019</v>
      </c>
      <c r="C61" s="214" t="s">
        <v>313</v>
      </c>
      <c r="D61" s="215">
        <v>6454159</v>
      </c>
      <c r="E61" s="216">
        <v>0</v>
      </c>
      <c r="F61" s="215">
        <v>357671</v>
      </c>
      <c r="G61" s="216">
        <f t="shared" si="0"/>
        <v>6096488</v>
      </c>
    </row>
    <row r="62" spans="1:7" ht="15.95" customHeight="1">
      <c r="A62" s="212" t="s">
        <v>92</v>
      </c>
      <c r="B62" s="213">
        <v>4118</v>
      </c>
      <c r="C62" s="214" t="s">
        <v>314</v>
      </c>
      <c r="D62" s="215">
        <v>8480004</v>
      </c>
      <c r="E62" s="216">
        <v>0</v>
      </c>
      <c r="F62" s="215">
        <v>343138</v>
      </c>
      <c r="G62" s="216">
        <f t="shared" si="0"/>
        <v>8136866</v>
      </c>
    </row>
    <row r="63" spans="1:7" ht="15.95" customHeight="1">
      <c r="A63" s="212" t="s">
        <v>92</v>
      </c>
      <c r="B63" s="213">
        <v>4119</v>
      </c>
      <c r="C63" s="214" t="s">
        <v>314</v>
      </c>
      <c r="D63" s="215">
        <v>1496472</v>
      </c>
      <c r="E63" s="216">
        <v>0</v>
      </c>
      <c r="F63" s="215">
        <v>60554</v>
      </c>
      <c r="G63" s="216">
        <f t="shared" si="0"/>
        <v>1435918</v>
      </c>
    </row>
    <row r="64" spans="1:7" ht="15.95" customHeight="1">
      <c r="A64" s="212" t="s">
        <v>92</v>
      </c>
      <c r="B64" s="213">
        <v>4128</v>
      </c>
      <c r="C64" s="214" t="s">
        <v>315</v>
      </c>
      <c r="D64" s="215">
        <v>1209569</v>
      </c>
      <c r="E64" s="216">
        <v>0</v>
      </c>
      <c r="F64" s="215">
        <v>49657</v>
      </c>
      <c r="G64" s="216">
        <f t="shared" si="0"/>
        <v>1159912</v>
      </c>
    </row>
    <row r="65" spans="1:7" ht="15.95" customHeight="1">
      <c r="A65" s="212" t="s">
        <v>92</v>
      </c>
      <c r="B65" s="213">
        <v>4129</v>
      </c>
      <c r="C65" s="214" t="s">
        <v>315</v>
      </c>
      <c r="D65" s="215">
        <v>213454</v>
      </c>
      <c r="E65" s="216">
        <v>0</v>
      </c>
      <c r="F65" s="215">
        <v>8763</v>
      </c>
      <c r="G65" s="216">
        <f t="shared" si="0"/>
        <v>204691</v>
      </c>
    </row>
    <row r="66" spans="1:7" ht="15.95" customHeight="1">
      <c r="A66" s="212" t="s">
        <v>92</v>
      </c>
      <c r="B66" s="213">
        <v>4420</v>
      </c>
      <c r="C66" s="214" t="s">
        <v>311</v>
      </c>
      <c r="D66" s="215">
        <v>400000</v>
      </c>
      <c r="E66" s="216">
        <v>50000</v>
      </c>
      <c r="F66" s="215">
        <v>0</v>
      </c>
      <c r="G66" s="216">
        <f t="shared" si="0"/>
        <v>450000</v>
      </c>
    </row>
    <row r="67" spans="1:7" ht="15.95" customHeight="1">
      <c r="A67" s="212" t="s">
        <v>92</v>
      </c>
      <c r="B67" s="213">
        <v>4430</v>
      </c>
      <c r="C67" s="214" t="s">
        <v>317</v>
      </c>
      <c r="D67" s="215">
        <v>325000</v>
      </c>
      <c r="E67" s="216">
        <v>0</v>
      </c>
      <c r="F67" s="215">
        <v>50000</v>
      </c>
      <c r="G67" s="216">
        <f t="shared" si="0"/>
        <v>275000</v>
      </c>
    </row>
    <row r="68" spans="1:7" ht="15.95" customHeight="1">
      <c r="A68" s="212" t="s">
        <v>92</v>
      </c>
      <c r="B68" s="213">
        <v>4610</v>
      </c>
      <c r="C68" s="214" t="s">
        <v>320</v>
      </c>
      <c r="D68" s="215">
        <v>59600</v>
      </c>
      <c r="E68" s="216">
        <v>200000</v>
      </c>
      <c r="F68" s="215">
        <v>0</v>
      </c>
      <c r="G68" s="216">
        <f t="shared" si="0"/>
        <v>259600</v>
      </c>
    </row>
    <row r="69" spans="1:7" ht="15.95" customHeight="1">
      <c r="A69" s="212" t="s">
        <v>92</v>
      </c>
      <c r="B69" s="213">
        <v>4718</v>
      </c>
      <c r="C69" s="214" t="s">
        <v>318</v>
      </c>
      <c r="D69" s="215">
        <v>246565</v>
      </c>
      <c r="E69" s="216">
        <v>0</v>
      </c>
      <c r="F69" s="215">
        <v>30402</v>
      </c>
      <c r="G69" s="216">
        <f t="shared" si="0"/>
        <v>216163</v>
      </c>
    </row>
    <row r="70" spans="1:7" ht="15.95" customHeight="1">
      <c r="A70" s="212" t="s">
        <v>92</v>
      </c>
      <c r="B70" s="213">
        <v>4719</v>
      </c>
      <c r="C70" s="214" t="s">
        <v>318</v>
      </c>
      <c r="D70" s="215">
        <v>43512</v>
      </c>
      <c r="E70" s="216">
        <v>0</v>
      </c>
      <c r="F70" s="215">
        <v>5365</v>
      </c>
      <c r="G70" s="216">
        <f t="shared" si="0"/>
        <v>38147</v>
      </c>
    </row>
    <row r="71" spans="1:7" ht="15.95" customHeight="1">
      <c r="A71" s="212" t="s">
        <v>92</v>
      </c>
      <c r="B71" s="213">
        <v>6060</v>
      </c>
      <c r="C71" s="214" t="s">
        <v>321</v>
      </c>
      <c r="D71" s="215">
        <v>1275000</v>
      </c>
      <c r="E71" s="216">
        <v>70000</v>
      </c>
      <c r="F71" s="215">
        <v>0</v>
      </c>
      <c r="G71" s="216">
        <f t="shared" si="0"/>
        <v>1345000</v>
      </c>
    </row>
    <row r="72" spans="1:7" s="206" customFormat="1" ht="15.95" customHeight="1">
      <c r="A72" s="207">
        <v>75075</v>
      </c>
      <c r="B72" s="208" t="s">
        <v>92</v>
      </c>
      <c r="C72" s="209" t="s">
        <v>209</v>
      </c>
      <c r="D72" s="210">
        <v>61565000</v>
      </c>
      <c r="E72" s="211">
        <f>SUM(E73:E82)</f>
        <v>8754297</v>
      </c>
      <c r="F72" s="211">
        <f>SUM(F73:F82)</f>
        <v>0</v>
      </c>
      <c r="G72" s="211">
        <f t="shared" si="0"/>
        <v>70319297</v>
      </c>
    </row>
    <row r="73" spans="1:7" ht="15.95" customHeight="1">
      <c r="A73" s="212" t="s">
        <v>92</v>
      </c>
      <c r="B73" s="213">
        <v>4017</v>
      </c>
      <c r="C73" s="214" t="s">
        <v>313</v>
      </c>
      <c r="D73" s="215">
        <v>126300</v>
      </c>
      <c r="E73" s="216">
        <v>33262</v>
      </c>
      <c r="F73" s="215">
        <v>0</v>
      </c>
      <c r="G73" s="216">
        <f t="shared" si="0"/>
        <v>159562</v>
      </c>
    </row>
    <row r="74" spans="1:7" ht="15.95" customHeight="1">
      <c r="A74" s="212" t="s">
        <v>92</v>
      </c>
      <c r="B74" s="213">
        <v>4019</v>
      </c>
      <c r="C74" s="214" t="s">
        <v>313</v>
      </c>
      <c r="D74" s="215">
        <v>22289</v>
      </c>
      <c r="E74" s="216">
        <v>5870</v>
      </c>
      <c r="F74" s="215">
        <v>0</v>
      </c>
      <c r="G74" s="216">
        <f t="shared" si="0"/>
        <v>28159</v>
      </c>
    </row>
    <row r="75" spans="1:7" ht="15.95" customHeight="1">
      <c r="A75" s="212" t="s">
        <v>92</v>
      </c>
      <c r="B75" s="213">
        <v>4117</v>
      </c>
      <c r="C75" s="214" t="s">
        <v>314</v>
      </c>
      <c r="D75" s="215">
        <v>21711</v>
      </c>
      <c r="E75" s="216">
        <v>9572</v>
      </c>
      <c r="F75" s="215">
        <v>0</v>
      </c>
      <c r="G75" s="216">
        <f t="shared" si="0"/>
        <v>31283</v>
      </c>
    </row>
    <row r="76" spans="1:7" ht="15.95" customHeight="1">
      <c r="A76" s="212" t="s">
        <v>92</v>
      </c>
      <c r="B76" s="213">
        <v>4119</v>
      </c>
      <c r="C76" s="214" t="s">
        <v>314</v>
      </c>
      <c r="D76" s="215">
        <v>3831</v>
      </c>
      <c r="E76" s="216">
        <v>1688</v>
      </c>
      <c r="F76" s="215">
        <v>0</v>
      </c>
      <c r="G76" s="216">
        <f t="shared" ref="G76:G139" si="1">D76+E76-F76</f>
        <v>5519</v>
      </c>
    </row>
    <row r="77" spans="1:7" ht="15.95" customHeight="1">
      <c r="A77" s="212" t="s">
        <v>92</v>
      </c>
      <c r="B77" s="213">
        <v>4127</v>
      </c>
      <c r="C77" s="214" t="s">
        <v>315</v>
      </c>
      <c r="D77" s="215">
        <v>3094</v>
      </c>
      <c r="E77" s="216">
        <v>1379</v>
      </c>
      <c r="F77" s="215">
        <v>0</v>
      </c>
      <c r="G77" s="216">
        <f t="shared" si="1"/>
        <v>4473</v>
      </c>
    </row>
    <row r="78" spans="1:7" ht="15.95" customHeight="1">
      <c r="A78" s="212" t="s">
        <v>92</v>
      </c>
      <c r="B78" s="213">
        <v>4129</v>
      </c>
      <c r="C78" s="214" t="s">
        <v>315</v>
      </c>
      <c r="D78" s="215">
        <v>546</v>
      </c>
      <c r="E78" s="216">
        <v>243</v>
      </c>
      <c r="F78" s="215">
        <v>0</v>
      </c>
      <c r="G78" s="216">
        <f t="shared" si="1"/>
        <v>789</v>
      </c>
    </row>
    <row r="79" spans="1:7" ht="15.95" customHeight="1">
      <c r="A79" s="212" t="s">
        <v>92</v>
      </c>
      <c r="B79" s="213">
        <v>4307</v>
      </c>
      <c r="C79" s="214" t="s">
        <v>307</v>
      </c>
      <c r="D79" s="215">
        <v>22852250</v>
      </c>
      <c r="E79" s="216">
        <v>7395083</v>
      </c>
      <c r="F79" s="215">
        <v>0</v>
      </c>
      <c r="G79" s="216">
        <f t="shared" si="1"/>
        <v>30247333</v>
      </c>
    </row>
    <row r="80" spans="1:7" ht="15.95" customHeight="1">
      <c r="A80" s="212" t="s">
        <v>92</v>
      </c>
      <c r="B80" s="213">
        <v>4309</v>
      </c>
      <c r="C80" s="214" t="s">
        <v>307</v>
      </c>
      <c r="D80" s="215">
        <v>4032750</v>
      </c>
      <c r="E80" s="216">
        <v>1305017</v>
      </c>
      <c r="F80" s="215">
        <v>0</v>
      </c>
      <c r="G80" s="216">
        <f t="shared" si="1"/>
        <v>5337767</v>
      </c>
    </row>
    <row r="81" spans="1:7" ht="15.95" customHeight="1">
      <c r="A81" s="212" t="s">
        <v>92</v>
      </c>
      <c r="B81" s="213">
        <v>4717</v>
      </c>
      <c r="C81" s="214" t="s">
        <v>318</v>
      </c>
      <c r="D81" s="215">
        <v>1895</v>
      </c>
      <c r="E81" s="216">
        <v>1856</v>
      </c>
      <c r="F81" s="215">
        <v>0</v>
      </c>
      <c r="G81" s="216">
        <f t="shared" si="1"/>
        <v>3751</v>
      </c>
    </row>
    <row r="82" spans="1:7" ht="15.95" customHeight="1">
      <c r="A82" s="212" t="s">
        <v>92</v>
      </c>
      <c r="B82" s="213">
        <v>4719</v>
      </c>
      <c r="C82" s="214" t="s">
        <v>318</v>
      </c>
      <c r="D82" s="215">
        <v>334</v>
      </c>
      <c r="E82" s="216">
        <v>327</v>
      </c>
      <c r="F82" s="215">
        <v>0</v>
      </c>
      <c r="G82" s="216">
        <f t="shared" si="1"/>
        <v>661</v>
      </c>
    </row>
    <row r="83" spans="1:7" s="206" customFormat="1" ht="15.95" customHeight="1">
      <c r="A83" s="207">
        <v>75095</v>
      </c>
      <c r="B83" s="208" t="s">
        <v>92</v>
      </c>
      <c r="C83" s="209" t="s">
        <v>103</v>
      </c>
      <c r="D83" s="210">
        <v>20062971</v>
      </c>
      <c r="E83" s="211">
        <f>SUM(E84:E98)</f>
        <v>4576938</v>
      </c>
      <c r="F83" s="211">
        <f>SUM(F84:F98)</f>
        <v>0</v>
      </c>
      <c r="G83" s="211">
        <f t="shared" si="1"/>
        <v>24639909</v>
      </c>
    </row>
    <row r="84" spans="1:7" ht="15.95" customHeight="1">
      <c r="A84" s="212" t="s">
        <v>92</v>
      </c>
      <c r="B84" s="213">
        <v>3028</v>
      </c>
      <c r="C84" s="214" t="s">
        <v>322</v>
      </c>
      <c r="D84" s="215">
        <v>478</v>
      </c>
      <c r="E84" s="216">
        <v>319</v>
      </c>
      <c r="F84" s="215">
        <v>0</v>
      </c>
      <c r="G84" s="216">
        <f t="shared" si="1"/>
        <v>797</v>
      </c>
    </row>
    <row r="85" spans="1:7" ht="15.95" customHeight="1">
      <c r="A85" s="212" t="s">
        <v>92</v>
      </c>
      <c r="B85" s="213">
        <v>3029</v>
      </c>
      <c r="C85" s="214" t="s">
        <v>322</v>
      </c>
      <c r="D85" s="215">
        <v>122</v>
      </c>
      <c r="E85" s="216">
        <v>81</v>
      </c>
      <c r="F85" s="215">
        <v>0</v>
      </c>
      <c r="G85" s="216">
        <f t="shared" si="1"/>
        <v>203</v>
      </c>
    </row>
    <row r="86" spans="1:7" ht="15.95" customHeight="1">
      <c r="A86" s="212" t="s">
        <v>92</v>
      </c>
      <c r="B86" s="213">
        <v>4018</v>
      </c>
      <c r="C86" s="214" t="s">
        <v>313</v>
      </c>
      <c r="D86" s="215">
        <v>888894</v>
      </c>
      <c r="E86" s="216">
        <v>166225</v>
      </c>
      <c r="F86" s="215">
        <v>0</v>
      </c>
      <c r="G86" s="216">
        <f t="shared" si="1"/>
        <v>1055119</v>
      </c>
    </row>
    <row r="87" spans="1:7" ht="15.95" customHeight="1">
      <c r="A87" s="212" t="s">
        <v>92</v>
      </c>
      <c r="B87" s="213">
        <v>4019</v>
      </c>
      <c r="C87" s="214" t="s">
        <v>313</v>
      </c>
      <c r="D87" s="215">
        <v>226266</v>
      </c>
      <c r="E87" s="216">
        <v>42313</v>
      </c>
      <c r="F87" s="215">
        <v>0</v>
      </c>
      <c r="G87" s="216">
        <f t="shared" si="1"/>
        <v>268579</v>
      </c>
    </row>
    <row r="88" spans="1:7" ht="15.95" customHeight="1">
      <c r="A88" s="212" t="s">
        <v>92</v>
      </c>
      <c r="B88" s="213">
        <v>4118</v>
      </c>
      <c r="C88" s="214" t="s">
        <v>314</v>
      </c>
      <c r="D88" s="215">
        <v>164853</v>
      </c>
      <c r="E88" s="216">
        <v>42246</v>
      </c>
      <c r="F88" s="215">
        <v>0</v>
      </c>
      <c r="G88" s="216">
        <f t="shared" si="1"/>
        <v>207099</v>
      </c>
    </row>
    <row r="89" spans="1:7" ht="15.95" customHeight="1">
      <c r="A89" s="212" t="s">
        <v>92</v>
      </c>
      <c r="B89" s="213">
        <v>4119</v>
      </c>
      <c r="C89" s="214" t="s">
        <v>314</v>
      </c>
      <c r="D89" s="215">
        <v>41962</v>
      </c>
      <c r="E89" s="216">
        <v>10754</v>
      </c>
      <c r="F89" s="215">
        <v>0</v>
      </c>
      <c r="G89" s="216">
        <f t="shared" si="1"/>
        <v>52716</v>
      </c>
    </row>
    <row r="90" spans="1:7" ht="15.95" customHeight="1">
      <c r="A90" s="212" t="s">
        <v>92</v>
      </c>
      <c r="B90" s="213">
        <v>4128</v>
      </c>
      <c r="C90" s="214" t="s">
        <v>315</v>
      </c>
      <c r="D90" s="215">
        <v>18439</v>
      </c>
      <c r="E90" s="216">
        <v>6377</v>
      </c>
      <c r="F90" s="215">
        <v>0</v>
      </c>
      <c r="G90" s="216">
        <f t="shared" si="1"/>
        <v>24816</v>
      </c>
    </row>
    <row r="91" spans="1:7" ht="15.95" customHeight="1">
      <c r="A91" s="212" t="s">
        <v>92</v>
      </c>
      <c r="B91" s="213">
        <v>4129</v>
      </c>
      <c r="C91" s="214" t="s">
        <v>315</v>
      </c>
      <c r="D91" s="215">
        <v>4694</v>
      </c>
      <c r="E91" s="216">
        <v>1623</v>
      </c>
      <c r="F91" s="215">
        <v>0</v>
      </c>
      <c r="G91" s="216">
        <f t="shared" si="1"/>
        <v>6317</v>
      </c>
    </row>
    <row r="92" spans="1:7" ht="15.95" customHeight="1">
      <c r="A92" s="212" t="s">
        <v>92</v>
      </c>
      <c r="B92" s="213">
        <v>4218</v>
      </c>
      <c r="C92" s="214" t="s">
        <v>305</v>
      </c>
      <c r="D92" s="215">
        <v>7174</v>
      </c>
      <c r="E92" s="216">
        <v>8768</v>
      </c>
      <c r="F92" s="215">
        <v>0</v>
      </c>
      <c r="G92" s="216">
        <f t="shared" si="1"/>
        <v>15942</v>
      </c>
    </row>
    <row r="93" spans="1:7" ht="15.95" customHeight="1">
      <c r="A93" s="212" t="s">
        <v>92</v>
      </c>
      <c r="B93" s="213">
        <v>4219</v>
      </c>
      <c r="C93" s="214" t="s">
        <v>305</v>
      </c>
      <c r="D93" s="215">
        <v>1826</v>
      </c>
      <c r="E93" s="216">
        <v>2232</v>
      </c>
      <c r="F93" s="215">
        <v>0</v>
      </c>
      <c r="G93" s="216">
        <f t="shared" si="1"/>
        <v>4058</v>
      </c>
    </row>
    <row r="94" spans="1:7" ht="15.95" customHeight="1">
      <c r="A94" s="212" t="s">
        <v>92</v>
      </c>
      <c r="B94" s="213">
        <v>4300</v>
      </c>
      <c r="C94" s="214" t="s">
        <v>307</v>
      </c>
      <c r="D94" s="215">
        <v>6148800</v>
      </c>
      <c r="E94" s="216">
        <v>4270000</v>
      </c>
      <c r="F94" s="215">
        <v>0</v>
      </c>
      <c r="G94" s="216">
        <f t="shared" si="1"/>
        <v>10418800</v>
      </c>
    </row>
    <row r="95" spans="1:7" ht="15.95" customHeight="1">
      <c r="A95" s="212" t="s">
        <v>92</v>
      </c>
      <c r="B95" s="213">
        <v>4308</v>
      </c>
      <c r="C95" s="214" t="s">
        <v>307</v>
      </c>
      <c r="D95" s="215">
        <v>249133</v>
      </c>
      <c r="E95" s="216">
        <v>7971</v>
      </c>
      <c r="F95" s="215">
        <v>0</v>
      </c>
      <c r="G95" s="216">
        <f t="shared" si="1"/>
        <v>257104</v>
      </c>
    </row>
    <row r="96" spans="1:7" ht="15.95" customHeight="1">
      <c r="A96" s="212" t="s">
        <v>92</v>
      </c>
      <c r="B96" s="213">
        <v>4309</v>
      </c>
      <c r="C96" s="214" t="s">
        <v>307</v>
      </c>
      <c r="D96" s="215">
        <v>63417</v>
      </c>
      <c r="E96" s="216">
        <v>2029</v>
      </c>
      <c r="F96" s="215">
        <v>0</v>
      </c>
      <c r="G96" s="216">
        <f t="shared" si="1"/>
        <v>65446</v>
      </c>
    </row>
    <row r="97" spans="1:7" ht="15.95" customHeight="1">
      <c r="A97" s="212" t="s">
        <v>92</v>
      </c>
      <c r="B97" s="213">
        <v>4368</v>
      </c>
      <c r="C97" s="214" t="s">
        <v>323</v>
      </c>
      <c r="D97" s="215">
        <v>2790</v>
      </c>
      <c r="E97" s="216">
        <v>12754</v>
      </c>
      <c r="F97" s="215">
        <v>0</v>
      </c>
      <c r="G97" s="216">
        <f t="shared" si="1"/>
        <v>15544</v>
      </c>
    </row>
    <row r="98" spans="1:7" ht="15.95" customHeight="1">
      <c r="A98" s="212" t="s">
        <v>92</v>
      </c>
      <c r="B98" s="213">
        <v>4369</v>
      </c>
      <c r="C98" s="214" t="s">
        <v>323</v>
      </c>
      <c r="D98" s="215">
        <v>710</v>
      </c>
      <c r="E98" s="216">
        <v>3246</v>
      </c>
      <c r="F98" s="215">
        <v>0</v>
      </c>
      <c r="G98" s="216">
        <f t="shared" si="1"/>
        <v>3956</v>
      </c>
    </row>
    <row r="99" spans="1:7" s="206" customFormat="1" ht="15.95" customHeight="1">
      <c r="A99" s="201" t="s">
        <v>59</v>
      </c>
      <c r="B99" s="202" t="s">
        <v>92</v>
      </c>
      <c r="C99" s="203" t="s">
        <v>60</v>
      </c>
      <c r="D99" s="204">
        <v>169669932</v>
      </c>
      <c r="E99" s="205">
        <f>E100+E102+E117+E121+E119</f>
        <v>2785453</v>
      </c>
      <c r="F99" s="205">
        <f>F100+F102+F117+F121+F119</f>
        <v>46571</v>
      </c>
      <c r="G99" s="205">
        <f t="shared" si="1"/>
        <v>172408814</v>
      </c>
    </row>
    <row r="100" spans="1:7" s="206" customFormat="1" ht="15.95" customHeight="1">
      <c r="A100" s="207">
        <v>80102</v>
      </c>
      <c r="B100" s="208" t="s">
        <v>92</v>
      </c>
      <c r="C100" s="209" t="s">
        <v>225</v>
      </c>
      <c r="D100" s="210">
        <v>45946039</v>
      </c>
      <c r="E100" s="211">
        <f>E101</f>
        <v>998358</v>
      </c>
      <c r="F100" s="211">
        <f>F101</f>
        <v>0</v>
      </c>
      <c r="G100" s="211">
        <f t="shared" si="1"/>
        <v>46944397</v>
      </c>
    </row>
    <row r="101" spans="1:7" ht="15.95" customHeight="1">
      <c r="A101" s="212" t="s">
        <v>92</v>
      </c>
      <c r="B101" s="213">
        <v>4790</v>
      </c>
      <c r="C101" s="214" t="s">
        <v>324</v>
      </c>
      <c r="D101" s="215">
        <v>31676005</v>
      </c>
      <c r="E101" s="216">
        <v>998358</v>
      </c>
      <c r="F101" s="215">
        <v>0</v>
      </c>
      <c r="G101" s="216">
        <f t="shared" si="1"/>
        <v>32674363</v>
      </c>
    </row>
    <row r="102" spans="1:7" s="206" customFormat="1" ht="15.95" customHeight="1">
      <c r="A102" s="207">
        <v>80104</v>
      </c>
      <c r="B102" s="208" t="s">
        <v>92</v>
      </c>
      <c r="C102" s="209" t="s">
        <v>325</v>
      </c>
      <c r="D102" s="210">
        <v>931008</v>
      </c>
      <c r="E102" s="211">
        <f>SUM(E103:E116)</f>
        <v>709916</v>
      </c>
      <c r="F102" s="211">
        <f>SUM(F103:F116)</f>
        <v>0</v>
      </c>
      <c r="G102" s="211">
        <f t="shared" si="1"/>
        <v>1640924</v>
      </c>
    </row>
    <row r="103" spans="1:7" ht="72.95" customHeight="1">
      <c r="A103" s="212" t="s">
        <v>92</v>
      </c>
      <c r="B103" s="213">
        <v>2057</v>
      </c>
      <c r="C103" s="214" t="s">
        <v>111</v>
      </c>
      <c r="D103" s="215">
        <v>0</v>
      </c>
      <c r="E103" s="216">
        <v>420924</v>
      </c>
      <c r="F103" s="215">
        <v>0</v>
      </c>
      <c r="G103" s="216">
        <f t="shared" si="1"/>
        <v>420924</v>
      </c>
    </row>
    <row r="104" spans="1:7" ht="72.95" customHeight="1">
      <c r="A104" s="212" t="s">
        <v>92</v>
      </c>
      <c r="B104" s="213">
        <v>2059</v>
      </c>
      <c r="C104" s="214" t="s">
        <v>111</v>
      </c>
      <c r="D104" s="215">
        <v>0</v>
      </c>
      <c r="E104" s="216">
        <v>24761</v>
      </c>
      <c r="F104" s="215">
        <v>0</v>
      </c>
      <c r="G104" s="216">
        <f t="shared" si="1"/>
        <v>24761</v>
      </c>
    </row>
    <row r="105" spans="1:7" ht="15.95" customHeight="1">
      <c r="A105" s="212" t="s">
        <v>92</v>
      </c>
      <c r="B105" s="213">
        <v>4017</v>
      </c>
      <c r="C105" s="214" t="s">
        <v>313</v>
      </c>
      <c r="D105" s="215">
        <v>50339</v>
      </c>
      <c r="E105" s="216">
        <v>67278</v>
      </c>
      <c r="F105" s="215">
        <v>0</v>
      </c>
      <c r="G105" s="216">
        <f t="shared" si="1"/>
        <v>117617</v>
      </c>
    </row>
    <row r="106" spans="1:7" ht="15.95" customHeight="1">
      <c r="A106" s="212" t="s">
        <v>92</v>
      </c>
      <c r="B106" s="213">
        <v>4019</v>
      </c>
      <c r="C106" s="214" t="s">
        <v>313</v>
      </c>
      <c r="D106" s="215">
        <v>2962</v>
      </c>
      <c r="E106" s="216">
        <v>3956</v>
      </c>
      <c r="F106" s="215">
        <v>0</v>
      </c>
      <c r="G106" s="216">
        <f t="shared" si="1"/>
        <v>6918</v>
      </c>
    </row>
    <row r="107" spans="1:7" ht="15.95" customHeight="1">
      <c r="A107" s="212" t="s">
        <v>92</v>
      </c>
      <c r="B107" s="213">
        <v>4117</v>
      </c>
      <c r="C107" s="214" t="s">
        <v>314</v>
      </c>
      <c r="D107" s="215">
        <v>9859</v>
      </c>
      <c r="E107" s="216">
        <v>21060</v>
      </c>
      <c r="F107" s="215">
        <v>0</v>
      </c>
      <c r="G107" s="216">
        <f t="shared" si="1"/>
        <v>30919</v>
      </c>
    </row>
    <row r="108" spans="1:7" ht="15.95" customHeight="1">
      <c r="A108" s="212" t="s">
        <v>92</v>
      </c>
      <c r="B108" s="213">
        <v>4119</v>
      </c>
      <c r="C108" s="214" t="s">
        <v>314</v>
      </c>
      <c r="D108" s="215">
        <v>580</v>
      </c>
      <c r="E108" s="216">
        <v>1239</v>
      </c>
      <c r="F108" s="215">
        <v>0</v>
      </c>
      <c r="G108" s="216">
        <f t="shared" si="1"/>
        <v>1819</v>
      </c>
    </row>
    <row r="109" spans="1:7" ht="15.95" customHeight="1">
      <c r="A109" s="212" t="s">
        <v>92</v>
      </c>
      <c r="B109" s="213">
        <v>4127</v>
      </c>
      <c r="C109" s="214" t="s">
        <v>315</v>
      </c>
      <c r="D109" s="215">
        <v>1405</v>
      </c>
      <c r="E109" s="216">
        <v>2431</v>
      </c>
      <c r="F109" s="215">
        <v>0</v>
      </c>
      <c r="G109" s="216">
        <f t="shared" si="1"/>
        <v>3836</v>
      </c>
    </row>
    <row r="110" spans="1:7" ht="15.95" customHeight="1">
      <c r="A110" s="218" t="s">
        <v>92</v>
      </c>
      <c r="B110" s="219">
        <v>4129</v>
      </c>
      <c r="C110" s="220" t="s">
        <v>315</v>
      </c>
      <c r="D110" s="221">
        <v>82</v>
      </c>
      <c r="E110" s="222">
        <v>143</v>
      </c>
      <c r="F110" s="221">
        <v>0</v>
      </c>
      <c r="G110" s="222">
        <f t="shared" si="1"/>
        <v>225</v>
      </c>
    </row>
    <row r="111" spans="1:7" ht="15.95" customHeight="1">
      <c r="A111" s="212" t="s">
        <v>92</v>
      </c>
      <c r="B111" s="213">
        <v>4217</v>
      </c>
      <c r="C111" s="214" t="s">
        <v>305</v>
      </c>
      <c r="D111" s="215">
        <v>25500</v>
      </c>
      <c r="E111" s="216">
        <v>59500</v>
      </c>
      <c r="F111" s="215">
        <v>0</v>
      </c>
      <c r="G111" s="216">
        <f t="shared" si="1"/>
        <v>85000</v>
      </c>
    </row>
    <row r="112" spans="1:7" ht="15.95" customHeight="1">
      <c r="A112" s="212" t="s">
        <v>92</v>
      </c>
      <c r="B112" s="213">
        <v>4219</v>
      </c>
      <c r="C112" s="214" t="s">
        <v>305</v>
      </c>
      <c r="D112" s="215">
        <v>1500</v>
      </c>
      <c r="E112" s="216">
        <v>3500</v>
      </c>
      <c r="F112" s="215">
        <v>0</v>
      </c>
      <c r="G112" s="216">
        <f t="shared" si="1"/>
        <v>5000</v>
      </c>
    </row>
    <row r="113" spans="1:7" ht="15.95" customHeight="1">
      <c r="A113" s="212" t="s">
        <v>92</v>
      </c>
      <c r="B113" s="213">
        <v>4307</v>
      </c>
      <c r="C113" s="214" t="s">
        <v>307</v>
      </c>
      <c r="D113" s="215">
        <v>784305</v>
      </c>
      <c r="E113" s="216">
        <v>98504</v>
      </c>
      <c r="F113" s="215">
        <v>0</v>
      </c>
      <c r="G113" s="216">
        <f t="shared" si="1"/>
        <v>882809</v>
      </c>
    </row>
    <row r="114" spans="1:7" ht="15.95" customHeight="1">
      <c r="A114" s="212" t="s">
        <v>92</v>
      </c>
      <c r="B114" s="213">
        <v>4309</v>
      </c>
      <c r="C114" s="214" t="s">
        <v>307</v>
      </c>
      <c r="D114" s="215">
        <v>46135</v>
      </c>
      <c r="E114" s="216">
        <v>5796</v>
      </c>
      <c r="F114" s="215">
        <v>0</v>
      </c>
      <c r="G114" s="216">
        <f t="shared" si="1"/>
        <v>51931</v>
      </c>
    </row>
    <row r="115" spans="1:7" ht="15.95" customHeight="1">
      <c r="A115" s="212" t="s">
        <v>92</v>
      </c>
      <c r="B115" s="213">
        <v>4717</v>
      </c>
      <c r="C115" s="214" t="s">
        <v>318</v>
      </c>
      <c r="D115" s="215">
        <v>860</v>
      </c>
      <c r="E115" s="216">
        <v>779</v>
      </c>
      <c r="F115" s="215">
        <v>0</v>
      </c>
      <c r="G115" s="216">
        <f t="shared" si="1"/>
        <v>1639</v>
      </c>
    </row>
    <row r="116" spans="1:7" ht="15.95" customHeight="1">
      <c r="A116" s="212" t="s">
        <v>92</v>
      </c>
      <c r="B116" s="213">
        <v>4719</v>
      </c>
      <c r="C116" s="214" t="s">
        <v>318</v>
      </c>
      <c r="D116" s="215">
        <v>51</v>
      </c>
      <c r="E116" s="216">
        <v>45</v>
      </c>
      <c r="F116" s="215">
        <v>0</v>
      </c>
      <c r="G116" s="216">
        <f t="shared" si="1"/>
        <v>96</v>
      </c>
    </row>
    <row r="117" spans="1:7" s="206" customFormat="1" ht="15.95" customHeight="1">
      <c r="A117" s="207">
        <v>80134</v>
      </c>
      <c r="B117" s="208" t="s">
        <v>92</v>
      </c>
      <c r="C117" s="209" t="s">
        <v>236</v>
      </c>
      <c r="D117" s="210">
        <v>32031514</v>
      </c>
      <c r="E117" s="211">
        <f>E118</f>
        <v>158630</v>
      </c>
      <c r="F117" s="211">
        <f>F118</f>
        <v>0</v>
      </c>
      <c r="G117" s="211">
        <f t="shared" si="1"/>
        <v>32190144</v>
      </c>
    </row>
    <row r="118" spans="1:7" ht="15.95" customHeight="1">
      <c r="A118" s="212" t="s">
        <v>92</v>
      </c>
      <c r="B118" s="213">
        <v>4240</v>
      </c>
      <c r="C118" s="214" t="s">
        <v>326</v>
      </c>
      <c r="D118" s="215">
        <v>105000</v>
      </c>
      <c r="E118" s="216">
        <v>158630</v>
      </c>
      <c r="F118" s="215">
        <v>0</v>
      </c>
      <c r="G118" s="216">
        <f t="shared" si="1"/>
        <v>263630</v>
      </c>
    </row>
    <row r="119" spans="1:7" s="206" customFormat="1" ht="15.95" customHeight="1">
      <c r="A119" s="207">
        <v>80147</v>
      </c>
      <c r="B119" s="208" t="s">
        <v>92</v>
      </c>
      <c r="C119" s="209" t="s">
        <v>242</v>
      </c>
      <c r="D119" s="210">
        <v>12394090</v>
      </c>
      <c r="E119" s="211">
        <f>E120</f>
        <v>50000</v>
      </c>
      <c r="F119" s="211">
        <f>F120</f>
        <v>0</v>
      </c>
      <c r="G119" s="211">
        <f t="shared" si="1"/>
        <v>12444090</v>
      </c>
    </row>
    <row r="120" spans="1:7" ht="42.95" customHeight="1">
      <c r="A120" s="212" t="s">
        <v>92</v>
      </c>
      <c r="B120" s="213">
        <v>4340</v>
      </c>
      <c r="C120" s="214" t="s">
        <v>327</v>
      </c>
      <c r="D120" s="215">
        <v>0</v>
      </c>
      <c r="E120" s="216">
        <v>50000</v>
      </c>
      <c r="F120" s="215">
        <v>0</v>
      </c>
      <c r="G120" s="216">
        <f t="shared" si="1"/>
        <v>50000</v>
      </c>
    </row>
    <row r="121" spans="1:7" s="206" customFormat="1" ht="15.95" customHeight="1">
      <c r="A121" s="207">
        <v>80195</v>
      </c>
      <c r="B121" s="208" t="s">
        <v>92</v>
      </c>
      <c r="C121" s="209" t="s">
        <v>103</v>
      </c>
      <c r="D121" s="210">
        <v>26432521</v>
      </c>
      <c r="E121" s="211">
        <f>SUM(E122:E133)</f>
        <v>868549</v>
      </c>
      <c r="F121" s="211">
        <f>SUM(F122:F133)</f>
        <v>46571</v>
      </c>
      <c r="G121" s="211">
        <f t="shared" si="1"/>
        <v>27254499</v>
      </c>
    </row>
    <row r="122" spans="1:7" ht="72.95" customHeight="1">
      <c r="A122" s="212" t="s">
        <v>92</v>
      </c>
      <c r="B122" s="213">
        <v>2009</v>
      </c>
      <c r="C122" s="214" t="s">
        <v>308</v>
      </c>
      <c r="D122" s="215">
        <v>855300</v>
      </c>
      <c r="E122" s="216">
        <v>0</v>
      </c>
      <c r="F122" s="215">
        <v>43158</v>
      </c>
      <c r="G122" s="216">
        <f t="shared" si="1"/>
        <v>812142</v>
      </c>
    </row>
    <row r="123" spans="1:7" ht="72.95" customHeight="1">
      <c r="A123" s="212" t="s">
        <v>92</v>
      </c>
      <c r="B123" s="213">
        <v>2059</v>
      </c>
      <c r="C123" s="214" t="s">
        <v>111</v>
      </c>
      <c r="D123" s="215">
        <v>1555993</v>
      </c>
      <c r="E123" s="216">
        <v>120000</v>
      </c>
      <c r="F123" s="215">
        <v>0</v>
      </c>
      <c r="G123" s="216">
        <f t="shared" si="1"/>
        <v>1675993</v>
      </c>
    </row>
    <row r="124" spans="1:7" ht="15.95" customHeight="1">
      <c r="A124" s="212" t="s">
        <v>92</v>
      </c>
      <c r="B124" s="213">
        <v>4217</v>
      </c>
      <c r="C124" s="214" t="s">
        <v>305</v>
      </c>
      <c r="D124" s="215">
        <v>1950801</v>
      </c>
      <c r="E124" s="216">
        <v>86889</v>
      </c>
      <c r="F124" s="215">
        <v>0</v>
      </c>
      <c r="G124" s="216">
        <f t="shared" si="1"/>
        <v>2037690</v>
      </c>
    </row>
    <row r="125" spans="1:7" ht="15.95" customHeight="1">
      <c r="A125" s="212" t="s">
        <v>92</v>
      </c>
      <c r="B125" s="213">
        <v>4219</v>
      </c>
      <c r="C125" s="214" t="s">
        <v>305</v>
      </c>
      <c r="D125" s="215">
        <v>110728</v>
      </c>
      <c r="E125" s="216">
        <v>5111</v>
      </c>
      <c r="F125" s="215">
        <v>0</v>
      </c>
      <c r="G125" s="216">
        <f t="shared" si="1"/>
        <v>115839</v>
      </c>
    </row>
    <row r="126" spans="1:7" ht="15.95" customHeight="1">
      <c r="A126" s="212" t="s">
        <v>92</v>
      </c>
      <c r="B126" s="213">
        <v>4307</v>
      </c>
      <c r="C126" s="214" t="s">
        <v>307</v>
      </c>
      <c r="D126" s="215">
        <v>12410186</v>
      </c>
      <c r="E126" s="216">
        <v>593506</v>
      </c>
      <c r="F126" s="215">
        <v>0</v>
      </c>
      <c r="G126" s="216">
        <f t="shared" si="1"/>
        <v>13003692</v>
      </c>
    </row>
    <row r="127" spans="1:7" ht="15.95" customHeight="1">
      <c r="A127" s="212" t="s">
        <v>92</v>
      </c>
      <c r="B127" s="213">
        <v>4309</v>
      </c>
      <c r="C127" s="214" t="s">
        <v>307</v>
      </c>
      <c r="D127" s="215">
        <v>125552</v>
      </c>
      <c r="E127" s="216">
        <v>34911</v>
      </c>
      <c r="F127" s="215">
        <v>0</v>
      </c>
      <c r="G127" s="216">
        <f t="shared" si="1"/>
        <v>160463</v>
      </c>
    </row>
    <row r="128" spans="1:7" ht="30" customHeight="1">
      <c r="A128" s="212" t="s">
        <v>92</v>
      </c>
      <c r="B128" s="213">
        <v>4707</v>
      </c>
      <c r="C128" s="214" t="s">
        <v>328</v>
      </c>
      <c r="D128" s="215">
        <v>0</v>
      </c>
      <c r="E128" s="216">
        <v>18889</v>
      </c>
      <c r="F128" s="215">
        <v>0</v>
      </c>
      <c r="G128" s="216">
        <f t="shared" si="1"/>
        <v>18889</v>
      </c>
    </row>
    <row r="129" spans="1:7" ht="30" customHeight="1">
      <c r="A129" s="212" t="s">
        <v>92</v>
      </c>
      <c r="B129" s="213">
        <v>4709</v>
      </c>
      <c r="C129" s="214" t="s">
        <v>328</v>
      </c>
      <c r="D129" s="215">
        <v>0</v>
      </c>
      <c r="E129" s="216">
        <v>1111</v>
      </c>
      <c r="F129" s="215">
        <v>0</v>
      </c>
      <c r="G129" s="216">
        <f t="shared" si="1"/>
        <v>1111</v>
      </c>
    </row>
    <row r="130" spans="1:7" ht="15.95" customHeight="1">
      <c r="A130" s="212" t="s">
        <v>92</v>
      </c>
      <c r="B130" s="213">
        <v>4797</v>
      </c>
      <c r="C130" s="214" t="s">
        <v>324</v>
      </c>
      <c r="D130" s="215">
        <v>33761</v>
      </c>
      <c r="E130" s="216">
        <v>0</v>
      </c>
      <c r="F130" s="215">
        <v>3224</v>
      </c>
      <c r="G130" s="216">
        <f t="shared" si="1"/>
        <v>30537</v>
      </c>
    </row>
    <row r="131" spans="1:7" ht="15.95" customHeight="1">
      <c r="A131" s="212" t="s">
        <v>92</v>
      </c>
      <c r="B131" s="213">
        <v>4799</v>
      </c>
      <c r="C131" s="214" t="s">
        <v>324</v>
      </c>
      <c r="D131" s="215">
        <v>1984</v>
      </c>
      <c r="E131" s="216">
        <v>0</v>
      </c>
      <c r="F131" s="215">
        <v>189</v>
      </c>
      <c r="G131" s="216">
        <f t="shared" si="1"/>
        <v>1795</v>
      </c>
    </row>
    <row r="132" spans="1:7" ht="72.95" customHeight="1">
      <c r="A132" s="212" t="s">
        <v>92</v>
      </c>
      <c r="B132" s="213">
        <v>6209</v>
      </c>
      <c r="C132" s="214" t="s">
        <v>329</v>
      </c>
      <c r="D132" s="215">
        <v>68969</v>
      </c>
      <c r="E132" s="216">
        <v>5962</v>
      </c>
      <c r="F132" s="215">
        <v>0</v>
      </c>
      <c r="G132" s="216">
        <f t="shared" si="1"/>
        <v>74931</v>
      </c>
    </row>
    <row r="133" spans="1:7" ht="72.95" customHeight="1">
      <c r="A133" s="212" t="s">
        <v>92</v>
      </c>
      <c r="B133" s="213">
        <v>6259</v>
      </c>
      <c r="C133" s="214" t="s">
        <v>107</v>
      </c>
      <c r="D133" s="215">
        <v>2131969</v>
      </c>
      <c r="E133" s="216">
        <v>2170</v>
      </c>
      <c r="F133" s="215">
        <v>0</v>
      </c>
      <c r="G133" s="216">
        <f t="shared" si="1"/>
        <v>2134139</v>
      </c>
    </row>
    <row r="134" spans="1:7" s="206" customFormat="1" ht="15.95" customHeight="1">
      <c r="A134" s="201" t="s">
        <v>61</v>
      </c>
      <c r="B134" s="202" t="s">
        <v>92</v>
      </c>
      <c r="C134" s="203" t="s">
        <v>62</v>
      </c>
      <c r="D134" s="204">
        <v>94120077</v>
      </c>
      <c r="E134" s="205">
        <f>E135+E138+E140</f>
        <v>11801291</v>
      </c>
      <c r="F134" s="205">
        <f>F135+F138+F140</f>
        <v>0</v>
      </c>
      <c r="G134" s="205">
        <f t="shared" si="1"/>
        <v>105921368</v>
      </c>
    </row>
    <row r="135" spans="1:7" s="206" customFormat="1" ht="15.95" customHeight="1">
      <c r="A135" s="207">
        <v>85111</v>
      </c>
      <c r="B135" s="208" t="s">
        <v>92</v>
      </c>
      <c r="C135" s="209" t="s">
        <v>117</v>
      </c>
      <c r="D135" s="210">
        <v>12494245</v>
      </c>
      <c r="E135" s="211">
        <f>SUM(E136:E137)</f>
        <v>2391893</v>
      </c>
      <c r="F135" s="211">
        <f>SUM(F136:F137)</f>
        <v>0</v>
      </c>
      <c r="G135" s="211">
        <f t="shared" si="1"/>
        <v>14886138</v>
      </c>
    </row>
    <row r="136" spans="1:7" ht="60" customHeight="1">
      <c r="A136" s="212" t="s">
        <v>92</v>
      </c>
      <c r="B136" s="213">
        <v>6220</v>
      </c>
      <c r="C136" s="214" t="s">
        <v>330</v>
      </c>
      <c r="D136" s="215">
        <v>12017637</v>
      </c>
      <c r="E136" s="216">
        <v>993710</v>
      </c>
      <c r="F136" s="215">
        <v>0</v>
      </c>
      <c r="G136" s="216">
        <f t="shared" si="1"/>
        <v>13011347</v>
      </c>
    </row>
    <row r="137" spans="1:7" ht="60" customHeight="1">
      <c r="A137" s="212" t="s">
        <v>92</v>
      </c>
      <c r="B137" s="213">
        <v>6730</v>
      </c>
      <c r="C137" s="214" t="s">
        <v>331</v>
      </c>
      <c r="D137" s="215">
        <v>0</v>
      </c>
      <c r="E137" s="216">
        <v>1398183</v>
      </c>
      <c r="F137" s="215">
        <v>0</v>
      </c>
      <c r="G137" s="216">
        <f t="shared" si="1"/>
        <v>1398183</v>
      </c>
    </row>
    <row r="138" spans="1:7" s="206" customFormat="1" ht="15.95" customHeight="1">
      <c r="A138" s="207">
        <v>85120</v>
      </c>
      <c r="B138" s="208" t="s">
        <v>92</v>
      </c>
      <c r="C138" s="209" t="s">
        <v>249</v>
      </c>
      <c r="D138" s="210">
        <v>0</v>
      </c>
      <c r="E138" s="211">
        <f>E139</f>
        <v>2328771</v>
      </c>
      <c r="F138" s="211">
        <f>F139</f>
        <v>0</v>
      </c>
      <c r="G138" s="211">
        <f t="shared" si="1"/>
        <v>2328771</v>
      </c>
    </row>
    <row r="139" spans="1:7" ht="60" customHeight="1">
      <c r="A139" s="212" t="s">
        <v>92</v>
      </c>
      <c r="B139" s="213">
        <v>6220</v>
      </c>
      <c r="C139" s="214" t="s">
        <v>330</v>
      </c>
      <c r="D139" s="215">
        <v>0</v>
      </c>
      <c r="E139" s="216">
        <v>2328771</v>
      </c>
      <c r="F139" s="215">
        <v>0</v>
      </c>
      <c r="G139" s="216">
        <f t="shared" si="1"/>
        <v>2328771</v>
      </c>
    </row>
    <row r="140" spans="1:7" s="206" customFormat="1" ht="15.95" customHeight="1">
      <c r="A140" s="207">
        <v>85195</v>
      </c>
      <c r="B140" s="208" t="s">
        <v>92</v>
      </c>
      <c r="C140" s="209" t="s">
        <v>103</v>
      </c>
      <c r="D140" s="210">
        <v>39456372</v>
      </c>
      <c r="E140" s="211">
        <f>SUM(E141:E160)</f>
        <v>7080627</v>
      </c>
      <c r="F140" s="211">
        <f>SUM(F141:F160)</f>
        <v>0</v>
      </c>
      <c r="G140" s="211">
        <f t="shared" ref="G140:G203" si="2">D140+E140-F140</f>
        <v>46536999</v>
      </c>
    </row>
    <row r="141" spans="1:7" ht="15.95" customHeight="1">
      <c r="A141" s="212" t="s">
        <v>92</v>
      </c>
      <c r="B141" s="213">
        <v>4017</v>
      </c>
      <c r="C141" s="214" t="s">
        <v>313</v>
      </c>
      <c r="D141" s="215">
        <v>415325</v>
      </c>
      <c r="E141" s="216">
        <v>175030</v>
      </c>
      <c r="F141" s="215">
        <v>0</v>
      </c>
      <c r="G141" s="216">
        <f t="shared" si="2"/>
        <v>590355</v>
      </c>
    </row>
    <row r="142" spans="1:7" ht="15.95" customHeight="1">
      <c r="A142" s="212" t="s">
        <v>92</v>
      </c>
      <c r="B142" s="213">
        <v>4018</v>
      </c>
      <c r="C142" s="214" t="s">
        <v>313</v>
      </c>
      <c r="D142" s="215">
        <v>165651</v>
      </c>
      <c r="E142" s="216">
        <v>21199</v>
      </c>
      <c r="F142" s="215">
        <v>0</v>
      </c>
      <c r="G142" s="216">
        <f t="shared" si="2"/>
        <v>186850</v>
      </c>
    </row>
    <row r="143" spans="1:7" ht="15.95" customHeight="1">
      <c r="A143" s="212" t="s">
        <v>92</v>
      </c>
      <c r="B143" s="213">
        <v>4019</v>
      </c>
      <c r="C143" s="214" t="s">
        <v>313</v>
      </c>
      <c r="D143" s="215">
        <v>114705</v>
      </c>
      <c r="E143" s="216">
        <v>36189</v>
      </c>
      <c r="F143" s="215">
        <v>0</v>
      </c>
      <c r="G143" s="216">
        <f t="shared" si="2"/>
        <v>150894</v>
      </c>
    </row>
    <row r="144" spans="1:7" ht="15.95" customHeight="1">
      <c r="A144" s="212" t="s">
        <v>92</v>
      </c>
      <c r="B144" s="213">
        <v>4117</v>
      </c>
      <c r="C144" s="214" t="s">
        <v>314</v>
      </c>
      <c r="D144" s="215">
        <v>173339</v>
      </c>
      <c r="E144" s="216">
        <v>72539</v>
      </c>
      <c r="F144" s="215">
        <v>0</v>
      </c>
      <c r="G144" s="216">
        <f t="shared" si="2"/>
        <v>245878</v>
      </c>
    </row>
    <row r="145" spans="1:7" ht="15.95" customHeight="1">
      <c r="A145" s="218" t="s">
        <v>92</v>
      </c>
      <c r="B145" s="219">
        <v>4118</v>
      </c>
      <c r="C145" s="220" t="s">
        <v>314</v>
      </c>
      <c r="D145" s="221">
        <v>30812</v>
      </c>
      <c r="E145" s="222">
        <v>3589</v>
      </c>
      <c r="F145" s="221">
        <v>0</v>
      </c>
      <c r="G145" s="222">
        <f t="shared" si="2"/>
        <v>34401</v>
      </c>
    </row>
    <row r="146" spans="1:7" ht="15.95" customHeight="1">
      <c r="A146" s="212" t="s">
        <v>92</v>
      </c>
      <c r="B146" s="213">
        <v>4119</v>
      </c>
      <c r="C146" s="214" t="s">
        <v>314</v>
      </c>
      <c r="D146" s="215">
        <v>38290</v>
      </c>
      <c r="E146" s="216">
        <v>13698</v>
      </c>
      <c r="F146" s="215">
        <v>0</v>
      </c>
      <c r="G146" s="216">
        <f t="shared" si="2"/>
        <v>51988</v>
      </c>
    </row>
    <row r="147" spans="1:7" ht="15.95" customHeight="1">
      <c r="A147" s="212" t="s">
        <v>92</v>
      </c>
      <c r="B147" s="213">
        <v>4127</v>
      </c>
      <c r="C147" s="214" t="s">
        <v>315</v>
      </c>
      <c r="D147" s="215">
        <v>24662</v>
      </c>
      <c r="E147" s="216">
        <v>10499</v>
      </c>
      <c r="F147" s="215">
        <v>0</v>
      </c>
      <c r="G147" s="216">
        <f t="shared" si="2"/>
        <v>35161</v>
      </c>
    </row>
    <row r="148" spans="1:7" ht="15.95" customHeight="1">
      <c r="A148" s="212" t="s">
        <v>92</v>
      </c>
      <c r="B148" s="213">
        <v>4128</v>
      </c>
      <c r="C148" s="214" t="s">
        <v>315</v>
      </c>
      <c r="D148" s="215">
        <v>4423</v>
      </c>
      <c r="E148" s="216">
        <v>519</v>
      </c>
      <c r="F148" s="215">
        <v>0</v>
      </c>
      <c r="G148" s="216">
        <f t="shared" si="2"/>
        <v>4942</v>
      </c>
    </row>
    <row r="149" spans="1:7" ht="15.95" customHeight="1">
      <c r="A149" s="212" t="s">
        <v>92</v>
      </c>
      <c r="B149" s="213">
        <v>4129</v>
      </c>
      <c r="C149" s="214" t="s">
        <v>315</v>
      </c>
      <c r="D149" s="215">
        <v>5460</v>
      </c>
      <c r="E149" s="216">
        <v>1981</v>
      </c>
      <c r="F149" s="215">
        <v>0</v>
      </c>
      <c r="G149" s="216">
        <f t="shared" si="2"/>
        <v>7441</v>
      </c>
    </row>
    <row r="150" spans="1:7" ht="15.95" customHeight="1">
      <c r="A150" s="212" t="s">
        <v>92</v>
      </c>
      <c r="B150" s="213">
        <v>4218</v>
      </c>
      <c r="C150" s="214" t="s">
        <v>305</v>
      </c>
      <c r="D150" s="215">
        <v>8000</v>
      </c>
      <c r="E150" s="216">
        <v>3200</v>
      </c>
      <c r="F150" s="215">
        <v>0</v>
      </c>
      <c r="G150" s="216">
        <f t="shared" si="2"/>
        <v>11200</v>
      </c>
    </row>
    <row r="151" spans="1:7" ht="15.95" customHeight="1">
      <c r="A151" s="212" t="s">
        <v>92</v>
      </c>
      <c r="B151" s="213">
        <v>4219</v>
      </c>
      <c r="C151" s="214" t="s">
        <v>305</v>
      </c>
      <c r="D151" s="215">
        <v>2000</v>
      </c>
      <c r="E151" s="216">
        <v>800</v>
      </c>
      <c r="F151" s="215">
        <v>0</v>
      </c>
      <c r="G151" s="216">
        <f t="shared" si="2"/>
        <v>2800</v>
      </c>
    </row>
    <row r="152" spans="1:7" ht="15.95" customHeight="1">
      <c r="A152" s="212" t="s">
        <v>92</v>
      </c>
      <c r="B152" s="213">
        <v>4307</v>
      </c>
      <c r="C152" s="214" t="s">
        <v>307</v>
      </c>
      <c r="D152" s="215">
        <v>1422020</v>
      </c>
      <c r="E152" s="216">
        <v>612838</v>
      </c>
      <c r="F152" s="215">
        <v>0</v>
      </c>
      <c r="G152" s="216">
        <f t="shared" si="2"/>
        <v>2034858</v>
      </c>
    </row>
    <row r="153" spans="1:7" ht="15.95" customHeight="1">
      <c r="A153" s="212" t="s">
        <v>92</v>
      </c>
      <c r="B153" s="213">
        <v>4308</v>
      </c>
      <c r="C153" s="214" t="s">
        <v>307</v>
      </c>
      <c r="D153" s="215">
        <v>136894</v>
      </c>
      <c r="E153" s="216">
        <v>3549</v>
      </c>
      <c r="F153" s="215">
        <v>0</v>
      </c>
      <c r="G153" s="216">
        <f t="shared" si="2"/>
        <v>140443</v>
      </c>
    </row>
    <row r="154" spans="1:7" ht="15.95" customHeight="1">
      <c r="A154" s="212" t="s">
        <v>92</v>
      </c>
      <c r="B154" s="213">
        <v>4309</v>
      </c>
      <c r="C154" s="214" t="s">
        <v>307</v>
      </c>
      <c r="D154" s="215">
        <v>285167</v>
      </c>
      <c r="E154" s="216">
        <v>109039</v>
      </c>
      <c r="F154" s="215">
        <v>0</v>
      </c>
      <c r="G154" s="216">
        <f t="shared" si="2"/>
        <v>394206</v>
      </c>
    </row>
    <row r="155" spans="1:7" ht="15.95" customHeight="1">
      <c r="A155" s="212" t="s">
        <v>92</v>
      </c>
      <c r="B155" s="213">
        <v>4428</v>
      </c>
      <c r="C155" s="214" t="s">
        <v>311</v>
      </c>
      <c r="D155" s="215">
        <v>46400</v>
      </c>
      <c r="E155" s="216">
        <v>6400</v>
      </c>
      <c r="F155" s="215">
        <v>0</v>
      </c>
      <c r="G155" s="216">
        <f t="shared" si="2"/>
        <v>52800</v>
      </c>
    </row>
    <row r="156" spans="1:7" ht="15.95" customHeight="1">
      <c r="A156" s="212" t="s">
        <v>92</v>
      </c>
      <c r="B156" s="213">
        <v>4429</v>
      </c>
      <c r="C156" s="214" t="s">
        <v>311</v>
      </c>
      <c r="D156" s="215">
        <v>11600</v>
      </c>
      <c r="E156" s="216">
        <v>1600</v>
      </c>
      <c r="F156" s="215">
        <v>0</v>
      </c>
      <c r="G156" s="216">
        <f t="shared" si="2"/>
        <v>13200</v>
      </c>
    </row>
    <row r="157" spans="1:7" ht="15.95" customHeight="1">
      <c r="A157" s="212" t="s">
        <v>92</v>
      </c>
      <c r="B157" s="213">
        <v>4717</v>
      </c>
      <c r="C157" s="214" t="s">
        <v>318</v>
      </c>
      <c r="D157" s="215">
        <v>15100</v>
      </c>
      <c r="E157" s="216">
        <v>6427</v>
      </c>
      <c r="F157" s="215">
        <v>0</v>
      </c>
      <c r="G157" s="216">
        <f t="shared" si="2"/>
        <v>21527</v>
      </c>
    </row>
    <row r="158" spans="1:7" ht="15.95" customHeight="1">
      <c r="A158" s="212" t="s">
        <v>92</v>
      </c>
      <c r="B158" s="213">
        <v>4718</v>
      </c>
      <c r="C158" s="214" t="s">
        <v>318</v>
      </c>
      <c r="D158" s="215">
        <v>2708</v>
      </c>
      <c r="E158" s="216">
        <v>318</v>
      </c>
      <c r="F158" s="215">
        <v>0</v>
      </c>
      <c r="G158" s="216">
        <f t="shared" si="2"/>
        <v>3026</v>
      </c>
    </row>
    <row r="159" spans="1:7" ht="15.95" customHeight="1">
      <c r="A159" s="212" t="s">
        <v>92</v>
      </c>
      <c r="B159" s="213">
        <v>4719</v>
      </c>
      <c r="C159" s="214" t="s">
        <v>318</v>
      </c>
      <c r="D159" s="215">
        <v>3342</v>
      </c>
      <c r="E159" s="216">
        <v>1213</v>
      </c>
      <c r="F159" s="215">
        <v>0</v>
      </c>
      <c r="G159" s="216">
        <f t="shared" si="2"/>
        <v>4555</v>
      </c>
    </row>
    <row r="160" spans="1:7" ht="15.95" customHeight="1">
      <c r="A160" s="212" t="s">
        <v>92</v>
      </c>
      <c r="B160" s="213">
        <v>6010</v>
      </c>
      <c r="C160" s="214" t="s">
        <v>332</v>
      </c>
      <c r="D160" s="215">
        <v>33000000</v>
      </c>
      <c r="E160" s="216">
        <v>6000000</v>
      </c>
      <c r="F160" s="215">
        <v>0</v>
      </c>
      <c r="G160" s="216">
        <f t="shared" si="2"/>
        <v>39000000</v>
      </c>
    </row>
    <row r="161" spans="1:7" s="206" customFormat="1" ht="15.95" customHeight="1">
      <c r="A161" s="201" t="s">
        <v>25</v>
      </c>
      <c r="B161" s="202" t="s">
        <v>92</v>
      </c>
      <c r="C161" s="203" t="s">
        <v>63</v>
      </c>
      <c r="D161" s="204">
        <v>56503940</v>
      </c>
      <c r="E161" s="205">
        <f>E162</f>
        <v>1927642</v>
      </c>
      <c r="F161" s="205">
        <f>F162</f>
        <v>2462558</v>
      </c>
      <c r="G161" s="205">
        <f t="shared" si="2"/>
        <v>55969024</v>
      </c>
    </row>
    <row r="162" spans="1:7" s="206" customFormat="1" ht="15.95" customHeight="1">
      <c r="A162" s="207">
        <v>85295</v>
      </c>
      <c r="B162" s="208" t="s">
        <v>92</v>
      </c>
      <c r="C162" s="209" t="s">
        <v>103</v>
      </c>
      <c r="D162" s="210">
        <v>47937942</v>
      </c>
      <c r="E162" s="211">
        <f>SUM(E163:E175)</f>
        <v>1927642</v>
      </c>
      <c r="F162" s="211">
        <f>SUM(F163:F175)</f>
        <v>2462558</v>
      </c>
      <c r="G162" s="211">
        <f t="shared" si="2"/>
        <v>47403026</v>
      </c>
    </row>
    <row r="163" spans="1:7" ht="72.95" customHeight="1">
      <c r="A163" s="212" t="s">
        <v>92</v>
      </c>
      <c r="B163" s="213">
        <v>2007</v>
      </c>
      <c r="C163" s="214" t="s">
        <v>308</v>
      </c>
      <c r="D163" s="215">
        <v>8542584</v>
      </c>
      <c r="E163" s="216">
        <v>0</v>
      </c>
      <c r="F163" s="215">
        <v>549709</v>
      </c>
      <c r="G163" s="216">
        <f t="shared" si="2"/>
        <v>7992875</v>
      </c>
    </row>
    <row r="164" spans="1:7" ht="72.95" customHeight="1">
      <c r="A164" s="212" t="s">
        <v>92</v>
      </c>
      <c r="B164" s="213">
        <v>2009</v>
      </c>
      <c r="C164" s="214" t="s">
        <v>308</v>
      </c>
      <c r="D164" s="215">
        <v>7581310</v>
      </c>
      <c r="E164" s="216">
        <v>435328</v>
      </c>
      <c r="F164" s="215">
        <v>0</v>
      </c>
      <c r="G164" s="216">
        <f t="shared" si="2"/>
        <v>8016638</v>
      </c>
    </row>
    <row r="165" spans="1:7" ht="72.95" customHeight="1">
      <c r="A165" s="212" t="s">
        <v>92</v>
      </c>
      <c r="B165" s="213">
        <v>2057</v>
      </c>
      <c r="C165" s="214" t="s">
        <v>111</v>
      </c>
      <c r="D165" s="215">
        <v>3467168</v>
      </c>
      <c r="E165" s="216">
        <v>112420</v>
      </c>
      <c r="F165" s="215">
        <v>0</v>
      </c>
      <c r="G165" s="216">
        <f t="shared" si="2"/>
        <v>3579588</v>
      </c>
    </row>
    <row r="166" spans="1:7" ht="72.95" customHeight="1">
      <c r="A166" s="212" t="s">
        <v>92</v>
      </c>
      <c r="B166" s="213">
        <v>2059</v>
      </c>
      <c r="C166" s="214" t="s">
        <v>111</v>
      </c>
      <c r="D166" s="215">
        <v>2060254</v>
      </c>
      <c r="E166" s="216">
        <v>173226</v>
      </c>
      <c r="F166" s="215">
        <v>0</v>
      </c>
      <c r="G166" s="216">
        <f t="shared" si="2"/>
        <v>2233480</v>
      </c>
    </row>
    <row r="167" spans="1:7" ht="15.95" customHeight="1">
      <c r="A167" s="212" t="s">
        <v>92</v>
      </c>
      <c r="B167" s="213">
        <v>4217</v>
      </c>
      <c r="C167" s="214" t="s">
        <v>305</v>
      </c>
      <c r="D167" s="215">
        <v>2276467</v>
      </c>
      <c r="E167" s="216">
        <v>626316</v>
      </c>
      <c r="F167" s="215">
        <v>0</v>
      </c>
      <c r="G167" s="216">
        <f t="shared" si="2"/>
        <v>2902783</v>
      </c>
    </row>
    <row r="168" spans="1:7" ht="15.95" customHeight="1">
      <c r="A168" s="212" t="s">
        <v>92</v>
      </c>
      <c r="B168" s="213">
        <v>4219</v>
      </c>
      <c r="C168" s="214" t="s">
        <v>305</v>
      </c>
      <c r="D168" s="215">
        <v>267819</v>
      </c>
      <c r="E168" s="216">
        <v>73684</v>
      </c>
      <c r="F168" s="215">
        <v>0</v>
      </c>
      <c r="G168" s="216">
        <f t="shared" si="2"/>
        <v>341503</v>
      </c>
    </row>
    <row r="169" spans="1:7" ht="15.95" customHeight="1">
      <c r="A169" s="212" t="s">
        <v>92</v>
      </c>
      <c r="B169" s="213">
        <v>4307</v>
      </c>
      <c r="C169" s="214" t="s">
        <v>307</v>
      </c>
      <c r="D169" s="215">
        <v>4027679</v>
      </c>
      <c r="E169" s="216">
        <v>341313</v>
      </c>
      <c r="F169" s="215">
        <v>0</v>
      </c>
      <c r="G169" s="216">
        <f t="shared" si="2"/>
        <v>4368992</v>
      </c>
    </row>
    <row r="170" spans="1:7" ht="15.95" customHeight="1">
      <c r="A170" s="212" t="s">
        <v>92</v>
      </c>
      <c r="B170" s="213">
        <v>4309</v>
      </c>
      <c r="C170" s="214" t="s">
        <v>307</v>
      </c>
      <c r="D170" s="215">
        <v>473841</v>
      </c>
      <c r="E170" s="216">
        <v>40155</v>
      </c>
      <c r="F170" s="215">
        <v>0</v>
      </c>
      <c r="G170" s="216">
        <f t="shared" si="2"/>
        <v>513996</v>
      </c>
    </row>
    <row r="171" spans="1:7" ht="15.95" customHeight="1">
      <c r="A171" s="212" t="s">
        <v>92</v>
      </c>
      <c r="B171" s="213">
        <v>6050</v>
      </c>
      <c r="C171" s="214" t="s">
        <v>312</v>
      </c>
      <c r="D171" s="215">
        <v>121000</v>
      </c>
      <c r="E171" s="216">
        <v>125200</v>
      </c>
      <c r="F171" s="215">
        <v>0</v>
      </c>
      <c r="G171" s="216">
        <f t="shared" si="2"/>
        <v>246200</v>
      </c>
    </row>
    <row r="172" spans="1:7" ht="15.95" customHeight="1">
      <c r="A172" s="212" t="s">
        <v>92</v>
      </c>
      <c r="B172" s="213">
        <v>6057</v>
      </c>
      <c r="C172" s="214" t="s">
        <v>312</v>
      </c>
      <c r="D172" s="215">
        <v>8519131</v>
      </c>
      <c r="E172" s="216">
        <v>0</v>
      </c>
      <c r="F172" s="215">
        <v>805263</v>
      </c>
      <c r="G172" s="216">
        <f t="shared" si="2"/>
        <v>7713868</v>
      </c>
    </row>
    <row r="173" spans="1:7" ht="15.95" customHeight="1">
      <c r="A173" s="212" t="s">
        <v>92</v>
      </c>
      <c r="B173" s="213">
        <v>6059</v>
      </c>
      <c r="C173" s="214" t="s">
        <v>312</v>
      </c>
      <c r="D173" s="215">
        <v>1002251</v>
      </c>
      <c r="E173" s="216">
        <v>0</v>
      </c>
      <c r="F173" s="215">
        <v>94737</v>
      </c>
      <c r="G173" s="216">
        <f t="shared" si="2"/>
        <v>907514</v>
      </c>
    </row>
    <row r="174" spans="1:7" ht="72.95" customHeight="1">
      <c r="A174" s="212" t="s">
        <v>92</v>
      </c>
      <c r="B174" s="213">
        <v>6209</v>
      </c>
      <c r="C174" s="214" t="s">
        <v>329</v>
      </c>
      <c r="D174" s="215">
        <v>3669257</v>
      </c>
      <c r="E174" s="216">
        <v>0</v>
      </c>
      <c r="F174" s="215">
        <v>52849</v>
      </c>
      <c r="G174" s="216">
        <f t="shared" si="2"/>
        <v>3616408</v>
      </c>
    </row>
    <row r="175" spans="1:7" ht="72.95" customHeight="1">
      <c r="A175" s="212" t="s">
        <v>92</v>
      </c>
      <c r="B175" s="213">
        <v>6259</v>
      </c>
      <c r="C175" s="214" t="s">
        <v>107</v>
      </c>
      <c r="D175" s="215">
        <v>1957011</v>
      </c>
      <c r="E175" s="216">
        <v>0</v>
      </c>
      <c r="F175" s="215">
        <v>960000</v>
      </c>
      <c r="G175" s="216">
        <f t="shared" si="2"/>
        <v>997011</v>
      </c>
    </row>
    <row r="176" spans="1:7" s="206" customFormat="1" ht="15.95" customHeight="1">
      <c r="A176" s="201" t="s">
        <v>64</v>
      </c>
      <c r="B176" s="202" t="s">
        <v>92</v>
      </c>
      <c r="C176" s="203" t="s">
        <v>260</v>
      </c>
      <c r="D176" s="204">
        <v>40811025.5</v>
      </c>
      <c r="E176" s="205">
        <f>E177+E179+E192</f>
        <v>351157</v>
      </c>
      <c r="F176" s="205">
        <f>F177+F179+F192</f>
        <v>0</v>
      </c>
      <c r="G176" s="205">
        <f t="shared" si="2"/>
        <v>41162182.5</v>
      </c>
    </row>
    <row r="177" spans="1:7" s="206" customFormat="1" ht="15.95" customHeight="1">
      <c r="A177" s="223">
        <v>85325</v>
      </c>
      <c r="B177" s="224" t="s">
        <v>92</v>
      </c>
      <c r="C177" s="225" t="s">
        <v>119</v>
      </c>
      <c r="D177" s="226">
        <v>1706000</v>
      </c>
      <c r="E177" s="227">
        <f>E178</f>
        <v>42000</v>
      </c>
      <c r="F177" s="227">
        <f>F178</f>
        <v>0</v>
      </c>
      <c r="G177" s="227">
        <f t="shared" si="2"/>
        <v>1748000</v>
      </c>
    </row>
    <row r="178" spans="1:7" ht="15.95" customHeight="1">
      <c r="A178" s="212" t="s">
        <v>92</v>
      </c>
      <c r="B178" s="213">
        <v>4270</v>
      </c>
      <c r="C178" s="214" t="s">
        <v>333</v>
      </c>
      <c r="D178" s="215">
        <v>3000</v>
      </c>
      <c r="E178" s="216">
        <v>42000</v>
      </c>
      <c r="F178" s="215">
        <v>0</v>
      </c>
      <c r="G178" s="216">
        <f t="shared" si="2"/>
        <v>45000</v>
      </c>
    </row>
    <row r="179" spans="1:7" s="206" customFormat="1" ht="15.95" customHeight="1">
      <c r="A179" s="207">
        <v>85332</v>
      </c>
      <c r="B179" s="208" t="s">
        <v>92</v>
      </c>
      <c r="C179" s="209" t="s">
        <v>263</v>
      </c>
      <c r="D179" s="210">
        <v>20435342</v>
      </c>
      <c r="E179" s="211">
        <f>SUM(E180:E191)</f>
        <v>304440</v>
      </c>
      <c r="F179" s="211">
        <f>SUM(F180:F191)</f>
        <v>0</v>
      </c>
      <c r="G179" s="211">
        <f t="shared" si="2"/>
        <v>20739782</v>
      </c>
    </row>
    <row r="180" spans="1:7" ht="15.95" customHeight="1">
      <c r="A180" s="212" t="s">
        <v>92</v>
      </c>
      <c r="B180" s="213">
        <v>4017</v>
      </c>
      <c r="C180" s="214" t="s">
        <v>313</v>
      </c>
      <c r="D180" s="215">
        <v>3827</v>
      </c>
      <c r="E180" s="216">
        <v>4156</v>
      </c>
      <c r="F180" s="215">
        <v>0</v>
      </c>
      <c r="G180" s="216">
        <f t="shared" si="2"/>
        <v>7983</v>
      </c>
    </row>
    <row r="181" spans="1:7" ht="15.95" customHeight="1">
      <c r="A181" s="212" t="s">
        <v>92</v>
      </c>
      <c r="B181" s="213">
        <v>4019</v>
      </c>
      <c r="C181" s="214" t="s">
        <v>313</v>
      </c>
      <c r="D181" s="215">
        <v>349720</v>
      </c>
      <c r="E181" s="216">
        <v>244</v>
      </c>
      <c r="F181" s="215">
        <v>0</v>
      </c>
      <c r="G181" s="216">
        <f t="shared" si="2"/>
        <v>349964</v>
      </c>
    </row>
    <row r="182" spans="1:7" ht="15.95" customHeight="1">
      <c r="A182" s="212" t="s">
        <v>92</v>
      </c>
      <c r="B182" s="213">
        <v>4117</v>
      </c>
      <c r="C182" s="214" t="s">
        <v>314</v>
      </c>
      <c r="D182" s="215">
        <v>649</v>
      </c>
      <c r="E182" s="216">
        <v>906</v>
      </c>
      <c r="F182" s="215">
        <v>0</v>
      </c>
      <c r="G182" s="216">
        <f t="shared" si="2"/>
        <v>1555</v>
      </c>
    </row>
    <row r="183" spans="1:7" ht="15.95" customHeight="1">
      <c r="A183" s="212" t="s">
        <v>92</v>
      </c>
      <c r="B183" s="213">
        <v>4119</v>
      </c>
      <c r="C183" s="214" t="s">
        <v>314</v>
      </c>
      <c r="D183" s="215">
        <v>64731</v>
      </c>
      <c r="E183" s="216">
        <v>54</v>
      </c>
      <c r="F183" s="215">
        <v>0</v>
      </c>
      <c r="G183" s="216">
        <f t="shared" si="2"/>
        <v>64785</v>
      </c>
    </row>
    <row r="184" spans="1:7" ht="15.95" customHeight="1">
      <c r="A184" s="212" t="s">
        <v>92</v>
      </c>
      <c r="B184" s="213">
        <v>4127</v>
      </c>
      <c r="C184" s="214" t="s">
        <v>315</v>
      </c>
      <c r="D184" s="215">
        <v>94</v>
      </c>
      <c r="E184" s="216">
        <v>412</v>
      </c>
      <c r="F184" s="215">
        <v>0</v>
      </c>
      <c r="G184" s="216">
        <f t="shared" si="2"/>
        <v>506</v>
      </c>
    </row>
    <row r="185" spans="1:7" ht="15.95" customHeight="1">
      <c r="A185" s="218" t="s">
        <v>92</v>
      </c>
      <c r="B185" s="219">
        <v>4129</v>
      </c>
      <c r="C185" s="220" t="s">
        <v>315</v>
      </c>
      <c r="D185" s="221">
        <v>9368</v>
      </c>
      <c r="E185" s="222">
        <v>24</v>
      </c>
      <c r="F185" s="221">
        <v>0</v>
      </c>
      <c r="G185" s="222">
        <f t="shared" si="2"/>
        <v>9392</v>
      </c>
    </row>
    <row r="186" spans="1:7" ht="15.95" customHeight="1">
      <c r="A186" s="212" t="s">
        <v>92</v>
      </c>
      <c r="B186" s="213">
        <v>4307</v>
      </c>
      <c r="C186" s="214" t="s">
        <v>307</v>
      </c>
      <c r="D186" s="215">
        <v>56147</v>
      </c>
      <c r="E186" s="216">
        <v>280162</v>
      </c>
      <c r="F186" s="215">
        <v>0</v>
      </c>
      <c r="G186" s="216">
        <f t="shared" si="2"/>
        <v>336309</v>
      </c>
    </row>
    <row r="187" spans="1:7" ht="15.95" customHeight="1">
      <c r="A187" s="212" t="s">
        <v>92</v>
      </c>
      <c r="B187" s="213">
        <v>4309</v>
      </c>
      <c r="C187" s="214" t="s">
        <v>307</v>
      </c>
      <c r="D187" s="215">
        <v>22458</v>
      </c>
      <c r="E187" s="216">
        <v>16480</v>
      </c>
      <c r="F187" s="215">
        <v>0</v>
      </c>
      <c r="G187" s="216">
        <f t="shared" si="2"/>
        <v>38938</v>
      </c>
    </row>
    <row r="188" spans="1:7" ht="15.95" customHeight="1">
      <c r="A188" s="212" t="s">
        <v>92</v>
      </c>
      <c r="B188" s="213">
        <v>4417</v>
      </c>
      <c r="C188" s="214" t="s">
        <v>310</v>
      </c>
      <c r="D188" s="215">
        <v>0</v>
      </c>
      <c r="E188" s="216">
        <v>1739</v>
      </c>
      <c r="F188" s="215">
        <v>0</v>
      </c>
      <c r="G188" s="216">
        <f t="shared" si="2"/>
        <v>1739</v>
      </c>
    </row>
    <row r="189" spans="1:7" ht="15.95" customHeight="1">
      <c r="A189" s="212" t="s">
        <v>92</v>
      </c>
      <c r="B189" s="213">
        <v>4419</v>
      </c>
      <c r="C189" s="214" t="s">
        <v>310</v>
      </c>
      <c r="D189" s="215">
        <v>150</v>
      </c>
      <c r="E189" s="216">
        <v>102</v>
      </c>
      <c r="F189" s="215">
        <v>0</v>
      </c>
      <c r="G189" s="216">
        <f t="shared" si="2"/>
        <v>252</v>
      </c>
    </row>
    <row r="190" spans="1:7" ht="15.95" customHeight="1">
      <c r="A190" s="212" t="s">
        <v>92</v>
      </c>
      <c r="B190" s="213">
        <v>4717</v>
      </c>
      <c r="C190" s="214" t="s">
        <v>318</v>
      </c>
      <c r="D190" s="215">
        <v>58</v>
      </c>
      <c r="E190" s="216">
        <v>152</v>
      </c>
      <c r="F190" s="215">
        <v>0</v>
      </c>
      <c r="G190" s="216">
        <f t="shared" si="2"/>
        <v>210</v>
      </c>
    </row>
    <row r="191" spans="1:7" ht="15.95" customHeight="1">
      <c r="A191" s="212" t="s">
        <v>92</v>
      </c>
      <c r="B191" s="213">
        <v>4719</v>
      </c>
      <c r="C191" s="214" t="s">
        <v>318</v>
      </c>
      <c r="D191" s="215">
        <v>5735</v>
      </c>
      <c r="E191" s="216">
        <v>9</v>
      </c>
      <c r="F191" s="215">
        <v>0</v>
      </c>
      <c r="G191" s="216">
        <f t="shared" si="2"/>
        <v>5744</v>
      </c>
    </row>
    <row r="192" spans="1:7" s="206" customFormat="1" ht="15.95" customHeight="1">
      <c r="A192" s="207">
        <v>85395</v>
      </c>
      <c r="B192" s="208" t="s">
        <v>92</v>
      </c>
      <c r="C192" s="209" t="s">
        <v>103</v>
      </c>
      <c r="D192" s="210">
        <v>17665101.5</v>
      </c>
      <c r="E192" s="211">
        <f>E193</f>
        <v>4717</v>
      </c>
      <c r="F192" s="211">
        <f>F193</f>
        <v>0</v>
      </c>
      <c r="G192" s="211">
        <f t="shared" si="2"/>
        <v>17669818.5</v>
      </c>
    </row>
    <row r="193" spans="1:7" ht="72.95" customHeight="1">
      <c r="A193" s="212" t="s">
        <v>92</v>
      </c>
      <c r="B193" s="213">
        <v>6259</v>
      </c>
      <c r="C193" s="214" t="s">
        <v>107</v>
      </c>
      <c r="D193" s="215">
        <v>0</v>
      </c>
      <c r="E193" s="216">
        <v>4717</v>
      </c>
      <c r="F193" s="215">
        <v>0</v>
      </c>
      <c r="G193" s="216">
        <f t="shared" si="2"/>
        <v>4717</v>
      </c>
    </row>
    <row r="194" spans="1:7" s="206" customFormat="1" ht="15.95" customHeight="1">
      <c r="A194" s="201" t="s">
        <v>26</v>
      </c>
      <c r="B194" s="202" t="s">
        <v>92</v>
      </c>
      <c r="C194" s="203" t="s">
        <v>28</v>
      </c>
      <c r="D194" s="204">
        <v>53348575</v>
      </c>
      <c r="E194" s="205">
        <f>E195+E198+E204</f>
        <v>812032</v>
      </c>
      <c r="F194" s="205">
        <f>F195+F198+F204</f>
        <v>0</v>
      </c>
      <c r="G194" s="205">
        <f t="shared" si="2"/>
        <v>54160607</v>
      </c>
    </row>
    <row r="195" spans="1:7" s="206" customFormat="1" ht="15.95" customHeight="1">
      <c r="A195" s="207">
        <v>85403</v>
      </c>
      <c r="B195" s="208" t="s">
        <v>92</v>
      </c>
      <c r="C195" s="209" t="s">
        <v>265</v>
      </c>
      <c r="D195" s="210">
        <v>38238559</v>
      </c>
      <c r="E195" s="211">
        <f>SUM(E196:E197)</f>
        <v>249089</v>
      </c>
      <c r="F195" s="211">
        <f>SUM(F196:F197)</f>
        <v>0</v>
      </c>
      <c r="G195" s="211">
        <f t="shared" si="2"/>
        <v>38487648</v>
      </c>
    </row>
    <row r="196" spans="1:7" ht="15.95" customHeight="1">
      <c r="A196" s="212" t="s">
        <v>92</v>
      </c>
      <c r="B196" s="213">
        <v>4790</v>
      </c>
      <c r="C196" s="214" t="s">
        <v>324</v>
      </c>
      <c r="D196" s="215">
        <v>14567384</v>
      </c>
      <c r="E196" s="216">
        <v>203469</v>
      </c>
      <c r="F196" s="215">
        <v>0</v>
      </c>
      <c r="G196" s="216">
        <f t="shared" si="2"/>
        <v>14770853</v>
      </c>
    </row>
    <row r="197" spans="1:7" ht="15.95" customHeight="1">
      <c r="A197" s="212" t="s">
        <v>92</v>
      </c>
      <c r="B197" s="213">
        <v>6050</v>
      </c>
      <c r="C197" s="214" t="s">
        <v>312</v>
      </c>
      <c r="D197" s="215">
        <v>6885265</v>
      </c>
      <c r="E197" s="216">
        <v>45620</v>
      </c>
      <c r="F197" s="215">
        <v>0</v>
      </c>
      <c r="G197" s="216">
        <f t="shared" si="2"/>
        <v>6930885</v>
      </c>
    </row>
    <row r="198" spans="1:7" s="206" customFormat="1" ht="15.95" customHeight="1">
      <c r="A198" s="207">
        <v>85416</v>
      </c>
      <c r="B198" s="208" t="s">
        <v>92</v>
      </c>
      <c r="C198" s="209" t="s">
        <v>269</v>
      </c>
      <c r="D198" s="210">
        <v>7624280</v>
      </c>
      <c r="E198" s="211">
        <f>SUM(E199:E203)</f>
        <v>287943</v>
      </c>
      <c r="F198" s="211">
        <f>SUM(F199:F203)</f>
        <v>0</v>
      </c>
      <c r="G198" s="211">
        <f t="shared" si="2"/>
        <v>7912223</v>
      </c>
    </row>
    <row r="199" spans="1:7" ht="15.95" customHeight="1">
      <c r="A199" s="212" t="s">
        <v>92</v>
      </c>
      <c r="B199" s="213">
        <v>3240</v>
      </c>
      <c r="C199" s="214" t="s">
        <v>334</v>
      </c>
      <c r="D199" s="215">
        <v>600000</v>
      </c>
      <c r="E199" s="216">
        <v>100000</v>
      </c>
      <c r="F199" s="215">
        <v>0</v>
      </c>
      <c r="G199" s="216">
        <f t="shared" si="2"/>
        <v>700000</v>
      </c>
    </row>
    <row r="200" spans="1:7" ht="15.95" customHeight="1">
      <c r="A200" s="212" t="s">
        <v>92</v>
      </c>
      <c r="B200" s="213">
        <v>4217</v>
      </c>
      <c r="C200" s="214" t="s">
        <v>305</v>
      </c>
      <c r="D200" s="215">
        <v>64446</v>
      </c>
      <c r="E200" s="216">
        <v>96002</v>
      </c>
      <c r="F200" s="215">
        <v>0</v>
      </c>
      <c r="G200" s="216">
        <f t="shared" si="2"/>
        <v>160448</v>
      </c>
    </row>
    <row r="201" spans="1:7" ht="15.95" customHeight="1">
      <c r="A201" s="212" t="s">
        <v>92</v>
      </c>
      <c r="B201" s="213">
        <v>4219</v>
      </c>
      <c r="C201" s="214" t="s">
        <v>305</v>
      </c>
      <c r="D201" s="215">
        <v>11373</v>
      </c>
      <c r="E201" s="216">
        <v>16941</v>
      </c>
      <c r="F201" s="215">
        <v>0</v>
      </c>
      <c r="G201" s="216">
        <f t="shared" si="2"/>
        <v>28314</v>
      </c>
    </row>
    <row r="202" spans="1:7" ht="15.95" customHeight="1">
      <c r="A202" s="212" t="s">
        <v>92</v>
      </c>
      <c r="B202" s="213">
        <v>4307</v>
      </c>
      <c r="C202" s="214" t="s">
        <v>307</v>
      </c>
      <c r="D202" s="215">
        <v>51000</v>
      </c>
      <c r="E202" s="216">
        <v>63750</v>
      </c>
      <c r="F202" s="215">
        <v>0</v>
      </c>
      <c r="G202" s="216">
        <f t="shared" si="2"/>
        <v>114750</v>
      </c>
    </row>
    <row r="203" spans="1:7" ht="15.95" customHeight="1">
      <c r="A203" s="212" t="s">
        <v>92</v>
      </c>
      <c r="B203" s="213">
        <v>4309</v>
      </c>
      <c r="C203" s="214" t="s">
        <v>307</v>
      </c>
      <c r="D203" s="215">
        <v>9000</v>
      </c>
      <c r="E203" s="216">
        <v>11250</v>
      </c>
      <c r="F203" s="215">
        <v>0</v>
      </c>
      <c r="G203" s="216">
        <f t="shared" si="2"/>
        <v>20250</v>
      </c>
    </row>
    <row r="204" spans="1:7" s="206" customFormat="1" ht="15.95" customHeight="1">
      <c r="A204" s="207">
        <v>85495</v>
      </c>
      <c r="B204" s="208" t="s">
        <v>92</v>
      </c>
      <c r="C204" s="209" t="s">
        <v>103</v>
      </c>
      <c r="D204" s="210">
        <v>742591</v>
      </c>
      <c r="E204" s="211">
        <f>E205</f>
        <v>275000</v>
      </c>
      <c r="F204" s="211">
        <f>F205</f>
        <v>0</v>
      </c>
      <c r="G204" s="211">
        <f t="shared" ref="G204:G267" si="3">D204+E204-F204</f>
        <v>1017591</v>
      </c>
    </row>
    <row r="205" spans="1:7" ht="51" customHeight="1">
      <c r="A205" s="212" t="s">
        <v>92</v>
      </c>
      <c r="B205" s="213">
        <v>2820</v>
      </c>
      <c r="C205" s="214" t="s">
        <v>335</v>
      </c>
      <c r="D205" s="215">
        <v>0</v>
      </c>
      <c r="E205" s="216">
        <v>275000</v>
      </c>
      <c r="F205" s="215">
        <v>0</v>
      </c>
      <c r="G205" s="216">
        <f t="shared" si="3"/>
        <v>275000</v>
      </c>
    </row>
    <row r="206" spans="1:7" s="206" customFormat="1" ht="15.95" customHeight="1">
      <c r="A206" s="201" t="s">
        <v>84</v>
      </c>
      <c r="B206" s="202" t="s">
        <v>92</v>
      </c>
      <c r="C206" s="203" t="s">
        <v>83</v>
      </c>
      <c r="D206" s="204">
        <v>22408777.399999999</v>
      </c>
      <c r="E206" s="205">
        <f>E207</f>
        <v>10000</v>
      </c>
      <c r="F206" s="205">
        <f>F207</f>
        <v>0</v>
      </c>
      <c r="G206" s="205">
        <f t="shared" si="3"/>
        <v>22418777.399999999</v>
      </c>
    </row>
    <row r="207" spans="1:7" s="206" customFormat="1" ht="15.95" customHeight="1">
      <c r="A207" s="207">
        <v>85595</v>
      </c>
      <c r="B207" s="208" t="s">
        <v>92</v>
      </c>
      <c r="C207" s="209" t="s">
        <v>103</v>
      </c>
      <c r="D207" s="210">
        <v>17548275</v>
      </c>
      <c r="E207" s="211">
        <f>SUM(E208:E209)</f>
        <v>10000</v>
      </c>
      <c r="F207" s="211">
        <f>SUM(F208:F209)</f>
        <v>0</v>
      </c>
      <c r="G207" s="211">
        <f t="shared" si="3"/>
        <v>17558275</v>
      </c>
    </row>
    <row r="208" spans="1:7" ht="15.95" customHeight="1">
      <c r="A208" s="212" t="s">
        <v>92</v>
      </c>
      <c r="B208" s="213">
        <v>3030</v>
      </c>
      <c r="C208" s="214" t="s">
        <v>309</v>
      </c>
      <c r="D208" s="215">
        <v>2500</v>
      </c>
      <c r="E208" s="216">
        <v>1500</v>
      </c>
      <c r="F208" s="215">
        <v>0</v>
      </c>
      <c r="G208" s="216">
        <f t="shared" si="3"/>
        <v>4000</v>
      </c>
    </row>
    <row r="209" spans="1:7" ht="15.95" customHeight="1">
      <c r="A209" s="212" t="s">
        <v>92</v>
      </c>
      <c r="B209" s="213">
        <v>4300</v>
      </c>
      <c r="C209" s="214" t="s">
        <v>307</v>
      </c>
      <c r="D209" s="215">
        <v>191800</v>
      </c>
      <c r="E209" s="216">
        <v>8500</v>
      </c>
      <c r="F209" s="215">
        <v>0</v>
      </c>
      <c r="G209" s="216">
        <f t="shared" si="3"/>
        <v>200300</v>
      </c>
    </row>
    <row r="210" spans="1:7" s="206" customFormat="1" ht="15.95" customHeight="1">
      <c r="A210" s="201" t="s">
        <v>65</v>
      </c>
      <c r="B210" s="202" t="s">
        <v>92</v>
      </c>
      <c r="C210" s="203" t="s">
        <v>66</v>
      </c>
      <c r="D210" s="204">
        <v>11228942</v>
      </c>
      <c r="E210" s="205">
        <f>E211</f>
        <v>380626</v>
      </c>
      <c r="F210" s="205">
        <f>F211</f>
        <v>996011</v>
      </c>
      <c r="G210" s="205">
        <f t="shared" si="3"/>
        <v>10613557</v>
      </c>
    </row>
    <row r="211" spans="1:7" s="206" customFormat="1" ht="15.95" customHeight="1">
      <c r="A211" s="207">
        <v>90095</v>
      </c>
      <c r="B211" s="208" t="s">
        <v>92</v>
      </c>
      <c r="C211" s="209" t="s">
        <v>103</v>
      </c>
      <c r="D211" s="210">
        <v>9465592</v>
      </c>
      <c r="E211" s="211">
        <f>SUM(E212:E236)</f>
        <v>380626</v>
      </c>
      <c r="F211" s="211">
        <f>SUM(F212:F236)</f>
        <v>996011</v>
      </c>
      <c r="G211" s="211">
        <f t="shared" si="3"/>
        <v>8850207</v>
      </c>
    </row>
    <row r="212" spans="1:7" ht="72.95" customHeight="1">
      <c r="A212" s="212" t="s">
        <v>92</v>
      </c>
      <c r="B212" s="213">
        <v>2059</v>
      </c>
      <c r="C212" s="214" t="s">
        <v>111</v>
      </c>
      <c r="D212" s="215">
        <v>165000</v>
      </c>
      <c r="E212" s="216">
        <v>0</v>
      </c>
      <c r="F212" s="215">
        <v>30892</v>
      </c>
      <c r="G212" s="216">
        <f t="shared" si="3"/>
        <v>134108</v>
      </c>
    </row>
    <row r="213" spans="1:7" ht="15.95" customHeight="1">
      <c r="A213" s="212" t="s">
        <v>92</v>
      </c>
      <c r="B213" s="213">
        <v>3038</v>
      </c>
      <c r="C213" s="214" t="s">
        <v>309</v>
      </c>
      <c r="D213" s="215">
        <v>10240</v>
      </c>
      <c r="E213" s="216">
        <v>4000</v>
      </c>
      <c r="F213" s="215">
        <v>0</v>
      </c>
      <c r="G213" s="216">
        <f t="shared" si="3"/>
        <v>14240</v>
      </c>
    </row>
    <row r="214" spans="1:7" ht="15.95" customHeight="1">
      <c r="A214" s="212" t="s">
        <v>92</v>
      </c>
      <c r="B214" s="213">
        <v>3039</v>
      </c>
      <c r="C214" s="214" t="s">
        <v>309</v>
      </c>
      <c r="D214" s="215">
        <v>2560</v>
      </c>
      <c r="E214" s="216">
        <v>1000</v>
      </c>
      <c r="F214" s="215">
        <v>0</v>
      </c>
      <c r="G214" s="216">
        <f t="shared" si="3"/>
        <v>3560</v>
      </c>
    </row>
    <row r="215" spans="1:7" ht="15.95" customHeight="1">
      <c r="A215" s="212" t="s">
        <v>92</v>
      </c>
      <c r="B215" s="213">
        <v>4018</v>
      </c>
      <c r="C215" s="214" t="s">
        <v>313</v>
      </c>
      <c r="D215" s="215">
        <v>532583</v>
      </c>
      <c r="E215" s="216">
        <v>60423</v>
      </c>
      <c r="F215" s="215">
        <v>0</v>
      </c>
      <c r="G215" s="216">
        <f t="shared" si="3"/>
        <v>593006</v>
      </c>
    </row>
    <row r="216" spans="1:7" ht="15.95" customHeight="1">
      <c r="A216" s="212" t="s">
        <v>92</v>
      </c>
      <c r="B216" s="213">
        <v>4019</v>
      </c>
      <c r="C216" s="214" t="s">
        <v>313</v>
      </c>
      <c r="D216" s="215">
        <v>118559</v>
      </c>
      <c r="E216" s="216">
        <v>15106</v>
      </c>
      <c r="F216" s="215">
        <v>0</v>
      </c>
      <c r="G216" s="216">
        <f t="shared" si="3"/>
        <v>133665</v>
      </c>
    </row>
    <row r="217" spans="1:7" ht="15.95" customHeight="1">
      <c r="A217" s="212" t="s">
        <v>92</v>
      </c>
      <c r="B217" s="213">
        <v>4118</v>
      </c>
      <c r="C217" s="214" t="s">
        <v>314</v>
      </c>
      <c r="D217" s="215">
        <v>97652</v>
      </c>
      <c r="E217" s="216">
        <v>10230</v>
      </c>
      <c r="F217" s="215">
        <v>0</v>
      </c>
      <c r="G217" s="216">
        <f t="shared" si="3"/>
        <v>107882</v>
      </c>
    </row>
    <row r="218" spans="1:7" ht="15.95" customHeight="1">
      <c r="A218" s="212" t="s">
        <v>92</v>
      </c>
      <c r="B218" s="213">
        <v>4119</v>
      </c>
      <c r="C218" s="214" t="s">
        <v>314</v>
      </c>
      <c r="D218" s="215">
        <v>21730</v>
      </c>
      <c r="E218" s="216">
        <v>2557</v>
      </c>
      <c r="F218" s="215">
        <v>0</v>
      </c>
      <c r="G218" s="216">
        <f t="shared" si="3"/>
        <v>24287</v>
      </c>
    </row>
    <row r="219" spans="1:7" ht="15.95" customHeight="1">
      <c r="A219" s="212" t="s">
        <v>92</v>
      </c>
      <c r="B219" s="213">
        <v>4128</v>
      </c>
      <c r="C219" s="214" t="s">
        <v>315</v>
      </c>
      <c r="D219" s="215">
        <v>14131</v>
      </c>
      <c r="E219" s="216">
        <v>1480</v>
      </c>
      <c r="F219" s="215">
        <v>0</v>
      </c>
      <c r="G219" s="216">
        <f t="shared" si="3"/>
        <v>15611</v>
      </c>
    </row>
    <row r="220" spans="1:7" ht="15.95" customHeight="1">
      <c r="A220" s="212" t="s">
        <v>92</v>
      </c>
      <c r="B220" s="213">
        <v>4129</v>
      </c>
      <c r="C220" s="214" t="s">
        <v>315</v>
      </c>
      <c r="D220" s="215">
        <v>3145</v>
      </c>
      <c r="E220" s="216">
        <v>370</v>
      </c>
      <c r="F220" s="215">
        <v>0</v>
      </c>
      <c r="G220" s="216">
        <f t="shared" si="3"/>
        <v>3515</v>
      </c>
    </row>
    <row r="221" spans="1:7" ht="15.95" customHeight="1">
      <c r="A221" s="212" t="s">
        <v>92</v>
      </c>
      <c r="B221" s="213">
        <v>4218</v>
      </c>
      <c r="C221" s="214" t="s">
        <v>305</v>
      </c>
      <c r="D221" s="215">
        <v>35600</v>
      </c>
      <c r="E221" s="216">
        <v>1600</v>
      </c>
      <c r="F221" s="215">
        <v>0</v>
      </c>
      <c r="G221" s="216">
        <f t="shared" si="3"/>
        <v>37200</v>
      </c>
    </row>
    <row r="222" spans="1:7" ht="15.95" customHeight="1">
      <c r="A222" s="212" t="s">
        <v>92</v>
      </c>
      <c r="B222" s="213">
        <v>4219</v>
      </c>
      <c r="C222" s="214" t="s">
        <v>305</v>
      </c>
      <c r="D222" s="215">
        <v>6400</v>
      </c>
      <c r="E222" s="216">
        <v>400</v>
      </c>
      <c r="F222" s="215">
        <v>0</v>
      </c>
      <c r="G222" s="216">
        <f t="shared" si="3"/>
        <v>6800</v>
      </c>
    </row>
    <row r="223" spans="1:7" ht="15.95" customHeight="1">
      <c r="A223" s="212" t="s">
        <v>92</v>
      </c>
      <c r="B223" s="213">
        <v>4300</v>
      </c>
      <c r="C223" s="214" t="s">
        <v>307</v>
      </c>
      <c r="D223" s="215">
        <v>868105</v>
      </c>
      <c r="E223" s="216">
        <v>130000</v>
      </c>
      <c r="F223" s="215">
        <v>0</v>
      </c>
      <c r="G223" s="216">
        <f t="shared" si="3"/>
        <v>998105</v>
      </c>
    </row>
    <row r="224" spans="1:7" ht="15.95" customHeight="1">
      <c r="A224" s="212" t="s">
        <v>92</v>
      </c>
      <c r="B224" s="213">
        <v>4308</v>
      </c>
      <c r="C224" s="214" t="s">
        <v>307</v>
      </c>
      <c r="D224" s="215">
        <v>389223</v>
      </c>
      <c r="E224" s="216">
        <v>91934</v>
      </c>
      <c r="F224" s="215">
        <v>0</v>
      </c>
      <c r="G224" s="216">
        <f t="shared" si="3"/>
        <v>481157</v>
      </c>
    </row>
    <row r="225" spans="1:7" ht="15.95" customHeight="1">
      <c r="A225" s="212" t="s">
        <v>92</v>
      </c>
      <c r="B225" s="213">
        <v>4309</v>
      </c>
      <c r="C225" s="214" t="s">
        <v>307</v>
      </c>
      <c r="D225" s="215">
        <v>85595</v>
      </c>
      <c r="E225" s="216">
        <v>19589</v>
      </c>
      <c r="F225" s="215">
        <v>0</v>
      </c>
      <c r="G225" s="216">
        <f t="shared" si="3"/>
        <v>105184</v>
      </c>
    </row>
    <row r="226" spans="1:7" ht="15.95" customHeight="1">
      <c r="A226" s="212" t="s">
        <v>92</v>
      </c>
      <c r="B226" s="213">
        <v>4388</v>
      </c>
      <c r="C226" s="214" t="s">
        <v>316</v>
      </c>
      <c r="D226" s="215">
        <v>8000</v>
      </c>
      <c r="E226" s="216">
        <v>2000</v>
      </c>
      <c r="F226" s="215">
        <v>0</v>
      </c>
      <c r="G226" s="216">
        <f t="shared" si="3"/>
        <v>10000</v>
      </c>
    </row>
    <row r="227" spans="1:7" ht="15.95" customHeight="1">
      <c r="A227" s="212" t="s">
        <v>92</v>
      </c>
      <c r="B227" s="213">
        <v>4389</v>
      </c>
      <c r="C227" s="214" t="s">
        <v>316</v>
      </c>
      <c r="D227" s="215">
        <v>2000</v>
      </c>
      <c r="E227" s="216">
        <v>500</v>
      </c>
      <c r="F227" s="215">
        <v>0</v>
      </c>
      <c r="G227" s="216">
        <f t="shared" si="3"/>
        <v>2500</v>
      </c>
    </row>
    <row r="228" spans="1:7" ht="15.95" customHeight="1">
      <c r="A228" s="212" t="s">
        <v>92</v>
      </c>
      <c r="B228" s="213">
        <v>4418</v>
      </c>
      <c r="C228" s="214" t="s">
        <v>310</v>
      </c>
      <c r="D228" s="215">
        <v>4200</v>
      </c>
      <c r="E228" s="216">
        <v>4800</v>
      </c>
      <c r="F228" s="215">
        <v>0</v>
      </c>
      <c r="G228" s="216">
        <f t="shared" si="3"/>
        <v>9000</v>
      </c>
    </row>
    <row r="229" spans="1:7" ht="15.95" customHeight="1">
      <c r="A229" s="212" t="s">
        <v>92</v>
      </c>
      <c r="B229" s="213">
        <v>4419</v>
      </c>
      <c r="C229" s="214" t="s">
        <v>310</v>
      </c>
      <c r="D229" s="215">
        <v>800</v>
      </c>
      <c r="E229" s="216">
        <v>1200</v>
      </c>
      <c r="F229" s="215">
        <v>0</v>
      </c>
      <c r="G229" s="216">
        <f t="shared" si="3"/>
        <v>2000</v>
      </c>
    </row>
    <row r="230" spans="1:7" ht="15.95" customHeight="1">
      <c r="A230" s="212" t="s">
        <v>92</v>
      </c>
      <c r="B230" s="213">
        <v>4428</v>
      </c>
      <c r="C230" s="214" t="s">
        <v>311</v>
      </c>
      <c r="D230" s="215">
        <v>92000</v>
      </c>
      <c r="E230" s="216">
        <v>25600</v>
      </c>
      <c r="F230" s="215">
        <v>0</v>
      </c>
      <c r="G230" s="216">
        <f t="shared" si="3"/>
        <v>117600</v>
      </c>
    </row>
    <row r="231" spans="1:7" ht="15.95" customHeight="1">
      <c r="A231" s="212" t="s">
        <v>92</v>
      </c>
      <c r="B231" s="213">
        <v>4429</v>
      </c>
      <c r="C231" s="214" t="s">
        <v>311</v>
      </c>
      <c r="D231" s="215">
        <v>19000</v>
      </c>
      <c r="E231" s="216">
        <v>6400</v>
      </c>
      <c r="F231" s="215">
        <v>0</v>
      </c>
      <c r="G231" s="216">
        <f t="shared" si="3"/>
        <v>25400</v>
      </c>
    </row>
    <row r="232" spans="1:7" ht="15.95" customHeight="1">
      <c r="A232" s="212" t="s">
        <v>92</v>
      </c>
      <c r="B232" s="213">
        <v>4438</v>
      </c>
      <c r="C232" s="214" t="s">
        <v>317</v>
      </c>
      <c r="D232" s="215">
        <v>2800</v>
      </c>
      <c r="E232" s="216">
        <v>243</v>
      </c>
      <c r="F232" s="215">
        <v>0</v>
      </c>
      <c r="G232" s="216">
        <f t="shared" si="3"/>
        <v>3043</v>
      </c>
    </row>
    <row r="233" spans="1:7" ht="15.95" customHeight="1">
      <c r="A233" s="212" t="s">
        <v>92</v>
      </c>
      <c r="B233" s="213">
        <v>4439</v>
      </c>
      <c r="C233" s="214" t="s">
        <v>317</v>
      </c>
      <c r="D233" s="215">
        <v>600</v>
      </c>
      <c r="E233" s="216">
        <v>61</v>
      </c>
      <c r="F233" s="215">
        <v>0</v>
      </c>
      <c r="G233" s="216">
        <f t="shared" si="3"/>
        <v>661</v>
      </c>
    </row>
    <row r="234" spans="1:7" ht="15.95" customHeight="1">
      <c r="A234" s="212" t="s">
        <v>92</v>
      </c>
      <c r="B234" s="213">
        <v>4718</v>
      </c>
      <c r="C234" s="214" t="s">
        <v>318</v>
      </c>
      <c r="D234" s="215">
        <v>8652</v>
      </c>
      <c r="E234" s="216">
        <v>906</v>
      </c>
      <c r="F234" s="215">
        <v>0</v>
      </c>
      <c r="G234" s="216">
        <f t="shared" si="3"/>
        <v>9558</v>
      </c>
    </row>
    <row r="235" spans="1:7" ht="15.95" customHeight="1">
      <c r="A235" s="218" t="s">
        <v>92</v>
      </c>
      <c r="B235" s="219">
        <v>4719</v>
      </c>
      <c r="C235" s="220" t="s">
        <v>318</v>
      </c>
      <c r="D235" s="221">
        <v>1926</v>
      </c>
      <c r="E235" s="222">
        <v>227</v>
      </c>
      <c r="F235" s="221">
        <v>0</v>
      </c>
      <c r="G235" s="222">
        <f t="shared" si="3"/>
        <v>2153</v>
      </c>
    </row>
    <row r="236" spans="1:7" ht="72.95" customHeight="1">
      <c r="A236" s="212" t="s">
        <v>92</v>
      </c>
      <c r="B236" s="213">
        <v>6259</v>
      </c>
      <c r="C236" s="214" t="s">
        <v>107</v>
      </c>
      <c r="D236" s="215">
        <v>3639433</v>
      </c>
      <c r="E236" s="216">
        <v>0</v>
      </c>
      <c r="F236" s="215">
        <v>965119</v>
      </c>
      <c r="G236" s="216">
        <f t="shared" si="3"/>
        <v>2674314</v>
      </c>
    </row>
    <row r="237" spans="1:7" s="206" customFormat="1" ht="15.95" customHeight="1">
      <c r="A237" s="201" t="s">
        <v>67</v>
      </c>
      <c r="B237" s="202" t="s">
        <v>92</v>
      </c>
      <c r="C237" s="203" t="s">
        <v>68</v>
      </c>
      <c r="D237" s="204">
        <v>337864998</v>
      </c>
      <c r="E237" s="205">
        <f>E238+E240+E243+E245+E249+E252+E256+E260</f>
        <v>8940550</v>
      </c>
      <c r="F237" s="205">
        <f>F238+F240+F243+F245+F249+F252+F256+F260</f>
        <v>0</v>
      </c>
      <c r="G237" s="205">
        <f t="shared" si="3"/>
        <v>346805548</v>
      </c>
    </row>
    <row r="238" spans="1:7" s="206" customFormat="1" ht="15.95" customHeight="1">
      <c r="A238" s="207">
        <v>92105</v>
      </c>
      <c r="B238" s="208" t="s">
        <v>92</v>
      </c>
      <c r="C238" s="209" t="s">
        <v>122</v>
      </c>
      <c r="D238" s="210">
        <v>0</v>
      </c>
      <c r="E238" s="211">
        <f>E239</f>
        <v>640000</v>
      </c>
      <c r="F238" s="211">
        <f>F239</f>
        <v>0</v>
      </c>
      <c r="G238" s="211">
        <f t="shared" si="3"/>
        <v>640000</v>
      </c>
    </row>
    <row r="239" spans="1:7" ht="29.25" customHeight="1">
      <c r="A239" s="212" t="s">
        <v>92</v>
      </c>
      <c r="B239" s="213">
        <v>2800</v>
      </c>
      <c r="C239" s="214" t="s">
        <v>336</v>
      </c>
      <c r="D239" s="215">
        <v>0</v>
      </c>
      <c r="E239" s="216">
        <v>640000</v>
      </c>
      <c r="F239" s="215">
        <v>0</v>
      </c>
      <c r="G239" s="216">
        <f t="shared" si="3"/>
        <v>640000</v>
      </c>
    </row>
    <row r="240" spans="1:7" s="206" customFormat="1" ht="15.95" customHeight="1">
      <c r="A240" s="207">
        <v>92106</v>
      </c>
      <c r="B240" s="208" t="s">
        <v>92</v>
      </c>
      <c r="C240" s="209" t="s">
        <v>337</v>
      </c>
      <c r="D240" s="210">
        <v>143864764</v>
      </c>
      <c r="E240" s="211">
        <f>SUM(E241:E242)</f>
        <v>923500</v>
      </c>
      <c r="F240" s="211">
        <f>SUM(F241:F242)</f>
        <v>0</v>
      </c>
      <c r="G240" s="211">
        <f t="shared" si="3"/>
        <v>144788264</v>
      </c>
    </row>
    <row r="241" spans="1:7" ht="30" customHeight="1">
      <c r="A241" s="212" t="s">
        <v>92</v>
      </c>
      <c r="B241" s="213">
        <v>2480</v>
      </c>
      <c r="C241" s="214" t="s">
        <v>338</v>
      </c>
      <c r="D241" s="215">
        <v>53582000</v>
      </c>
      <c r="E241" s="216">
        <v>383500</v>
      </c>
      <c r="F241" s="215">
        <v>0</v>
      </c>
      <c r="G241" s="216">
        <f t="shared" si="3"/>
        <v>53965500</v>
      </c>
    </row>
    <row r="242" spans="1:7" ht="54" customHeight="1">
      <c r="A242" s="212" t="s">
        <v>92</v>
      </c>
      <c r="B242" s="213">
        <v>6220</v>
      </c>
      <c r="C242" s="214" t="s">
        <v>330</v>
      </c>
      <c r="D242" s="215">
        <v>89502092</v>
      </c>
      <c r="E242" s="216">
        <v>540000</v>
      </c>
      <c r="F242" s="215">
        <v>0</v>
      </c>
      <c r="G242" s="216">
        <f t="shared" si="3"/>
        <v>90042092</v>
      </c>
    </row>
    <row r="243" spans="1:7" s="206" customFormat="1" ht="15.95" customHeight="1">
      <c r="A243" s="207">
        <v>92108</v>
      </c>
      <c r="B243" s="208" t="s">
        <v>92</v>
      </c>
      <c r="C243" s="209" t="s">
        <v>279</v>
      </c>
      <c r="D243" s="210">
        <v>31175174</v>
      </c>
      <c r="E243" s="211">
        <f>E244</f>
        <v>300000</v>
      </c>
      <c r="F243" s="211">
        <f>F244</f>
        <v>0</v>
      </c>
      <c r="G243" s="211">
        <f t="shared" si="3"/>
        <v>31475174</v>
      </c>
    </row>
    <row r="244" spans="1:7" ht="15.95" customHeight="1">
      <c r="A244" s="212" t="s">
        <v>92</v>
      </c>
      <c r="B244" s="213">
        <v>6050</v>
      </c>
      <c r="C244" s="214" t="s">
        <v>312</v>
      </c>
      <c r="D244" s="215">
        <v>0</v>
      </c>
      <c r="E244" s="216">
        <v>300000</v>
      </c>
      <c r="F244" s="215">
        <v>0</v>
      </c>
      <c r="G244" s="216">
        <f t="shared" si="3"/>
        <v>300000</v>
      </c>
    </row>
    <row r="245" spans="1:7" s="206" customFormat="1" ht="15.95" customHeight="1">
      <c r="A245" s="207">
        <v>92109</v>
      </c>
      <c r="B245" s="208" t="s">
        <v>92</v>
      </c>
      <c r="C245" s="209" t="s">
        <v>280</v>
      </c>
      <c r="D245" s="210">
        <v>53263239</v>
      </c>
      <c r="E245" s="211">
        <f>SUM(E246:E248)</f>
        <v>2521526</v>
      </c>
      <c r="F245" s="211">
        <f>SUM(F246:F248)</f>
        <v>0</v>
      </c>
      <c r="G245" s="211">
        <f t="shared" si="3"/>
        <v>55784765</v>
      </c>
    </row>
    <row r="246" spans="1:7" ht="29.25" customHeight="1">
      <c r="A246" s="212" t="s">
        <v>92</v>
      </c>
      <c r="B246" s="213">
        <v>2480</v>
      </c>
      <c r="C246" s="214" t="s">
        <v>338</v>
      </c>
      <c r="D246" s="215">
        <v>18149000</v>
      </c>
      <c r="E246" s="216">
        <v>558695</v>
      </c>
      <c r="F246" s="215">
        <v>0</v>
      </c>
      <c r="G246" s="216">
        <f t="shared" si="3"/>
        <v>18707695</v>
      </c>
    </row>
    <row r="247" spans="1:7" ht="32.25" customHeight="1">
      <c r="A247" s="212" t="s">
        <v>92</v>
      </c>
      <c r="B247" s="213">
        <v>2800</v>
      </c>
      <c r="C247" s="214" t="s">
        <v>336</v>
      </c>
      <c r="D247" s="215">
        <v>963812</v>
      </c>
      <c r="E247" s="216">
        <v>34639</v>
      </c>
      <c r="F247" s="215">
        <v>0</v>
      </c>
      <c r="G247" s="216">
        <f t="shared" si="3"/>
        <v>998451</v>
      </c>
    </row>
    <row r="248" spans="1:7" ht="54" customHeight="1">
      <c r="A248" s="212" t="s">
        <v>92</v>
      </c>
      <c r="B248" s="213">
        <v>6220</v>
      </c>
      <c r="C248" s="214" t="s">
        <v>330</v>
      </c>
      <c r="D248" s="215">
        <v>34150427</v>
      </c>
      <c r="E248" s="216">
        <v>1928192</v>
      </c>
      <c r="F248" s="215">
        <v>0</v>
      </c>
      <c r="G248" s="216">
        <f t="shared" si="3"/>
        <v>36078619</v>
      </c>
    </row>
    <row r="249" spans="1:7" s="206" customFormat="1" ht="15.95" customHeight="1">
      <c r="A249" s="207">
        <v>92110</v>
      </c>
      <c r="B249" s="208" t="s">
        <v>92</v>
      </c>
      <c r="C249" s="209" t="s">
        <v>281</v>
      </c>
      <c r="D249" s="210">
        <v>5239756</v>
      </c>
      <c r="E249" s="211">
        <f>SUM(E250:E251)</f>
        <v>217422</v>
      </c>
      <c r="F249" s="211">
        <f>SUM(F250:F251)</f>
        <v>0</v>
      </c>
      <c r="G249" s="211">
        <f t="shared" si="3"/>
        <v>5457178</v>
      </c>
    </row>
    <row r="250" spans="1:7" ht="29.25" customHeight="1">
      <c r="A250" s="212" t="s">
        <v>92</v>
      </c>
      <c r="B250" s="213">
        <v>2480</v>
      </c>
      <c r="C250" s="214" t="s">
        <v>338</v>
      </c>
      <c r="D250" s="215">
        <v>5083000</v>
      </c>
      <c r="E250" s="216">
        <v>17422</v>
      </c>
      <c r="F250" s="215">
        <v>0</v>
      </c>
      <c r="G250" s="216">
        <f t="shared" si="3"/>
        <v>5100422</v>
      </c>
    </row>
    <row r="251" spans="1:7" ht="54" customHeight="1">
      <c r="A251" s="212" t="s">
        <v>92</v>
      </c>
      <c r="B251" s="213">
        <v>6220</v>
      </c>
      <c r="C251" s="214" t="s">
        <v>330</v>
      </c>
      <c r="D251" s="215">
        <v>135756</v>
      </c>
      <c r="E251" s="216">
        <v>200000</v>
      </c>
      <c r="F251" s="215">
        <v>0</v>
      </c>
      <c r="G251" s="216">
        <f t="shared" si="3"/>
        <v>335756</v>
      </c>
    </row>
    <row r="252" spans="1:7" s="206" customFormat="1" ht="15.95" customHeight="1">
      <c r="A252" s="207">
        <v>92116</v>
      </c>
      <c r="B252" s="208" t="s">
        <v>92</v>
      </c>
      <c r="C252" s="209" t="s">
        <v>283</v>
      </c>
      <c r="D252" s="210">
        <v>49276898</v>
      </c>
      <c r="E252" s="211">
        <f>SUM(E253:E255)</f>
        <v>2285029</v>
      </c>
      <c r="F252" s="211">
        <f>SUM(F253:F255)</f>
        <v>0</v>
      </c>
      <c r="G252" s="211">
        <f t="shared" si="3"/>
        <v>51561927</v>
      </c>
    </row>
    <row r="253" spans="1:7" ht="29.25" customHeight="1">
      <c r="A253" s="212" t="s">
        <v>92</v>
      </c>
      <c r="B253" s="213">
        <v>2480</v>
      </c>
      <c r="C253" s="214" t="s">
        <v>338</v>
      </c>
      <c r="D253" s="215">
        <v>37601498</v>
      </c>
      <c r="E253" s="216">
        <v>356233</v>
      </c>
      <c r="F253" s="215">
        <v>0</v>
      </c>
      <c r="G253" s="216">
        <f t="shared" si="3"/>
        <v>37957731</v>
      </c>
    </row>
    <row r="254" spans="1:7" ht="33" customHeight="1">
      <c r="A254" s="212" t="s">
        <v>92</v>
      </c>
      <c r="B254" s="213">
        <v>2800</v>
      </c>
      <c r="C254" s="214" t="s">
        <v>336</v>
      </c>
      <c r="D254" s="215">
        <v>876167</v>
      </c>
      <c r="E254" s="216">
        <v>518179</v>
      </c>
      <c r="F254" s="215">
        <v>0</v>
      </c>
      <c r="G254" s="216">
        <f t="shared" si="3"/>
        <v>1394346</v>
      </c>
    </row>
    <row r="255" spans="1:7" ht="53.25" customHeight="1">
      <c r="A255" s="212" t="s">
        <v>92</v>
      </c>
      <c r="B255" s="213">
        <v>6220</v>
      </c>
      <c r="C255" s="214" t="s">
        <v>330</v>
      </c>
      <c r="D255" s="215">
        <v>10799233</v>
      </c>
      <c r="E255" s="216">
        <v>1410617</v>
      </c>
      <c r="F255" s="215">
        <v>0</v>
      </c>
      <c r="G255" s="216">
        <f t="shared" si="3"/>
        <v>12209850</v>
      </c>
    </row>
    <row r="256" spans="1:7" s="206" customFormat="1" ht="15.95" customHeight="1">
      <c r="A256" s="207">
        <v>92118</v>
      </c>
      <c r="B256" s="208" t="s">
        <v>92</v>
      </c>
      <c r="C256" s="209" t="s">
        <v>284</v>
      </c>
      <c r="D256" s="210">
        <v>30649672</v>
      </c>
      <c r="E256" s="211">
        <f>SUM(E257:E259)</f>
        <v>978376</v>
      </c>
      <c r="F256" s="211">
        <f>SUM(F257:F259)</f>
        <v>0</v>
      </c>
      <c r="G256" s="211">
        <f t="shared" si="3"/>
        <v>31628048</v>
      </c>
    </row>
    <row r="257" spans="1:7" ht="29.25" customHeight="1">
      <c r="A257" s="212" t="s">
        <v>92</v>
      </c>
      <c r="B257" s="213">
        <v>2480</v>
      </c>
      <c r="C257" s="214" t="s">
        <v>338</v>
      </c>
      <c r="D257" s="215">
        <v>26836000</v>
      </c>
      <c r="E257" s="216">
        <v>278061</v>
      </c>
      <c r="F257" s="215">
        <v>0</v>
      </c>
      <c r="G257" s="216">
        <f t="shared" si="3"/>
        <v>27114061</v>
      </c>
    </row>
    <row r="258" spans="1:7" ht="29.25" customHeight="1">
      <c r="A258" s="212" t="s">
        <v>92</v>
      </c>
      <c r="B258" s="213">
        <v>2800</v>
      </c>
      <c r="C258" s="214" t="s">
        <v>336</v>
      </c>
      <c r="D258" s="215">
        <v>113480</v>
      </c>
      <c r="E258" s="216">
        <v>153749</v>
      </c>
      <c r="F258" s="215">
        <v>0</v>
      </c>
      <c r="G258" s="216">
        <f t="shared" si="3"/>
        <v>267229</v>
      </c>
    </row>
    <row r="259" spans="1:7" ht="54.75" customHeight="1">
      <c r="A259" s="212" t="s">
        <v>92</v>
      </c>
      <c r="B259" s="213">
        <v>6220</v>
      </c>
      <c r="C259" s="214" t="s">
        <v>330</v>
      </c>
      <c r="D259" s="215">
        <v>3600192</v>
      </c>
      <c r="E259" s="216">
        <v>546566</v>
      </c>
      <c r="F259" s="215">
        <v>0</v>
      </c>
      <c r="G259" s="216">
        <f t="shared" si="3"/>
        <v>4146758</v>
      </c>
    </row>
    <row r="260" spans="1:7" s="206" customFormat="1" ht="15.95" customHeight="1">
      <c r="A260" s="207">
        <v>92195</v>
      </c>
      <c r="B260" s="208" t="s">
        <v>92</v>
      </c>
      <c r="C260" s="209" t="s">
        <v>103</v>
      </c>
      <c r="D260" s="210">
        <v>18775008</v>
      </c>
      <c r="E260" s="211">
        <f>SUM(E261:E271)</f>
        <v>1074697</v>
      </c>
      <c r="F260" s="211">
        <f>SUM(F261:F271)</f>
        <v>0</v>
      </c>
      <c r="G260" s="211">
        <f t="shared" si="3"/>
        <v>19849705</v>
      </c>
    </row>
    <row r="261" spans="1:7" ht="66.75" customHeight="1">
      <c r="A261" s="212" t="s">
        <v>92</v>
      </c>
      <c r="B261" s="213">
        <v>2059</v>
      </c>
      <c r="C261" s="214" t="s">
        <v>111</v>
      </c>
      <c r="D261" s="215">
        <v>4308</v>
      </c>
      <c r="E261" s="216">
        <v>448</v>
      </c>
      <c r="F261" s="215">
        <v>0</v>
      </c>
      <c r="G261" s="216">
        <f t="shared" si="3"/>
        <v>4756</v>
      </c>
    </row>
    <row r="262" spans="1:7" ht="15.95" customHeight="1">
      <c r="A262" s="212" t="s">
        <v>92</v>
      </c>
      <c r="B262" s="213">
        <v>4018</v>
      </c>
      <c r="C262" s="214" t="s">
        <v>313</v>
      </c>
      <c r="D262" s="215">
        <v>72000</v>
      </c>
      <c r="E262" s="216">
        <v>12438</v>
      </c>
      <c r="F262" s="215">
        <v>0</v>
      </c>
      <c r="G262" s="216">
        <f t="shared" si="3"/>
        <v>84438</v>
      </c>
    </row>
    <row r="263" spans="1:7" ht="15.95" customHeight="1">
      <c r="A263" s="212" t="s">
        <v>92</v>
      </c>
      <c r="B263" s="213">
        <v>4019</v>
      </c>
      <c r="C263" s="214" t="s">
        <v>313</v>
      </c>
      <c r="D263" s="215">
        <v>18000</v>
      </c>
      <c r="E263" s="216">
        <v>3110</v>
      </c>
      <c r="F263" s="215">
        <v>0</v>
      </c>
      <c r="G263" s="216">
        <f t="shared" si="3"/>
        <v>21110</v>
      </c>
    </row>
    <row r="264" spans="1:7" ht="15.95" customHeight="1">
      <c r="A264" s="212" t="s">
        <v>92</v>
      </c>
      <c r="B264" s="213">
        <v>4118</v>
      </c>
      <c r="C264" s="214" t="s">
        <v>314</v>
      </c>
      <c r="D264" s="215">
        <v>13409</v>
      </c>
      <c r="E264" s="216">
        <v>2105</v>
      </c>
      <c r="F264" s="215">
        <v>0</v>
      </c>
      <c r="G264" s="216">
        <f t="shared" si="3"/>
        <v>15514</v>
      </c>
    </row>
    <row r="265" spans="1:7" ht="15.95" customHeight="1">
      <c r="A265" s="212" t="s">
        <v>92</v>
      </c>
      <c r="B265" s="213">
        <v>4119</v>
      </c>
      <c r="C265" s="214" t="s">
        <v>314</v>
      </c>
      <c r="D265" s="215">
        <v>3352</v>
      </c>
      <c r="E265" s="216">
        <v>527</v>
      </c>
      <c r="F265" s="215">
        <v>0</v>
      </c>
      <c r="G265" s="216">
        <f t="shared" si="3"/>
        <v>3879</v>
      </c>
    </row>
    <row r="266" spans="1:7" ht="15.95" customHeight="1">
      <c r="A266" s="212" t="s">
        <v>92</v>
      </c>
      <c r="B266" s="213">
        <v>4128</v>
      </c>
      <c r="C266" s="214" t="s">
        <v>315</v>
      </c>
      <c r="D266" s="215">
        <v>1940</v>
      </c>
      <c r="E266" s="216">
        <v>305</v>
      </c>
      <c r="F266" s="215">
        <v>0</v>
      </c>
      <c r="G266" s="216">
        <f t="shared" si="3"/>
        <v>2245</v>
      </c>
    </row>
    <row r="267" spans="1:7" ht="15.95" customHeight="1">
      <c r="A267" s="212" t="s">
        <v>92</v>
      </c>
      <c r="B267" s="213">
        <v>4129</v>
      </c>
      <c r="C267" s="214" t="s">
        <v>315</v>
      </c>
      <c r="D267" s="215">
        <v>485</v>
      </c>
      <c r="E267" s="216">
        <v>76</v>
      </c>
      <c r="F267" s="215">
        <v>0</v>
      </c>
      <c r="G267" s="216">
        <f t="shared" si="3"/>
        <v>561</v>
      </c>
    </row>
    <row r="268" spans="1:7" ht="15.95" customHeight="1">
      <c r="A268" s="212" t="s">
        <v>92</v>
      </c>
      <c r="B268" s="213">
        <v>4300</v>
      </c>
      <c r="C268" s="214" t="s">
        <v>307</v>
      </c>
      <c r="D268" s="215">
        <v>10110000</v>
      </c>
      <c r="E268" s="216">
        <v>1000000</v>
      </c>
      <c r="F268" s="215">
        <v>0</v>
      </c>
      <c r="G268" s="216">
        <f t="shared" ref="G268:G287" si="4">D268+E268-F268</f>
        <v>11110000</v>
      </c>
    </row>
    <row r="269" spans="1:7" ht="15.95" customHeight="1">
      <c r="A269" s="218" t="s">
        <v>92</v>
      </c>
      <c r="B269" s="219">
        <v>4718</v>
      </c>
      <c r="C269" s="220" t="s">
        <v>318</v>
      </c>
      <c r="D269" s="221">
        <v>1188</v>
      </c>
      <c r="E269" s="222">
        <v>187</v>
      </c>
      <c r="F269" s="221">
        <v>0</v>
      </c>
      <c r="G269" s="222">
        <f t="shared" si="4"/>
        <v>1375</v>
      </c>
    </row>
    <row r="270" spans="1:7" ht="15.95" customHeight="1">
      <c r="A270" s="261" t="s">
        <v>92</v>
      </c>
      <c r="B270" s="262">
        <v>4719</v>
      </c>
      <c r="C270" s="263" t="s">
        <v>318</v>
      </c>
      <c r="D270" s="264">
        <v>297</v>
      </c>
      <c r="E270" s="265">
        <v>47</v>
      </c>
      <c r="F270" s="264">
        <v>0</v>
      </c>
      <c r="G270" s="265">
        <f t="shared" si="4"/>
        <v>344</v>
      </c>
    </row>
    <row r="271" spans="1:7" ht="72.95" customHeight="1">
      <c r="A271" s="212" t="s">
        <v>92</v>
      </c>
      <c r="B271" s="213">
        <v>6209</v>
      </c>
      <c r="C271" s="214" t="s">
        <v>329</v>
      </c>
      <c r="D271" s="215">
        <v>109260</v>
      </c>
      <c r="E271" s="216">
        <v>55454</v>
      </c>
      <c r="F271" s="215">
        <v>0</v>
      </c>
      <c r="G271" s="216">
        <f t="shared" si="4"/>
        <v>164714</v>
      </c>
    </row>
    <row r="272" spans="1:7" s="206" customFormat="1" ht="33" customHeight="1">
      <c r="A272" s="201" t="s">
        <v>27</v>
      </c>
      <c r="B272" s="202" t="s">
        <v>92</v>
      </c>
      <c r="C272" s="203" t="s">
        <v>69</v>
      </c>
      <c r="D272" s="204">
        <v>18956912</v>
      </c>
      <c r="E272" s="205">
        <f>E273</f>
        <v>274812</v>
      </c>
      <c r="F272" s="205">
        <f>F273</f>
        <v>0</v>
      </c>
      <c r="G272" s="205">
        <f t="shared" si="4"/>
        <v>19231724</v>
      </c>
    </row>
    <row r="273" spans="1:7" s="206" customFormat="1" ht="15.95" customHeight="1">
      <c r="A273" s="207">
        <v>92502</v>
      </c>
      <c r="B273" s="208" t="s">
        <v>92</v>
      </c>
      <c r="C273" s="209" t="s">
        <v>124</v>
      </c>
      <c r="D273" s="210">
        <v>18956912</v>
      </c>
      <c r="E273" s="211">
        <f>SUM(E274:E281)</f>
        <v>274812</v>
      </c>
      <c r="F273" s="211">
        <f>SUM(F274:F281)</f>
        <v>0</v>
      </c>
      <c r="G273" s="211">
        <f t="shared" si="4"/>
        <v>19231724</v>
      </c>
    </row>
    <row r="274" spans="1:7" ht="15.95" customHeight="1">
      <c r="A274" s="212" t="s">
        <v>92</v>
      </c>
      <c r="B274" s="213">
        <v>3020</v>
      </c>
      <c r="C274" s="214" t="s">
        <v>322</v>
      </c>
      <c r="D274" s="215">
        <v>160728</v>
      </c>
      <c r="E274" s="216">
        <v>16233</v>
      </c>
      <c r="F274" s="215">
        <v>0</v>
      </c>
      <c r="G274" s="216">
        <f t="shared" si="4"/>
        <v>176961</v>
      </c>
    </row>
    <row r="275" spans="1:7" ht="15.95" customHeight="1">
      <c r="A275" s="212" t="s">
        <v>92</v>
      </c>
      <c r="B275" s="213">
        <v>4010</v>
      </c>
      <c r="C275" s="214" t="s">
        <v>313</v>
      </c>
      <c r="D275" s="215">
        <v>5369578</v>
      </c>
      <c r="E275" s="216">
        <v>17000</v>
      </c>
      <c r="F275" s="215">
        <v>0</v>
      </c>
      <c r="G275" s="216">
        <f t="shared" si="4"/>
        <v>5386578</v>
      </c>
    </row>
    <row r="276" spans="1:7" ht="15.95" customHeight="1">
      <c r="A276" s="212" t="s">
        <v>92</v>
      </c>
      <c r="B276" s="213">
        <v>4110</v>
      </c>
      <c r="C276" s="214" t="s">
        <v>314</v>
      </c>
      <c r="D276" s="215">
        <v>1003321</v>
      </c>
      <c r="E276" s="216">
        <v>3049</v>
      </c>
      <c r="F276" s="215">
        <v>0</v>
      </c>
      <c r="G276" s="216">
        <f t="shared" si="4"/>
        <v>1006370</v>
      </c>
    </row>
    <row r="277" spans="1:7" ht="15.95" customHeight="1">
      <c r="A277" s="212" t="s">
        <v>92</v>
      </c>
      <c r="B277" s="213">
        <v>4120</v>
      </c>
      <c r="C277" s="214" t="s">
        <v>315</v>
      </c>
      <c r="D277" s="215">
        <v>124746</v>
      </c>
      <c r="E277" s="216">
        <v>325</v>
      </c>
      <c r="F277" s="215">
        <v>0</v>
      </c>
      <c r="G277" s="216">
        <f t="shared" si="4"/>
        <v>125071</v>
      </c>
    </row>
    <row r="278" spans="1:7" ht="15.95" customHeight="1">
      <c r="A278" s="212" t="s">
        <v>92</v>
      </c>
      <c r="B278" s="213">
        <v>4210</v>
      </c>
      <c r="C278" s="214" t="s">
        <v>305</v>
      </c>
      <c r="D278" s="215">
        <v>395169</v>
      </c>
      <c r="E278" s="216">
        <v>336</v>
      </c>
      <c r="F278" s="215">
        <v>0</v>
      </c>
      <c r="G278" s="216">
        <f t="shared" si="4"/>
        <v>395505</v>
      </c>
    </row>
    <row r="279" spans="1:7" ht="15.95" customHeight="1">
      <c r="A279" s="212" t="s">
        <v>92</v>
      </c>
      <c r="B279" s="213">
        <v>4300</v>
      </c>
      <c r="C279" s="214" t="s">
        <v>307</v>
      </c>
      <c r="D279" s="215">
        <v>683897</v>
      </c>
      <c r="E279" s="216">
        <v>204550</v>
      </c>
      <c r="F279" s="215">
        <v>0</v>
      </c>
      <c r="G279" s="216">
        <f t="shared" si="4"/>
        <v>888447</v>
      </c>
    </row>
    <row r="280" spans="1:7" ht="15.95" customHeight="1">
      <c r="A280" s="212" t="s">
        <v>92</v>
      </c>
      <c r="B280" s="213">
        <v>4307</v>
      </c>
      <c r="C280" s="214" t="s">
        <v>307</v>
      </c>
      <c r="D280" s="215">
        <v>2678974</v>
      </c>
      <c r="E280" s="216">
        <v>28321</v>
      </c>
      <c r="F280" s="215">
        <v>0</v>
      </c>
      <c r="G280" s="216">
        <f t="shared" si="4"/>
        <v>2707295</v>
      </c>
    </row>
    <row r="281" spans="1:7" ht="15.95" customHeight="1">
      <c r="A281" s="212" t="s">
        <v>92</v>
      </c>
      <c r="B281" s="213">
        <v>4309</v>
      </c>
      <c r="C281" s="214" t="s">
        <v>307</v>
      </c>
      <c r="D281" s="215">
        <v>472760</v>
      </c>
      <c r="E281" s="216">
        <v>4998</v>
      </c>
      <c r="F281" s="215">
        <v>0</v>
      </c>
      <c r="G281" s="216">
        <f t="shared" si="4"/>
        <v>477758</v>
      </c>
    </row>
    <row r="282" spans="1:7" s="206" customFormat="1" ht="15.95" customHeight="1">
      <c r="A282" s="201" t="s">
        <v>339</v>
      </c>
      <c r="B282" s="202" t="s">
        <v>92</v>
      </c>
      <c r="C282" s="203" t="s">
        <v>340</v>
      </c>
      <c r="D282" s="204">
        <v>46350856</v>
      </c>
      <c r="E282" s="205">
        <f>E283+E285</f>
        <v>11851500</v>
      </c>
      <c r="F282" s="205">
        <f>F283+F285</f>
        <v>0</v>
      </c>
      <c r="G282" s="205">
        <f t="shared" si="4"/>
        <v>58202356</v>
      </c>
    </row>
    <row r="283" spans="1:7" s="206" customFormat="1" ht="15.95" customHeight="1">
      <c r="A283" s="207">
        <v>92601</v>
      </c>
      <c r="B283" s="208" t="s">
        <v>92</v>
      </c>
      <c r="C283" s="209" t="s">
        <v>288</v>
      </c>
      <c r="D283" s="210">
        <v>10606700</v>
      </c>
      <c r="E283" s="211">
        <f>E284</f>
        <v>5300000</v>
      </c>
      <c r="F283" s="211">
        <f>F284</f>
        <v>0</v>
      </c>
      <c r="G283" s="211">
        <f t="shared" si="4"/>
        <v>15906700</v>
      </c>
    </row>
    <row r="284" spans="1:7" ht="43.5" customHeight="1">
      <c r="A284" s="212" t="s">
        <v>92</v>
      </c>
      <c r="B284" s="213">
        <v>6300</v>
      </c>
      <c r="C284" s="214" t="s">
        <v>341</v>
      </c>
      <c r="D284" s="215">
        <v>10606700</v>
      </c>
      <c r="E284" s="216">
        <v>5300000</v>
      </c>
      <c r="F284" s="215">
        <v>0</v>
      </c>
      <c r="G284" s="216">
        <f t="shared" si="4"/>
        <v>15906700</v>
      </c>
    </row>
    <row r="285" spans="1:7" s="206" customFormat="1" ht="15" customHeight="1">
      <c r="A285" s="207">
        <v>92605</v>
      </c>
      <c r="B285" s="208" t="s">
        <v>92</v>
      </c>
      <c r="C285" s="209" t="s">
        <v>289</v>
      </c>
      <c r="D285" s="210">
        <v>34690000</v>
      </c>
      <c r="E285" s="211">
        <f>SUM(E286:E287)</f>
        <v>6551500</v>
      </c>
      <c r="F285" s="211">
        <f>SUM(F286:F287)</f>
        <v>0</v>
      </c>
      <c r="G285" s="211">
        <f t="shared" si="4"/>
        <v>41241500</v>
      </c>
    </row>
    <row r="286" spans="1:7" ht="15" customHeight="1">
      <c r="A286" s="212" t="s">
        <v>92</v>
      </c>
      <c r="B286" s="213">
        <v>4300</v>
      </c>
      <c r="C286" s="214" t="s">
        <v>307</v>
      </c>
      <c r="D286" s="215">
        <v>10040000</v>
      </c>
      <c r="E286" s="216">
        <v>4601500</v>
      </c>
      <c r="F286" s="215">
        <v>0</v>
      </c>
      <c r="G286" s="216">
        <f t="shared" si="4"/>
        <v>14641500</v>
      </c>
    </row>
    <row r="287" spans="1:7" ht="42.75" customHeight="1">
      <c r="A287" s="218" t="s">
        <v>92</v>
      </c>
      <c r="B287" s="219">
        <v>6300</v>
      </c>
      <c r="C287" s="220" t="s">
        <v>341</v>
      </c>
      <c r="D287" s="221">
        <v>14000000</v>
      </c>
      <c r="E287" s="222">
        <v>1950000</v>
      </c>
      <c r="F287" s="221">
        <v>0</v>
      </c>
      <c r="G287" s="222">
        <f t="shared" si="4"/>
        <v>15950000</v>
      </c>
    </row>
  </sheetData>
  <sheetProtection algorithmName="SHA-512" hashValue="twTvWEDlmu4jq9m+n4JQSQpFXKI9je22guvvjuvGLA0Pch7ad9Isprnx9j7wVHrCgL/9h96jqrsBaPLWVViIew==" saltValue="lghEwi9udZSyL2sVK64LUQ==" spinCount="100000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8100-6A44-4329-A50E-D45A1DEABD78}">
  <sheetPr>
    <pageSetUpPr fitToPage="1"/>
  </sheetPr>
  <dimension ref="A1:F64"/>
  <sheetViews>
    <sheetView view="pageBreakPreview" topLeftCell="A31" zoomScaleSheetLayoutView="100" workbookViewId="0">
      <selection activeCell="D43" sqref="D43"/>
    </sheetView>
  </sheetViews>
  <sheetFormatPr defaultColWidth="16.75" defaultRowHeight="14.25"/>
  <cols>
    <col min="1" max="1" width="5.75" customWidth="1"/>
    <col min="2" max="2" width="5.875" customWidth="1"/>
    <col min="3" max="3" width="49.25" customWidth="1"/>
    <col min="4" max="6" width="14.625" customWidth="1"/>
    <col min="7" max="250" width="10.375" customWidth="1"/>
    <col min="251" max="251" width="5.75" customWidth="1"/>
    <col min="252" max="252" width="5.875" customWidth="1"/>
    <col min="253" max="253" width="34.125" customWidth="1"/>
    <col min="254" max="254" width="16.25" customWidth="1"/>
    <col min="257" max="257" width="5.75" customWidth="1"/>
    <col min="258" max="258" width="5.875" customWidth="1"/>
    <col min="259" max="259" width="55.875" customWidth="1"/>
    <col min="260" max="260" width="32.25" customWidth="1"/>
    <col min="261" max="261" width="16.375" customWidth="1"/>
    <col min="262" max="506" width="10.375" customWidth="1"/>
    <col min="507" max="507" width="5.75" customWidth="1"/>
    <col min="508" max="508" width="5.875" customWidth="1"/>
    <col min="509" max="509" width="34.125" customWidth="1"/>
    <col min="510" max="510" width="16.25" customWidth="1"/>
    <col min="513" max="513" width="5.75" customWidth="1"/>
    <col min="514" max="514" width="5.875" customWidth="1"/>
    <col min="515" max="515" width="55.875" customWidth="1"/>
    <col min="516" max="516" width="32.25" customWidth="1"/>
    <col min="517" max="517" width="16.375" customWidth="1"/>
    <col min="518" max="762" width="10.375" customWidth="1"/>
    <col min="763" max="763" width="5.75" customWidth="1"/>
    <col min="764" max="764" width="5.875" customWidth="1"/>
    <col min="765" max="765" width="34.125" customWidth="1"/>
    <col min="766" max="766" width="16.25" customWidth="1"/>
    <col min="769" max="769" width="5.75" customWidth="1"/>
    <col min="770" max="770" width="5.875" customWidth="1"/>
    <col min="771" max="771" width="55.875" customWidth="1"/>
    <col min="772" max="772" width="32.25" customWidth="1"/>
    <col min="773" max="773" width="16.375" customWidth="1"/>
    <col min="774" max="1018" width="10.375" customWidth="1"/>
    <col min="1019" max="1019" width="5.75" customWidth="1"/>
    <col min="1020" max="1020" width="5.875" customWidth="1"/>
    <col min="1021" max="1021" width="34.125" customWidth="1"/>
    <col min="1022" max="1022" width="16.25" customWidth="1"/>
    <col min="1025" max="1025" width="5.75" customWidth="1"/>
    <col min="1026" max="1026" width="5.875" customWidth="1"/>
    <col min="1027" max="1027" width="55.875" customWidth="1"/>
    <col min="1028" max="1028" width="32.25" customWidth="1"/>
    <col min="1029" max="1029" width="16.375" customWidth="1"/>
    <col min="1030" max="1274" width="10.375" customWidth="1"/>
    <col min="1275" max="1275" width="5.75" customWidth="1"/>
    <col min="1276" max="1276" width="5.875" customWidth="1"/>
    <col min="1277" max="1277" width="34.125" customWidth="1"/>
    <col min="1278" max="1278" width="16.25" customWidth="1"/>
    <col min="1281" max="1281" width="5.75" customWidth="1"/>
    <col min="1282" max="1282" width="5.875" customWidth="1"/>
    <col min="1283" max="1283" width="55.875" customWidth="1"/>
    <col min="1284" max="1284" width="32.25" customWidth="1"/>
    <col min="1285" max="1285" width="16.375" customWidth="1"/>
    <col min="1286" max="1530" width="10.375" customWidth="1"/>
    <col min="1531" max="1531" width="5.75" customWidth="1"/>
    <col min="1532" max="1532" width="5.875" customWidth="1"/>
    <col min="1533" max="1533" width="34.125" customWidth="1"/>
    <col min="1534" max="1534" width="16.25" customWidth="1"/>
    <col min="1537" max="1537" width="5.75" customWidth="1"/>
    <col min="1538" max="1538" width="5.875" customWidth="1"/>
    <col min="1539" max="1539" width="55.875" customWidth="1"/>
    <col min="1540" max="1540" width="32.25" customWidth="1"/>
    <col min="1541" max="1541" width="16.375" customWidth="1"/>
    <col min="1542" max="1786" width="10.375" customWidth="1"/>
    <col min="1787" max="1787" width="5.75" customWidth="1"/>
    <col min="1788" max="1788" width="5.875" customWidth="1"/>
    <col min="1789" max="1789" width="34.125" customWidth="1"/>
    <col min="1790" max="1790" width="16.25" customWidth="1"/>
    <col min="1793" max="1793" width="5.75" customWidth="1"/>
    <col min="1794" max="1794" width="5.875" customWidth="1"/>
    <col min="1795" max="1795" width="55.875" customWidth="1"/>
    <col min="1796" max="1796" width="32.25" customWidth="1"/>
    <col min="1797" max="1797" width="16.375" customWidth="1"/>
    <col min="1798" max="2042" width="10.375" customWidth="1"/>
    <col min="2043" max="2043" width="5.75" customWidth="1"/>
    <col min="2044" max="2044" width="5.875" customWidth="1"/>
    <col min="2045" max="2045" width="34.125" customWidth="1"/>
    <col min="2046" max="2046" width="16.25" customWidth="1"/>
    <col min="2049" max="2049" width="5.75" customWidth="1"/>
    <col min="2050" max="2050" width="5.875" customWidth="1"/>
    <col min="2051" max="2051" width="55.875" customWidth="1"/>
    <col min="2052" max="2052" width="32.25" customWidth="1"/>
    <col min="2053" max="2053" width="16.375" customWidth="1"/>
    <col min="2054" max="2298" width="10.375" customWidth="1"/>
    <col min="2299" max="2299" width="5.75" customWidth="1"/>
    <col min="2300" max="2300" width="5.875" customWidth="1"/>
    <col min="2301" max="2301" width="34.125" customWidth="1"/>
    <col min="2302" max="2302" width="16.25" customWidth="1"/>
    <col min="2305" max="2305" width="5.75" customWidth="1"/>
    <col min="2306" max="2306" width="5.875" customWidth="1"/>
    <col min="2307" max="2307" width="55.875" customWidth="1"/>
    <col min="2308" max="2308" width="32.25" customWidth="1"/>
    <col min="2309" max="2309" width="16.375" customWidth="1"/>
    <col min="2310" max="2554" width="10.375" customWidth="1"/>
    <col min="2555" max="2555" width="5.75" customWidth="1"/>
    <col min="2556" max="2556" width="5.875" customWidth="1"/>
    <col min="2557" max="2557" width="34.125" customWidth="1"/>
    <col min="2558" max="2558" width="16.25" customWidth="1"/>
    <col min="2561" max="2561" width="5.75" customWidth="1"/>
    <col min="2562" max="2562" width="5.875" customWidth="1"/>
    <col min="2563" max="2563" width="55.875" customWidth="1"/>
    <col min="2564" max="2564" width="32.25" customWidth="1"/>
    <col min="2565" max="2565" width="16.375" customWidth="1"/>
    <col min="2566" max="2810" width="10.375" customWidth="1"/>
    <col min="2811" max="2811" width="5.75" customWidth="1"/>
    <col min="2812" max="2812" width="5.875" customWidth="1"/>
    <col min="2813" max="2813" width="34.125" customWidth="1"/>
    <col min="2814" max="2814" width="16.25" customWidth="1"/>
    <col min="2817" max="2817" width="5.75" customWidth="1"/>
    <col min="2818" max="2818" width="5.875" customWidth="1"/>
    <col min="2819" max="2819" width="55.875" customWidth="1"/>
    <col min="2820" max="2820" width="32.25" customWidth="1"/>
    <col min="2821" max="2821" width="16.375" customWidth="1"/>
    <col min="2822" max="3066" width="10.375" customWidth="1"/>
    <col min="3067" max="3067" width="5.75" customWidth="1"/>
    <col min="3068" max="3068" width="5.875" customWidth="1"/>
    <col min="3069" max="3069" width="34.125" customWidth="1"/>
    <col min="3070" max="3070" width="16.25" customWidth="1"/>
    <col min="3073" max="3073" width="5.75" customWidth="1"/>
    <col min="3074" max="3074" width="5.875" customWidth="1"/>
    <col min="3075" max="3075" width="55.875" customWidth="1"/>
    <col min="3076" max="3076" width="32.25" customWidth="1"/>
    <col min="3077" max="3077" width="16.375" customWidth="1"/>
    <col min="3078" max="3322" width="10.375" customWidth="1"/>
    <col min="3323" max="3323" width="5.75" customWidth="1"/>
    <col min="3324" max="3324" width="5.875" customWidth="1"/>
    <col min="3325" max="3325" width="34.125" customWidth="1"/>
    <col min="3326" max="3326" width="16.25" customWidth="1"/>
    <col min="3329" max="3329" width="5.75" customWidth="1"/>
    <col min="3330" max="3330" width="5.875" customWidth="1"/>
    <col min="3331" max="3331" width="55.875" customWidth="1"/>
    <col min="3332" max="3332" width="32.25" customWidth="1"/>
    <col min="3333" max="3333" width="16.375" customWidth="1"/>
    <col min="3334" max="3578" width="10.375" customWidth="1"/>
    <col min="3579" max="3579" width="5.75" customWidth="1"/>
    <col min="3580" max="3580" width="5.875" customWidth="1"/>
    <col min="3581" max="3581" width="34.125" customWidth="1"/>
    <col min="3582" max="3582" width="16.25" customWidth="1"/>
    <col min="3585" max="3585" width="5.75" customWidth="1"/>
    <col min="3586" max="3586" width="5.875" customWidth="1"/>
    <col min="3587" max="3587" width="55.875" customWidth="1"/>
    <col min="3588" max="3588" width="32.25" customWidth="1"/>
    <col min="3589" max="3589" width="16.375" customWidth="1"/>
    <col min="3590" max="3834" width="10.375" customWidth="1"/>
    <col min="3835" max="3835" width="5.75" customWidth="1"/>
    <col min="3836" max="3836" width="5.875" customWidth="1"/>
    <col min="3837" max="3837" width="34.125" customWidth="1"/>
    <col min="3838" max="3838" width="16.25" customWidth="1"/>
    <col min="3841" max="3841" width="5.75" customWidth="1"/>
    <col min="3842" max="3842" width="5.875" customWidth="1"/>
    <col min="3843" max="3843" width="55.875" customWidth="1"/>
    <col min="3844" max="3844" width="32.25" customWidth="1"/>
    <col min="3845" max="3845" width="16.375" customWidth="1"/>
    <col min="3846" max="4090" width="10.375" customWidth="1"/>
    <col min="4091" max="4091" width="5.75" customWidth="1"/>
    <col min="4092" max="4092" width="5.875" customWidth="1"/>
    <col min="4093" max="4093" width="34.125" customWidth="1"/>
    <col min="4094" max="4094" width="16.25" customWidth="1"/>
    <col min="4097" max="4097" width="5.75" customWidth="1"/>
    <col min="4098" max="4098" width="5.875" customWidth="1"/>
    <col min="4099" max="4099" width="55.875" customWidth="1"/>
    <col min="4100" max="4100" width="32.25" customWidth="1"/>
    <col min="4101" max="4101" width="16.375" customWidth="1"/>
    <col min="4102" max="4346" width="10.375" customWidth="1"/>
    <col min="4347" max="4347" width="5.75" customWidth="1"/>
    <col min="4348" max="4348" width="5.875" customWidth="1"/>
    <col min="4349" max="4349" width="34.125" customWidth="1"/>
    <col min="4350" max="4350" width="16.25" customWidth="1"/>
    <col min="4353" max="4353" width="5.75" customWidth="1"/>
    <col min="4354" max="4354" width="5.875" customWidth="1"/>
    <col min="4355" max="4355" width="55.875" customWidth="1"/>
    <col min="4356" max="4356" width="32.25" customWidth="1"/>
    <col min="4357" max="4357" width="16.375" customWidth="1"/>
    <col min="4358" max="4602" width="10.375" customWidth="1"/>
    <col min="4603" max="4603" width="5.75" customWidth="1"/>
    <col min="4604" max="4604" width="5.875" customWidth="1"/>
    <col min="4605" max="4605" width="34.125" customWidth="1"/>
    <col min="4606" max="4606" width="16.25" customWidth="1"/>
    <col min="4609" max="4609" width="5.75" customWidth="1"/>
    <col min="4610" max="4610" width="5.875" customWidth="1"/>
    <col min="4611" max="4611" width="55.875" customWidth="1"/>
    <col min="4612" max="4612" width="32.25" customWidth="1"/>
    <col min="4613" max="4613" width="16.375" customWidth="1"/>
    <col min="4614" max="4858" width="10.375" customWidth="1"/>
    <col min="4859" max="4859" width="5.75" customWidth="1"/>
    <col min="4860" max="4860" width="5.875" customWidth="1"/>
    <col min="4861" max="4861" width="34.125" customWidth="1"/>
    <col min="4862" max="4862" width="16.25" customWidth="1"/>
    <col min="4865" max="4865" width="5.75" customWidth="1"/>
    <col min="4866" max="4866" width="5.875" customWidth="1"/>
    <col min="4867" max="4867" width="55.875" customWidth="1"/>
    <col min="4868" max="4868" width="32.25" customWidth="1"/>
    <col min="4869" max="4869" width="16.375" customWidth="1"/>
    <col min="4870" max="5114" width="10.375" customWidth="1"/>
    <col min="5115" max="5115" width="5.75" customWidth="1"/>
    <col min="5116" max="5116" width="5.875" customWidth="1"/>
    <col min="5117" max="5117" width="34.125" customWidth="1"/>
    <col min="5118" max="5118" width="16.25" customWidth="1"/>
    <col min="5121" max="5121" width="5.75" customWidth="1"/>
    <col min="5122" max="5122" width="5.875" customWidth="1"/>
    <col min="5123" max="5123" width="55.875" customWidth="1"/>
    <col min="5124" max="5124" width="32.25" customWidth="1"/>
    <col min="5125" max="5125" width="16.375" customWidth="1"/>
    <col min="5126" max="5370" width="10.375" customWidth="1"/>
    <col min="5371" max="5371" width="5.75" customWidth="1"/>
    <col min="5372" max="5372" width="5.875" customWidth="1"/>
    <col min="5373" max="5373" width="34.125" customWidth="1"/>
    <col min="5374" max="5374" width="16.25" customWidth="1"/>
    <col min="5377" max="5377" width="5.75" customWidth="1"/>
    <col min="5378" max="5378" width="5.875" customWidth="1"/>
    <col min="5379" max="5379" width="55.875" customWidth="1"/>
    <col min="5380" max="5380" width="32.25" customWidth="1"/>
    <col min="5381" max="5381" width="16.375" customWidth="1"/>
    <col min="5382" max="5626" width="10.375" customWidth="1"/>
    <col min="5627" max="5627" width="5.75" customWidth="1"/>
    <col min="5628" max="5628" width="5.875" customWidth="1"/>
    <col min="5629" max="5629" width="34.125" customWidth="1"/>
    <col min="5630" max="5630" width="16.25" customWidth="1"/>
    <col min="5633" max="5633" width="5.75" customWidth="1"/>
    <col min="5634" max="5634" width="5.875" customWidth="1"/>
    <col min="5635" max="5635" width="55.875" customWidth="1"/>
    <col min="5636" max="5636" width="32.25" customWidth="1"/>
    <col min="5637" max="5637" width="16.375" customWidth="1"/>
    <col min="5638" max="5882" width="10.375" customWidth="1"/>
    <col min="5883" max="5883" width="5.75" customWidth="1"/>
    <col min="5884" max="5884" width="5.875" customWidth="1"/>
    <col min="5885" max="5885" width="34.125" customWidth="1"/>
    <col min="5886" max="5886" width="16.25" customWidth="1"/>
    <col min="5889" max="5889" width="5.75" customWidth="1"/>
    <col min="5890" max="5890" width="5.875" customWidth="1"/>
    <col min="5891" max="5891" width="55.875" customWidth="1"/>
    <col min="5892" max="5892" width="32.25" customWidth="1"/>
    <col min="5893" max="5893" width="16.375" customWidth="1"/>
    <col min="5894" max="6138" width="10.375" customWidth="1"/>
    <col min="6139" max="6139" width="5.75" customWidth="1"/>
    <col min="6140" max="6140" width="5.875" customWidth="1"/>
    <col min="6141" max="6141" width="34.125" customWidth="1"/>
    <col min="6142" max="6142" width="16.25" customWidth="1"/>
    <col min="6145" max="6145" width="5.75" customWidth="1"/>
    <col min="6146" max="6146" width="5.875" customWidth="1"/>
    <col min="6147" max="6147" width="55.875" customWidth="1"/>
    <col min="6148" max="6148" width="32.25" customWidth="1"/>
    <col min="6149" max="6149" width="16.375" customWidth="1"/>
    <col min="6150" max="6394" width="10.375" customWidth="1"/>
    <col min="6395" max="6395" width="5.75" customWidth="1"/>
    <col min="6396" max="6396" width="5.875" customWidth="1"/>
    <col min="6397" max="6397" width="34.125" customWidth="1"/>
    <col min="6398" max="6398" width="16.25" customWidth="1"/>
    <col min="6401" max="6401" width="5.75" customWidth="1"/>
    <col min="6402" max="6402" width="5.875" customWidth="1"/>
    <col min="6403" max="6403" width="55.875" customWidth="1"/>
    <col min="6404" max="6404" width="32.25" customWidth="1"/>
    <col min="6405" max="6405" width="16.375" customWidth="1"/>
    <col min="6406" max="6650" width="10.375" customWidth="1"/>
    <col min="6651" max="6651" width="5.75" customWidth="1"/>
    <col min="6652" max="6652" width="5.875" customWidth="1"/>
    <col min="6653" max="6653" width="34.125" customWidth="1"/>
    <col min="6654" max="6654" width="16.25" customWidth="1"/>
    <col min="6657" max="6657" width="5.75" customWidth="1"/>
    <col min="6658" max="6658" width="5.875" customWidth="1"/>
    <col min="6659" max="6659" width="55.875" customWidth="1"/>
    <col min="6660" max="6660" width="32.25" customWidth="1"/>
    <col min="6661" max="6661" width="16.375" customWidth="1"/>
    <col min="6662" max="6906" width="10.375" customWidth="1"/>
    <col min="6907" max="6907" width="5.75" customWidth="1"/>
    <col min="6908" max="6908" width="5.875" customWidth="1"/>
    <col min="6909" max="6909" width="34.125" customWidth="1"/>
    <col min="6910" max="6910" width="16.25" customWidth="1"/>
    <col min="6913" max="6913" width="5.75" customWidth="1"/>
    <col min="6914" max="6914" width="5.875" customWidth="1"/>
    <col min="6915" max="6915" width="55.875" customWidth="1"/>
    <col min="6916" max="6916" width="32.25" customWidth="1"/>
    <col min="6917" max="6917" width="16.375" customWidth="1"/>
    <col min="6918" max="7162" width="10.375" customWidth="1"/>
    <col min="7163" max="7163" width="5.75" customWidth="1"/>
    <col min="7164" max="7164" width="5.875" customWidth="1"/>
    <col min="7165" max="7165" width="34.125" customWidth="1"/>
    <col min="7166" max="7166" width="16.25" customWidth="1"/>
    <col min="7169" max="7169" width="5.75" customWidth="1"/>
    <col min="7170" max="7170" width="5.875" customWidth="1"/>
    <col min="7171" max="7171" width="55.875" customWidth="1"/>
    <col min="7172" max="7172" width="32.25" customWidth="1"/>
    <col min="7173" max="7173" width="16.375" customWidth="1"/>
    <col min="7174" max="7418" width="10.375" customWidth="1"/>
    <col min="7419" max="7419" width="5.75" customWidth="1"/>
    <col min="7420" max="7420" width="5.875" customWidth="1"/>
    <col min="7421" max="7421" width="34.125" customWidth="1"/>
    <col min="7422" max="7422" width="16.25" customWidth="1"/>
    <col min="7425" max="7425" width="5.75" customWidth="1"/>
    <col min="7426" max="7426" width="5.875" customWidth="1"/>
    <col min="7427" max="7427" width="55.875" customWidth="1"/>
    <col min="7428" max="7428" width="32.25" customWidth="1"/>
    <col min="7429" max="7429" width="16.375" customWidth="1"/>
    <col min="7430" max="7674" width="10.375" customWidth="1"/>
    <col min="7675" max="7675" width="5.75" customWidth="1"/>
    <col min="7676" max="7676" width="5.875" customWidth="1"/>
    <col min="7677" max="7677" width="34.125" customWidth="1"/>
    <col min="7678" max="7678" width="16.25" customWidth="1"/>
    <col min="7681" max="7681" width="5.75" customWidth="1"/>
    <col min="7682" max="7682" width="5.875" customWidth="1"/>
    <col min="7683" max="7683" width="55.875" customWidth="1"/>
    <col min="7684" max="7684" width="32.25" customWidth="1"/>
    <col min="7685" max="7685" width="16.375" customWidth="1"/>
    <col min="7686" max="7930" width="10.375" customWidth="1"/>
    <col min="7931" max="7931" width="5.75" customWidth="1"/>
    <col min="7932" max="7932" width="5.875" customWidth="1"/>
    <col min="7933" max="7933" width="34.125" customWidth="1"/>
    <col min="7934" max="7934" width="16.25" customWidth="1"/>
    <col min="7937" max="7937" width="5.75" customWidth="1"/>
    <col min="7938" max="7938" width="5.875" customWidth="1"/>
    <col min="7939" max="7939" width="55.875" customWidth="1"/>
    <col min="7940" max="7940" width="32.25" customWidth="1"/>
    <col min="7941" max="7941" width="16.375" customWidth="1"/>
    <col min="7942" max="8186" width="10.375" customWidth="1"/>
    <col min="8187" max="8187" width="5.75" customWidth="1"/>
    <col min="8188" max="8188" width="5.875" customWidth="1"/>
    <col min="8189" max="8189" width="34.125" customWidth="1"/>
    <col min="8190" max="8190" width="16.25" customWidth="1"/>
    <col min="8193" max="8193" width="5.75" customWidth="1"/>
    <col min="8194" max="8194" width="5.875" customWidth="1"/>
    <col min="8195" max="8195" width="55.875" customWidth="1"/>
    <col min="8196" max="8196" width="32.25" customWidth="1"/>
    <col min="8197" max="8197" width="16.375" customWidth="1"/>
    <col min="8198" max="8442" width="10.375" customWidth="1"/>
    <col min="8443" max="8443" width="5.75" customWidth="1"/>
    <col min="8444" max="8444" width="5.875" customWidth="1"/>
    <col min="8445" max="8445" width="34.125" customWidth="1"/>
    <col min="8446" max="8446" width="16.25" customWidth="1"/>
    <col min="8449" max="8449" width="5.75" customWidth="1"/>
    <col min="8450" max="8450" width="5.875" customWidth="1"/>
    <col min="8451" max="8451" width="55.875" customWidth="1"/>
    <col min="8452" max="8452" width="32.25" customWidth="1"/>
    <col min="8453" max="8453" width="16.375" customWidth="1"/>
    <col min="8454" max="8698" width="10.375" customWidth="1"/>
    <col min="8699" max="8699" width="5.75" customWidth="1"/>
    <col min="8700" max="8700" width="5.875" customWidth="1"/>
    <col min="8701" max="8701" width="34.125" customWidth="1"/>
    <col min="8702" max="8702" width="16.25" customWidth="1"/>
    <col min="8705" max="8705" width="5.75" customWidth="1"/>
    <col min="8706" max="8706" width="5.875" customWidth="1"/>
    <col min="8707" max="8707" width="55.875" customWidth="1"/>
    <col min="8708" max="8708" width="32.25" customWidth="1"/>
    <col min="8709" max="8709" width="16.375" customWidth="1"/>
    <col min="8710" max="8954" width="10.375" customWidth="1"/>
    <col min="8955" max="8955" width="5.75" customWidth="1"/>
    <col min="8956" max="8956" width="5.875" customWidth="1"/>
    <col min="8957" max="8957" width="34.125" customWidth="1"/>
    <col min="8958" max="8958" width="16.25" customWidth="1"/>
    <col min="8961" max="8961" width="5.75" customWidth="1"/>
    <col min="8962" max="8962" width="5.875" customWidth="1"/>
    <col min="8963" max="8963" width="55.875" customWidth="1"/>
    <col min="8964" max="8964" width="32.25" customWidth="1"/>
    <col min="8965" max="8965" width="16.375" customWidth="1"/>
    <col min="8966" max="9210" width="10.375" customWidth="1"/>
    <col min="9211" max="9211" width="5.75" customWidth="1"/>
    <col min="9212" max="9212" width="5.875" customWidth="1"/>
    <col min="9213" max="9213" width="34.125" customWidth="1"/>
    <col min="9214" max="9214" width="16.25" customWidth="1"/>
    <col min="9217" max="9217" width="5.75" customWidth="1"/>
    <col min="9218" max="9218" width="5.875" customWidth="1"/>
    <col min="9219" max="9219" width="55.875" customWidth="1"/>
    <col min="9220" max="9220" width="32.25" customWidth="1"/>
    <col min="9221" max="9221" width="16.375" customWidth="1"/>
    <col min="9222" max="9466" width="10.375" customWidth="1"/>
    <col min="9467" max="9467" width="5.75" customWidth="1"/>
    <col min="9468" max="9468" width="5.875" customWidth="1"/>
    <col min="9469" max="9469" width="34.125" customWidth="1"/>
    <col min="9470" max="9470" width="16.25" customWidth="1"/>
    <col min="9473" max="9473" width="5.75" customWidth="1"/>
    <col min="9474" max="9474" width="5.875" customWidth="1"/>
    <col min="9475" max="9475" width="55.875" customWidth="1"/>
    <col min="9476" max="9476" width="32.25" customWidth="1"/>
    <col min="9477" max="9477" width="16.375" customWidth="1"/>
    <col min="9478" max="9722" width="10.375" customWidth="1"/>
    <col min="9723" max="9723" width="5.75" customWidth="1"/>
    <col min="9724" max="9724" width="5.875" customWidth="1"/>
    <col min="9725" max="9725" width="34.125" customWidth="1"/>
    <col min="9726" max="9726" width="16.25" customWidth="1"/>
    <col min="9729" max="9729" width="5.75" customWidth="1"/>
    <col min="9730" max="9730" width="5.875" customWidth="1"/>
    <col min="9731" max="9731" width="55.875" customWidth="1"/>
    <col min="9732" max="9732" width="32.25" customWidth="1"/>
    <col min="9733" max="9733" width="16.375" customWidth="1"/>
    <col min="9734" max="9978" width="10.375" customWidth="1"/>
    <col min="9979" max="9979" width="5.75" customWidth="1"/>
    <col min="9980" max="9980" width="5.875" customWidth="1"/>
    <col min="9981" max="9981" width="34.125" customWidth="1"/>
    <col min="9982" max="9982" width="16.25" customWidth="1"/>
    <col min="9985" max="9985" width="5.75" customWidth="1"/>
    <col min="9986" max="9986" width="5.875" customWidth="1"/>
    <col min="9987" max="9987" width="55.875" customWidth="1"/>
    <col min="9988" max="9988" width="32.25" customWidth="1"/>
    <col min="9989" max="9989" width="16.375" customWidth="1"/>
    <col min="9990" max="10234" width="10.375" customWidth="1"/>
    <col min="10235" max="10235" width="5.75" customWidth="1"/>
    <col min="10236" max="10236" width="5.875" customWidth="1"/>
    <col min="10237" max="10237" width="34.125" customWidth="1"/>
    <col min="10238" max="10238" width="16.25" customWidth="1"/>
    <col min="10241" max="10241" width="5.75" customWidth="1"/>
    <col min="10242" max="10242" width="5.875" customWidth="1"/>
    <col min="10243" max="10243" width="55.875" customWidth="1"/>
    <col min="10244" max="10244" width="32.25" customWidth="1"/>
    <col min="10245" max="10245" width="16.375" customWidth="1"/>
    <col min="10246" max="10490" width="10.375" customWidth="1"/>
    <col min="10491" max="10491" width="5.75" customWidth="1"/>
    <col min="10492" max="10492" width="5.875" customWidth="1"/>
    <col min="10493" max="10493" width="34.125" customWidth="1"/>
    <col min="10494" max="10494" width="16.25" customWidth="1"/>
    <col min="10497" max="10497" width="5.75" customWidth="1"/>
    <col min="10498" max="10498" width="5.875" customWidth="1"/>
    <col min="10499" max="10499" width="55.875" customWidth="1"/>
    <col min="10500" max="10500" width="32.25" customWidth="1"/>
    <col min="10501" max="10501" width="16.375" customWidth="1"/>
    <col min="10502" max="10746" width="10.375" customWidth="1"/>
    <col min="10747" max="10747" width="5.75" customWidth="1"/>
    <col min="10748" max="10748" width="5.875" customWidth="1"/>
    <col min="10749" max="10749" width="34.125" customWidth="1"/>
    <col min="10750" max="10750" width="16.25" customWidth="1"/>
    <col min="10753" max="10753" width="5.75" customWidth="1"/>
    <col min="10754" max="10754" width="5.875" customWidth="1"/>
    <col min="10755" max="10755" width="55.875" customWidth="1"/>
    <col min="10756" max="10756" width="32.25" customWidth="1"/>
    <col min="10757" max="10757" width="16.375" customWidth="1"/>
    <col min="10758" max="11002" width="10.375" customWidth="1"/>
    <col min="11003" max="11003" width="5.75" customWidth="1"/>
    <col min="11004" max="11004" width="5.875" customWidth="1"/>
    <col min="11005" max="11005" width="34.125" customWidth="1"/>
    <col min="11006" max="11006" width="16.25" customWidth="1"/>
    <col min="11009" max="11009" width="5.75" customWidth="1"/>
    <col min="11010" max="11010" width="5.875" customWidth="1"/>
    <col min="11011" max="11011" width="55.875" customWidth="1"/>
    <col min="11012" max="11012" width="32.25" customWidth="1"/>
    <col min="11013" max="11013" width="16.375" customWidth="1"/>
    <col min="11014" max="11258" width="10.375" customWidth="1"/>
    <col min="11259" max="11259" width="5.75" customWidth="1"/>
    <col min="11260" max="11260" width="5.875" customWidth="1"/>
    <col min="11261" max="11261" width="34.125" customWidth="1"/>
    <col min="11262" max="11262" width="16.25" customWidth="1"/>
    <col min="11265" max="11265" width="5.75" customWidth="1"/>
    <col min="11266" max="11266" width="5.875" customWidth="1"/>
    <col min="11267" max="11267" width="55.875" customWidth="1"/>
    <col min="11268" max="11268" width="32.25" customWidth="1"/>
    <col min="11269" max="11269" width="16.375" customWidth="1"/>
    <col min="11270" max="11514" width="10.375" customWidth="1"/>
    <col min="11515" max="11515" width="5.75" customWidth="1"/>
    <col min="11516" max="11516" width="5.875" customWidth="1"/>
    <col min="11517" max="11517" width="34.125" customWidth="1"/>
    <col min="11518" max="11518" width="16.25" customWidth="1"/>
    <col min="11521" max="11521" width="5.75" customWidth="1"/>
    <col min="11522" max="11522" width="5.875" customWidth="1"/>
    <col min="11523" max="11523" width="55.875" customWidth="1"/>
    <col min="11524" max="11524" width="32.25" customWidth="1"/>
    <col min="11525" max="11525" width="16.375" customWidth="1"/>
    <col min="11526" max="11770" width="10.375" customWidth="1"/>
    <col min="11771" max="11771" width="5.75" customWidth="1"/>
    <col min="11772" max="11772" width="5.875" customWidth="1"/>
    <col min="11773" max="11773" width="34.125" customWidth="1"/>
    <col min="11774" max="11774" width="16.25" customWidth="1"/>
    <col min="11777" max="11777" width="5.75" customWidth="1"/>
    <col min="11778" max="11778" width="5.875" customWidth="1"/>
    <col min="11779" max="11779" width="55.875" customWidth="1"/>
    <col min="11780" max="11780" width="32.25" customWidth="1"/>
    <col min="11781" max="11781" width="16.375" customWidth="1"/>
    <col min="11782" max="12026" width="10.375" customWidth="1"/>
    <col min="12027" max="12027" width="5.75" customWidth="1"/>
    <col min="12028" max="12028" width="5.875" customWidth="1"/>
    <col min="12029" max="12029" width="34.125" customWidth="1"/>
    <col min="12030" max="12030" width="16.25" customWidth="1"/>
    <col min="12033" max="12033" width="5.75" customWidth="1"/>
    <col min="12034" max="12034" width="5.875" customWidth="1"/>
    <col min="12035" max="12035" width="55.875" customWidth="1"/>
    <col min="12036" max="12036" width="32.25" customWidth="1"/>
    <col min="12037" max="12037" width="16.375" customWidth="1"/>
    <col min="12038" max="12282" width="10.375" customWidth="1"/>
    <col min="12283" max="12283" width="5.75" customWidth="1"/>
    <col min="12284" max="12284" width="5.875" customWidth="1"/>
    <col min="12285" max="12285" width="34.125" customWidth="1"/>
    <col min="12286" max="12286" width="16.25" customWidth="1"/>
    <col min="12289" max="12289" width="5.75" customWidth="1"/>
    <col min="12290" max="12290" width="5.875" customWidth="1"/>
    <col min="12291" max="12291" width="55.875" customWidth="1"/>
    <col min="12292" max="12292" width="32.25" customWidth="1"/>
    <col min="12293" max="12293" width="16.375" customWidth="1"/>
    <col min="12294" max="12538" width="10.375" customWidth="1"/>
    <col min="12539" max="12539" width="5.75" customWidth="1"/>
    <col min="12540" max="12540" width="5.875" customWidth="1"/>
    <col min="12541" max="12541" width="34.125" customWidth="1"/>
    <col min="12542" max="12542" width="16.25" customWidth="1"/>
    <col min="12545" max="12545" width="5.75" customWidth="1"/>
    <col min="12546" max="12546" width="5.875" customWidth="1"/>
    <col min="12547" max="12547" width="55.875" customWidth="1"/>
    <col min="12548" max="12548" width="32.25" customWidth="1"/>
    <col min="12549" max="12549" width="16.375" customWidth="1"/>
    <col min="12550" max="12794" width="10.375" customWidth="1"/>
    <col min="12795" max="12795" width="5.75" customWidth="1"/>
    <col min="12796" max="12796" width="5.875" customWidth="1"/>
    <col min="12797" max="12797" width="34.125" customWidth="1"/>
    <col min="12798" max="12798" width="16.25" customWidth="1"/>
    <col min="12801" max="12801" width="5.75" customWidth="1"/>
    <col min="12802" max="12802" width="5.875" customWidth="1"/>
    <col min="12803" max="12803" width="55.875" customWidth="1"/>
    <col min="12804" max="12804" width="32.25" customWidth="1"/>
    <col min="12805" max="12805" width="16.375" customWidth="1"/>
    <col min="12806" max="13050" width="10.375" customWidth="1"/>
    <col min="13051" max="13051" width="5.75" customWidth="1"/>
    <col min="13052" max="13052" width="5.875" customWidth="1"/>
    <col min="13053" max="13053" width="34.125" customWidth="1"/>
    <col min="13054" max="13054" width="16.25" customWidth="1"/>
    <col min="13057" max="13057" width="5.75" customWidth="1"/>
    <col min="13058" max="13058" width="5.875" customWidth="1"/>
    <col min="13059" max="13059" width="55.875" customWidth="1"/>
    <col min="13060" max="13060" width="32.25" customWidth="1"/>
    <col min="13061" max="13061" width="16.375" customWidth="1"/>
    <col min="13062" max="13306" width="10.375" customWidth="1"/>
    <col min="13307" max="13307" width="5.75" customWidth="1"/>
    <col min="13308" max="13308" width="5.875" customWidth="1"/>
    <col min="13309" max="13309" width="34.125" customWidth="1"/>
    <col min="13310" max="13310" width="16.25" customWidth="1"/>
    <col min="13313" max="13313" width="5.75" customWidth="1"/>
    <col min="13314" max="13314" width="5.875" customWidth="1"/>
    <col min="13315" max="13315" width="55.875" customWidth="1"/>
    <col min="13316" max="13316" width="32.25" customWidth="1"/>
    <col min="13317" max="13317" width="16.375" customWidth="1"/>
    <col min="13318" max="13562" width="10.375" customWidth="1"/>
    <col min="13563" max="13563" width="5.75" customWidth="1"/>
    <col min="13564" max="13564" width="5.875" customWidth="1"/>
    <col min="13565" max="13565" width="34.125" customWidth="1"/>
    <col min="13566" max="13566" width="16.25" customWidth="1"/>
    <col min="13569" max="13569" width="5.75" customWidth="1"/>
    <col min="13570" max="13570" width="5.875" customWidth="1"/>
    <col min="13571" max="13571" width="55.875" customWidth="1"/>
    <col min="13572" max="13572" width="32.25" customWidth="1"/>
    <col min="13573" max="13573" width="16.375" customWidth="1"/>
    <col min="13574" max="13818" width="10.375" customWidth="1"/>
    <col min="13819" max="13819" width="5.75" customWidth="1"/>
    <col min="13820" max="13820" width="5.875" customWidth="1"/>
    <col min="13821" max="13821" width="34.125" customWidth="1"/>
    <col min="13822" max="13822" width="16.25" customWidth="1"/>
    <col min="13825" max="13825" width="5.75" customWidth="1"/>
    <col min="13826" max="13826" width="5.875" customWidth="1"/>
    <col min="13827" max="13827" width="55.875" customWidth="1"/>
    <col min="13828" max="13828" width="32.25" customWidth="1"/>
    <col min="13829" max="13829" width="16.375" customWidth="1"/>
    <col min="13830" max="14074" width="10.375" customWidth="1"/>
    <col min="14075" max="14075" width="5.75" customWidth="1"/>
    <col min="14076" max="14076" width="5.875" customWidth="1"/>
    <col min="14077" max="14077" width="34.125" customWidth="1"/>
    <col min="14078" max="14078" width="16.25" customWidth="1"/>
    <col min="14081" max="14081" width="5.75" customWidth="1"/>
    <col min="14082" max="14082" width="5.875" customWidth="1"/>
    <col min="14083" max="14083" width="55.875" customWidth="1"/>
    <col min="14084" max="14084" width="32.25" customWidth="1"/>
    <col min="14085" max="14085" width="16.375" customWidth="1"/>
    <col min="14086" max="14330" width="10.375" customWidth="1"/>
    <col min="14331" max="14331" width="5.75" customWidth="1"/>
    <col min="14332" max="14332" width="5.875" customWidth="1"/>
    <col min="14333" max="14333" width="34.125" customWidth="1"/>
    <col min="14334" max="14334" width="16.25" customWidth="1"/>
    <col min="14337" max="14337" width="5.75" customWidth="1"/>
    <col min="14338" max="14338" width="5.875" customWidth="1"/>
    <col min="14339" max="14339" width="55.875" customWidth="1"/>
    <col min="14340" max="14340" width="32.25" customWidth="1"/>
    <col min="14341" max="14341" width="16.375" customWidth="1"/>
    <col min="14342" max="14586" width="10.375" customWidth="1"/>
    <col min="14587" max="14587" width="5.75" customWidth="1"/>
    <col min="14588" max="14588" width="5.875" customWidth="1"/>
    <col min="14589" max="14589" width="34.125" customWidth="1"/>
    <col min="14590" max="14590" width="16.25" customWidth="1"/>
    <col min="14593" max="14593" width="5.75" customWidth="1"/>
    <col min="14594" max="14594" width="5.875" customWidth="1"/>
    <col min="14595" max="14595" width="55.875" customWidth="1"/>
    <col min="14596" max="14596" width="32.25" customWidth="1"/>
    <col min="14597" max="14597" width="16.375" customWidth="1"/>
    <col min="14598" max="14842" width="10.375" customWidth="1"/>
    <col min="14843" max="14843" width="5.75" customWidth="1"/>
    <col min="14844" max="14844" width="5.875" customWidth="1"/>
    <col min="14845" max="14845" width="34.125" customWidth="1"/>
    <col min="14846" max="14846" width="16.25" customWidth="1"/>
    <col min="14849" max="14849" width="5.75" customWidth="1"/>
    <col min="14850" max="14850" width="5.875" customWidth="1"/>
    <col min="14851" max="14851" width="55.875" customWidth="1"/>
    <col min="14852" max="14852" width="32.25" customWidth="1"/>
    <col min="14853" max="14853" width="16.375" customWidth="1"/>
    <col min="14854" max="15098" width="10.375" customWidth="1"/>
    <col min="15099" max="15099" width="5.75" customWidth="1"/>
    <col min="15100" max="15100" width="5.875" customWidth="1"/>
    <col min="15101" max="15101" width="34.125" customWidth="1"/>
    <col min="15102" max="15102" width="16.25" customWidth="1"/>
    <col min="15105" max="15105" width="5.75" customWidth="1"/>
    <col min="15106" max="15106" width="5.875" customWidth="1"/>
    <col min="15107" max="15107" width="55.875" customWidth="1"/>
    <col min="15108" max="15108" width="32.25" customWidth="1"/>
    <col min="15109" max="15109" width="16.375" customWidth="1"/>
    <col min="15110" max="15354" width="10.375" customWidth="1"/>
    <col min="15355" max="15355" width="5.75" customWidth="1"/>
    <col min="15356" max="15356" width="5.875" customWidth="1"/>
    <col min="15357" max="15357" width="34.125" customWidth="1"/>
    <col min="15358" max="15358" width="16.25" customWidth="1"/>
    <col min="15361" max="15361" width="5.75" customWidth="1"/>
    <col min="15362" max="15362" width="5.875" customWidth="1"/>
    <col min="15363" max="15363" width="55.875" customWidth="1"/>
    <col min="15364" max="15364" width="32.25" customWidth="1"/>
    <col min="15365" max="15365" width="16.375" customWidth="1"/>
    <col min="15366" max="15610" width="10.375" customWidth="1"/>
    <col min="15611" max="15611" width="5.75" customWidth="1"/>
    <col min="15612" max="15612" width="5.875" customWidth="1"/>
    <col min="15613" max="15613" width="34.125" customWidth="1"/>
    <col min="15614" max="15614" width="16.25" customWidth="1"/>
    <col min="15617" max="15617" width="5.75" customWidth="1"/>
    <col min="15618" max="15618" width="5.875" customWidth="1"/>
    <col min="15619" max="15619" width="55.875" customWidth="1"/>
    <col min="15620" max="15620" width="32.25" customWidth="1"/>
    <col min="15621" max="15621" width="16.375" customWidth="1"/>
    <col min="15622" max="15866" width="10.375" customWidth="1"/>
    <col min="15867" max="15867" width="5.75" customWidth="1"/>
    <col min="15868" max="15868" width="5.875" customWidth="1"/>
    <col min="15869" max="15869" width="34.125" customWidth="1"/>
    <col min="15870" max="15870" width="16.25" customWidth="1"/>
    <col min="15873" max="15873" width="5.75" customWidth="1"/>
    <col min="15874" max="15874" width="5.875" customWidth="1"/>
    <col min="15875" max="15875" width="55.875" customWidth="1"/>
    <col min="15876" max="15876" width="32.25" customWidth="1"/>
    <col min="15877" max="15877" width="16.375" customWidth="1"/>
    <col min="15878" max="16122" width="10.375" customWidth="1"/>
    <col min="16123" max="16123" width="5.75" customWidth="1"/>
    <col min="16124" max="16124" width="5.875" customWidth="1"/>
    <col min="16125" max="16125" width="34.125" customWidth="1"/>
    <col min="16126" max="16126" width="16.25" customWidth="1"/>
    <col min="16129" max="16129" width="5.75" customWidth="1"/>
    <col min="16130" max="16130" width="5.875" customWidth="1"/>
    <col min="16131" max="16131" width="55.875" customWidth="1"/>
    <col min="16132" max="16132" width="32.25" customWidth="1"/>
    <col min="16133" max="16133" width="16.375" customWidth="1"/>
    <col min="16134" max="16378" width="10.375" customWidth="1"/>
    <col min="16379" max="16379" width="5.75" customWidth="1"/>
    <col min="16380" max="16380" width="5.875" customWidth="1"/>
    <col min="16381" max="16381" width="34.125" customWidth="1"/>
    <col min="16382" max="16382" width="16.25" customWidth="1"/>
  </cols>
  <sheetData>
    <row r="1" spans="1:6" ht="12.75" customHeight="1">
      <c r="A1" s="267"/>
      <c r="B1" s="267"/>
      <c r="C1" s="267"/>
      <c r="D1" s="268"/>
      <c r="E1" s="269" t="s">
        <v>558</v>
      </c>
      <c r="F1" s="270"/>
    </row>
    <row r="2" spans="1:6" ht="12.75" customHeight="1">
      <c r="A2" s="267"/>
      <c r="B2" s="267"/>
      <c r="C2" s="267"/>
      <c r="D2" s="271"/>
      <c r="E2" s="269" t="s">
        <v>908</v>
      </c>
      <c r="F2" s="270"/>
    </row>
    <row r="3" spans="1:6" ht="12.75" customHeight="1">
      <c r="A3" s="272"/>
      <c r="B3" s="272"/>
      <c r="C3" s="272"/>
      <c r="D3" s="271"/>
      <c r="E3" s="273" t="s">
        <v>131</v>
      </c>
      <c r="F3" s="270"/>
    </row>
    <row r="4" spans="1:6" ht="3.75" customHeight="1">
      <c r="A4" s="272"/>
      <c r="B4" s="272"/>
      <c r="C4" s="272"/>
      <c r="D4" s="271"/>
      <c r="E4" s="271"/>
      <c r="F4" s="271"/>
    </row>
    <row r="5" spans="1:6" s="274" customFormat="1" ht="26.25" customHeight="1">
      <c r="A5" s="867" t="s">
        <v>559</v>
      </c>
      <c r="B5" s="867"/>
      <c r="C5" s="867"/>
      <c r="D5" s="867"/>
      <c r="E5" s="867"/>
      <c r="F5" s="867"/>
    </row>
    <row r="6" spans="1:6" s="276" customFormat="1" ht="12.75" customHeight="1">
      <c r="A6" s="868"/>
      <c r="B6" s="868"/>
      <c r="C6" s="868"/>
      <c r="D6" s="275"/>
      <c r="E6" s="275"/>
      <c r="F6" s="275" t="s">
        <v>35</v>
      </c>
    </row>
    <row r="7" spans="1:6" s="277" customFormat="1" ht="15.75" customHeight="1">
      <c r="A7" s="869" t="s">
        <v>560</v>
      </c>
      <c r="B7" s="869" t="s">
        <v>73</v>
      </c>
      <c r="C7" s="870" t="s">
        <v>561</v>
      </c>
      <c r="D7" s="869" t="s">
        <v>101</v>
      </c>
      <c r="E7" s="869" t="s">
        <v>562</v>
      </c>
      <c r="F7" s="869" t="s">
        <v>77</v>
      </c>
    </row>
    <row r="8" spans="1:6" s="278" customFormat="1" ht="9" customHeight="1">
      <c r="A8" s="869"/>
      <c r="B8" s="869"/>
      <c r="C8" s="870"/>
      <c r="D8" s="869"/>
      <c r="E8" s="869"/>
      <c r="F8" s="869"/>
    </row>
    <row r="9" spans="1:6" s="281" customFormat="1" ht="12.75">
      <c r="A9" s="279">
        <v>1</v>
      </c>
      <c r="B9" s="279">
        <v>2</v>
      </c>
      <c r="C9" s="280">
        <v>3</v>
      </c>
      <c r="D9" s="279">
        <v>4</v>
      </c>
      <c r="E9" s="279">
        <v>5</v>
      </c>
      <c r="F9" s="279">
        <v>6</v>
      </c>
    </row>
    <row r="10" spans="1:6" s="281" customFormat="1" ht="5.0999999999999996" customHeight="1">
      <c r="A10" s="282"/>
      <c r="B10" s="283"/>
      <c r="C10" s="283"/>
      <c r="D10" s="284"/>
      <c r="E10" s="284"/>
      <c r="F10" s="284"/>
    </row>
    <row r="11" spans="1:6" s="288" customFormat="1" ht="21" customHeight="1">
      <c r="A11" s="285">
        <v>1</v>
      </c>
      <c r="B11" s="285"/>
      <c r="C11" s="286" t="s">
        <v>563</v>
      </c>
      <c r="D11" s="287">
        <f>D13+D12</f>
        <v>1994256089.6800001</v>
      </c>
      <c r="E11" s="287">
        <f>E13+E12</f>
        <v>14637698</v>
      </c>
      <c r="F11" s="287">
        <f>F13+F12</f>
        <v>2008893787.6800001</v>
      </c>
    </row>
    <row r="12" spans="1:6" s="292" customFormat="1" ht="21" customHeight="1">
      <c r="A12" s="289" t="s">
        <v>564</v>
      </c>
      <c r="B12" s="289"/>
      <c r="C12" s="290" t="s">
        <v>565</v>
      </c>
      <c r="D12" s="291">
        <v>1765937381.6800001</v>
      </c>
      <c r="E12" s="291">
        <v>14055989</v>
      </c>
      <c r="F12" s="291">
        <f>D12+E12</f>
        <v>1779993370.6800001</v>
      </c>
    </row>
    <row r="13" spans="1:6" s="292" customFormat="1" ht="21" customHeight="1">
      <c r="A13" s="289" t="s">
        <v>566</v>
      </c>
      <c r="B13" s="289"/>
      <c r="C13" s="290" t="s">
        <v>567</v>
      </c>
      <c r="D13" s="291">
        <v>228318708</v>
      </c>
      <c r="E13" s="291">
        <v>581709</v>
      </c>
      <c r="F13" s="291">
        <f>D13+E13</f>
        <v>228900417</v>
      </c>
    </row>
    <row r="14" spans="1:6" s="288" customFormat="1" ht="21" customHeight="1">
      <c r="A14" s="285">
        <v>2</v>
      </c>
      <c r="B14" s="285"/>
      <c r="C14" s="286" t="s">
        <v>568</v>
      </c>
      <c r="D14" s="287">
        <f>D15+D18+D21</f>
        <v>214449827.19999999</v>
      </c>
      <c r="E14" s="287">
        <f>E15+E18+E21</f>
        <v>93684366</v>
      </c>
      <c r="F14" s="287">
        <f>F15+F18+F21</f>
        <v>308134193.19999999</v>
      </c>
    </row>
    <row r="15" spans="1:6" s="297" customFormat="1" ht="30.75" customHeight="1">
      <c r="A15" s="293" t="s">
        <v>569</v>
      </c>
      <c r="B15" s="294"/>
      <c r="C15" s="295" t="s">
        <v>570</v>
      </c>
      <c r="D15" s="296">
        <f>D16+D17</f>
        <v>14096039.199999999</v>
      </c>
      <c r="E15" s="296">
        <f>E16+E17</f>
        <v>99576.3</v>
      </c>
      <c r="F15" s="296">
        <f>F16+F17</f>
        <v>14195615.5</v>
      </c>
    </row>
    <row r="16" spans="1:6" s="302" customFormat="1" ht="39" customHeight="1">
      <c r="A16" s="298" t="s">
        <v>571</v>
      </c>
      <c r="B16" s="299">
        <v>905</v>
      </c>
      <c r="C16" s="300" t="s">
        <v>572</v>
      </c>
      <c r="D16" s="301">
        <v>5000000</v>
      </c>
      <c r="E16" s="301">
        <v>0</v>
      </c>
      <c r="F16" s="301">
        <f>D16+E16</f>
        <v>5000000</v>
      </c>
    </row>
    <row r="17" spans="1:6" s="302" customFormat="1" ht="39" customHeight="1">
      <c r="A17" s="303" t="s">
        <v>573</v>
      </c>
      <c r="B17" s="299">
        <v>906</v>
      </c>
      <c r="C17" s="300" t="s">
        <v>574</v>
      </c>
      <c r="D17" s="301">
        <v>9096039.1999999993</v>
      </c>
      <c r="E17" s="301">
        <v>99576.3</v>
      </c>
      <c r="F17" s="301">
        <f>D17+E17</f>
        <v>9195615.5</v>
      </c>
    </row>
    <row r="18" spans="1:6" s="297" customFormat="1" ht="21.95" customHeight="1">
      <c r="A18" s="304" t="s">
        <v>575</v>
      </c>
      <c r="B18" s="305">
        <v>952</v>
      </c>
      <c r="C18" s="306" t="s">
        <v>576</v>
      </c>
      <c r="D18" s="296">
        <f>D19+D20</f>
        <v>145000000</v>
      </c>
      <c r="E18" s="296">
        <f>E19+E20</f>
        <v>0</v>
      </c>
      <c r="F18" s="296">
        <f>F19+F20</f>
        <v>145000000</v>
      </c>
    </row>
    <row r="19" spans="1:6" s="281" customFormat="1" ht="18.75" customHeight="1">
      <c r="A19" s="303" t="s">
        <v>577</v>
      </c>
      <c r="B19" s="279"/>
      <c r="C19" s="307" t="s">
        <v>578</v>
      </c>
      <c r="D19" s="301">
        <v>23000000</v>
      </c>
      <c r="E19" s="301">
        <v>0</v>
      </c>
      <c r="F19" s="301">
        <f>D19+E19</f>
        <v>23000000</v>
      </c>
    </row>
    <row r="20" spans="1:6" s="281" customFormat="1" ht="18.75" customHeight="1">
      <c r="A20" s="303" t="s">
        <v>579</v>
      </c>
      <c r="B20" s="279"/>
      <c r="C20" s="307" t="s">
        <v>580</v>
      </c>
      <c r="D20" s="301">
        <f>122000000</f>
        <v>122000000</v>
      </c>
      <c r="E20" s="301">
        <v>0</v>
      </c>
      <c r="F20" s="301">
        <f>D20+E20</f>
        <v>122000000</v>
      </c>
    </row>
    <row r="21" spans="1:6" s="297" customFormat="1" ht="27.75" customHeight="1">
      <c r="A21" s="304" t="s">
        <v>581</v>
      </c>
      <c r="B21" s="305">
        <v>950</v>
      </c>
      <c r="C21" s="306" t="s">
        <v>582</v>
      </c>
      <c r="D21" s="296">
        <f>D22+D23</f>
        <v>55353788</v>
      </c>
      <c r="E21" s="296">
        <f>E22+E23</f>
        <v>93584789.700000003</v>
      </c>
      <c r="F21" s="296">
        <f>F22+F23</f>
        <v>148938577.69999999</v>
      </c>
    </row>
    <row r="22" spans="1:6" s="302" customFormat="1" ht="19.5" customHeight="1">
      <c r="A22" s="303" t="s">
        <v>583</v>
      </c>
      <c r="B22" s="279"/>
      <c r="C22" s="307" t="s">
        <v>584</v>
      </c>
      <c r="D22" s="301">
        <v>0</v>
      </c>
      <c r="E22" s="301">
        <v>0</v>
      </c>
      <c r="F22" s="301">
        <f>D22+E22</f>
        <v>0</v>
      </c>
    </row>
    <row r="23" spans="1:6" s="302" customFormat="1" ht="19.5" customHeight="1">
      <c r="A23" s="303" t="s">
        <v>585</v>
      </c>
      <c r="B23" s="279"/>
      <c r="C23" s="307" t="s">
        <v>586</v>
      </c>
      <c r="D23" s="301">
        <v>55353788</v>
      </c>
      <c r="E23" s="301">
        <v>93584789.700000003</v>
      </c>
      <c r="F23" s="301">
        <f>D23+E23</f>
        <v>148938577.69999999</v>
      </c>
    </row>
    <row r="24" spans="1:6" s="310" customFormat="1" ht="21.95" customHeight="1">
      <c r="A24" s="308">
        <v>3</v>
      </c>
      <c r="B24" s="308"/>
      <c r="C24" s="309" t="s">
        <v>587</v>
      </c>
      <c r="D24" s="287">
        <f>D11+D14</f>
        <v>2208705916.8800001</v>
      </c>
      <c r="E24" s="287">
        <f>E11+E14</f>
        <v>108322064</v>
      </c>
      <c r="F24" s="287">
        <f>F11+F14</f>
        <v>2317027980.8800001</v>
      </c>
    </row>
    <row r="25" spans="1:6" ht="5.0999999999999996" customHeight="1">
      <c r="A25" s="311"/>
      <c r="B25" s="312"/>
      <c r="C25" s="313"/>
      <c r="D25" s="314"/>
      <c r="E25" s="314"/>
      <c r="F25" s="314"/>
    </row>
    <row r="26" spans="1:6" s="315" customFormat="1" ht="21.95" customHeight="1">
      <c r="A26" s="285">
        <v>4</v>
      </c>
      <c r="B26" s="285"/>
      <c r="C26" s="286" t="s">
        <v>588</v>
      </c>
      <c r="D26" s="287">
        <f>D27+D30</f>
        <v>2185705916.8800001</v>
      </c>
      <c r="E26" s="287">
        <f>E27+E30</f>
        <v>108322064</v>
      </c>
      <c r="F26" s="287">
        <f>F27+F30</f>
        <v>2294027980.8800001</v>
      </c>
    </row>
    <row r="27" spans="1:6" s="292" customFormat="1" ht="21.95" customHeight="1">
      <c r="A27" s="289" t="s">
        <v>589</v>
      </c>
      <c r="B27" s="289"/>
      <c r="C27" s="290" t="s">
        <v>590</v>
      </c>
      <c r="D27" s="291">
        <f>D28+D29</f>
        <v>1429973476.8800001</v>
      </c>
      <c r="E27" s="291">
        <f>E28+E29</f>
        <v>26757510</v>
      </c>
      <c r="F27" s="291">
        <f>F28+F29</f>
        <v>1456730986.8800001</v>
      </c>
    </row>
    <row r="28" spans="1:6" s="319" customFormat="1" ht="19.5" customHeight="1">
      <c r="A28" s="316" t="s">
        <v>591</v>
      </c>
      <c r="B28" s="316"/>
      <c r="C28" s="317" t="s">
        <v>592</v>
      </c>
      <c r="D28" s="318">
        <v>1356733390.8800001</v>
      </c>
      <c r="E28" s="318">
        <v>26757510</v>
      </c>
      <c r="F28" s="318">
        <f>D28+E28</f>
        <v>1383490900.8800001</v>
      </c>
    </row>
    <row r="29" spans="1:6" s="319" customFormat="1" ht="19.5" customHeight="1">
      <c r="A29" s="316" t="s">
        <v>593</v>
      </c>
      <c r="B29" s="316"/>
      <c r="C29" s="317" t="s">
        <v>594</v>
      </c>
      <c r="D29" s="318">
        <v>73240086</v>
      </c>
      <c r="E29" s="318"/>
      <c r="F29" s="318">
        <f>D29+E29</f>
        <v>73240086</v>
      </c>
    </row>
    <row r="30" spans="1:6" s="292" customFormat="1" ht="21.95" customHeight="1">
      <c r="A30" s="289" t="s">
        <v>595</v>
      </c>
      <c r="B30" s="289"/>
      <c r="C30" s="290" t="s">
        <v>596</v>
      </c>
      <c r="D30" s="291">
        <v>755732440</v>
      </c>
      <c r="E30" s="291">
        <v>81564554</v>
      </c>
      <c r="F30" s="291">
        <f>D30+E30</f>
        <v>837296994</v>
      </c>
    </row>
    <row r="31" spans="1:6" s="288" customFormat="1" ht="21.95" customHeight="1">
      <c r="A31" s="285">
        <v>5</v>
      </c>
      <c r="B31" s="285"/>
      <c r="C31" s="286" t="s">
        <v>597</v>
      </c>
      <c r="D31" s="287">
        <f>D32</f>
        <v>23000000</v>
      </c>
      <c r="E31" s="287">
        <f>E32</f>
        <v>0</v>
      </c>
      <c r="F31" s="287">
        <f>F32</f>
        <v>23000000</v>
      </c>
    </row>
    <row r="32" spans="1:6" ht="21.95" customHeight="1">
      <c r="A32" s="305" t="s">
        <v>598</v>
      </c>
      <c r="B32" s="305">
        <v>992</v>
      </c>
      <c r="C32" s="306" t="s">
        <v>599</v>
      </c>
      <c r="D32" s="296">
        <v>23000000</v>
      </c>
      <c r="E32" s="296">
        <v>0</v>
      </c>
      <c r="F32" s="296">
        <f>D32+E32</f>
        <v>23000000</v>
      </c>
    </row>
    <row r="33" spans="1:6" s="310" customFormat="1" ht="21.95" customHeight="1">
      <c r="A33" s="308">
        <v>6</v>
      </c>
      <c r="B33" s="308"/>
      <c r="C33" s="309" t="s">
        <v>600</v>
      </c>
      <c r="D33" s="287">
        <f>D26+D31</f>
        <v>2208705916.8800001</v>
      </c>
      <c r="E33" s="287">
        <f>E26+E31</f>
        <v>108322064</v>
      </c>
      <c r="F33" s="287">
        <f>F26+F31</f>
        <v>2317027980.8800001</v>
      </c>
    </row>
    <row r="34" spans="1:6" s="310" customFormat="1" ht="5.0999999999999996" customHeight="1">
      <c r="A34" s="320"/>
      <c r="B34" s="321"/>
      <c r="C34" s="322"/>
      <c r="D34" s="323"/>
      <c r="E34" s="323"/>
      <c r="F34" s="323"/>
    </row>
    <row r="35" spans="1:6" s="288" customFormat="1" ht="21.95" customHeight="1">
      <c r="A35" s="285">
        <v>7</v>
      </c>
      <c r="B35" s="285"/>
      <c r="C35" s="286" t="s">
        <v>601</v>
      </c>
      <c r="D35" s="287">
        <f>D24-D33</f>
        <v>0</v>
      </c>
      <c r="E35" s="287">
        <f>E24-E33</f>
        <v>0</v>
      </c>
      <c r="F35" s="287">
        <f>F24-F33</f>
        <v>0</v>
      </c>
    </row>
    <row r="36" spans="1:6" s="288" customFormat="1" ht="5.0999999999999996" customHeight="1">
      <c r="A36" s="324"/>
      <c r="B36" s="325"/>
      <c r="C36" s="326"/>
      <c r="D36" s="314"/>
      <c r="E36" s="314"/>
      <c r="F36" s="314"/>
    </row>
    <row r="37" spans="1:6" s="288" customFormat="1" ht="21.95" customHeight="1">
      <c r="A37" s="285">
        <v>8</v>
      </c>
      <c r="B37" s="285"/>
      <c r="C37" s="286" t="s">
        <v>602</v>
      </c>
      <c r="D37" s="287">
        <f>D11-D26</f>
        <v>-191449827.20000005</v>
      </c>
      <c r="E37" s="287">
        <f>E11-E26</f>
        <v>-93684366</v>
      </c>
      <c r="F37" s="287">
        <f>F11-F26</f>
        <v>-285134193.20000005</v>
      </c>
    </row>
    <row r="38" spans="1:6" s="288" customFormat="1" ht="5.0999999999999996" customHeight="1">
      <c r="A38" s="324"/>
      <c r="B38" s="325"/>
      <c r="C38" s="326"/>
      <c r="D38" s="314"/>
      <c r="E38" s="314"/>
      <c r="F38" s="314"/>
    </row>
    <row r="39" spans="1:6" s="288" customFormat="1" ht="21.95" customHeight="1">
      <c r="A39" s="327">
        <v>9</v>
      </c>
      <c r="B39" s="327"/>
      <c r="C39" s="328" t="s">
        <v>603</v>
      </c>
      <c r="D39" s="329">
        <f>D40+D43+D44</f>
        <v>191449827.19999999</v>
      </c>
      <c r="E39" s="329">
        <f>E40+E43+E44</f>
        <v>93684366</v>
      </c>
      <c r="F39" s="329">
        <f>F40+F43+F44</f>
        <v>285134193.19999999</v>
      </c>
    </row>
    <row r="40" spans="1:6" s="331" customFormat="1" ht="29.25" customHeight="1">
      <c r="A40" s="304" t="s">
        <v>604</v>
      </c>
      <c r="B40" s="305"/>
      <c r="C40" s="295" t="s">
        <v>570</v>
      </c>
      <c r="D40" s="330">
        <f>D41+D42</f>
        <v>14096039.199999999</v>
      </c>
      <c r="E40" s="330">
        <f>E41+E42</f>
        <v>99576.3</v>
      </c>
      <c r="F40" s="330">
        <f>F41+F42</f>
        <v>14195615.5</v>
      </c>
    </row>
    <row r="41" spans="1:6" s="333" customFormat="1" ht="41.25" customHeight="1">
      <c r="A41" s="303" t="s">
        <v>605</v>
      </c>
      <c r="B41" s="279"/>
      <c r="C41" s="300" t="s">
        <v>572</v>
      </c>
      <c r="D41" s="332">
        <f>D16</f>
        <v>5000000</v>
      </c>
      <c r="E41" s="332">
        <f t="shared" ref="E41:F42" si="0">E16</f>
        <v>0</v>
      </c>
      <c r="F41" s="332">
        <f t="shared" si="0"/>
        <v>5000000</v>
      </c>
    </row>
    <row r="42" spans="1:6" s="333" customFormat="1" ht="41.25" customHeight="1">
      <c r="A42" s="303" t="s">
        <v>606</v>
      </c>
      <c r="B42" s="279"/>
      <c r="C42" s="307" t="s">
        <v>607</v>
      </c>
      <c r="D42" s="332">
        <f>D17</f>
        <v>9096039.1999999993</v>
      </c>
      <c r="E42" s="332">
        <f t="shared" si="0"/>
        <v>99576.3</v>
      </c>
      <c r="F42" s="332">
        <f t="shared" si="0"/>
        <v>9195615.5</v>
      </c>
    </row>
    <row r="43" spans="1:6" ht="17.25" customHeight="1">
      <c r="A43" s="304" t="s">
        <v>608</v>
      </c>
      <c r="B43" s="305"/>
      <c r="C43" s="306" t="s">
        <v>609</v>
      </c>
      <c r="D43" s="296">
        <f>D20</f>
        <v>122000000</v>
      </c>
      <c r="E43" s="296">
        <f>E20</f>
        <v>0</v>
      </c>
      <c r="F43" s="296">
        <f>F20</f>
        <v>122000000</v>
      </c>
    </row>
    <row r="44" spans="1:6" ht="30" customHeight="1">
      <c r="A44" s="334" t="s">
        <v>610</v>
      </c>
      <c r="B44" s="335"/>
      <c r="C44" s="306" t="s">
        <v>582</v>
      </c>
      <c r="D44" s="296">
        <f>D23</f>
        <v>55353788</v>
      </c>
      <c r="E44" s="296">
        <f>E23</f>
        <v>93584789.700000003</v>
      </c>
      <c r="F44" s="296">
        <f>F23</f>
        <v>148938577.69999999</v>
      </c>
    </row>
    <row r="45" spans="1:6" ht="21.95" hidden="1" customHeight="1">
      <c r="A45" s="334" t="s">
        <v>610</v>
      </c>
      <c r="B45" s="335"/>
      <c r="C45" s="336" t="s">
        <v>611</v>
      </c>
      <c r="D45" s="314">
        <v>0</v>
      </c>
      <c r="E45" s="314"/>
      <c r="F45" s="314"/>
    </row>
    <row r="46" spans="1:6" ht="5.0999999999999996" customHeight="1">
      <c r="A46" s="337"/>
      <c r="B46" s="338"/>
      <c r="C46" s="339"/>
      <c r="D46" s="340"/>
      <c r="E46" s="340"/>
      <c r="F46" s="340"/>
    </row>
    <row r="47" spans="1:6" s="310" customFormat="1" ht="14.25" customHeight="1">
      <c r="A47" s="871" t="s">
        <v>612</v>
      </c>
      <c r="B47" s="871"/>
      <c r="C47" s="871"/>
      <c r="D47" s="341"/>
      <c r="E47" s="341"/>
      <c r="F47" s="341"/>
    </row>
    <row r="48" spans="1:6" ht="15" customHeight="1">
      <c r="A48" s="864" t="s">
        <v>613</v>
      </c>
      <c r="B48" s="864"/>
      <c r="C48" s="864"/>
      <c r="D48" s="342">
        <f>D12</f>
        <v>1765937381.6800001</v>
      </c>
      <c r="E48" s="342">
        <f>E12</f>
        <v>14055989</v>
      </c>
      <c r="F48" s="342">
        <f>F12</f>
        <v>1779993370.6800001</v>
      </c>
    </row>
    <row r="49" spans="1:6" ht="15" customHeight="1">
      <c r="A49" s="864" t="s">
        <v>614</v>
      </c>
      <c r="B49" s="864"/>
      <c r="C49" s="864"/>
      <c r="D49" s="342">
        <f>D27</f>
        <v>1429973476.8800001</v>
      </c>
      <c r="E49" s="342">
        <f>E27</f>
        <v>26757510</v>
      </c>
      <c r="F49" s="342">
        <f>F27</f>
        <v>1456730986.8800001</v>
      </c>
    </row>
    <row r="50" spans="1:6" s="310" customFormat="1" ht="16.5" customHeight="1">
      <c r="A50" s="872" t="s">
        <v>615</v>
      </c>
      <c r="B50" s="872"/>
      <c r="C50" s="872"/>
      <c r="D50" s="341">
        <f>D48-D49</f>
        <v>335963904.79999995</v>
      </c>
      <c r="E50" s="341">
        <f>E48-E49</f>
        <v>-12701521</v>
      </c>
      <c r="F50" s="341">
        <f>F48-F49</f>
        <v>323262383.79999995</v>
      </c>
    </row>
    <row r="51" spans="1:6" s="277" customFormat="1" ht="5.0999999999999996" customHeight="1">
      <c r="A51" s="343"/>
      <c r="B51" s="344"/>
      <c r="C51" s="345"/>
      <c r="D51" s="346"/>
      <c r="E51" s="346"/>
      <c r="F51" s="346"/>
    </row>
    <row r="52" spans="1:6" s="277" customFormat="1" ht="12" customHeight="1">
      <c r="A52" s="866" t="s">
        <v>616</v>
      </c>
      <c r="B52" s="866"/>
      <c r="C52" s="866"/>
      <c r="D52" s="347">
        <f>D11</f>
        <v>1994256089.6800001</v>
      </c>
      <c r="E52" s="347">
        <f>E11</f>
        <v>14637698</v>
      </c>
      <c r="F52" s="347">
        <f>F11</f>
        <v>2008893787.6800001</v>
      </c>
    </row>
    <row r="53" spans="1:6" ht="15" customHeight="1">
      <c r="A53" s="864" t="s">
        <v>617</v>
      </c>
      <c r="B53" s="864"/>
      <c r="C53" s="864"/>
      <c r="D53" s="342">
        <f>D28</f>
        <v>1356733390.8800001</v>
      </c>
      <c r="E53" s="342">
        <f>E28</f>
        <v>26757510</v>
      </c>
      <c r="F53" s="342">
        <f>F28</f>
        <v>1383490900.8800001</v>
      </c>
    </row>
    <row r="54" spans="1:6" ht="15" customHeight="1">
      <c r="A54" s="864" t="s">
        <v>618</v>
      </c>
      <c r="B54" s="864"/>
      <c r="C54" s="864"/>
      <c r="D54" s="342">
        <f>D21+D15</f>
        <v>69449827.200000003</v>
      </c>
      <c r="E54" s="342">
        <f>E21+E15</f>
        <v>93684366</v>
      </c>
      <c r="F54" s="342">
        <f>F21+F15</f>
        <v>163134193.19999999</v>
      </c>
    </row>
    <row r="55" spans="1:6" ht="15.75" customHeight="1">
      <c r="A55" s="866" t="s">
        <v>619</v>
      </c>
      <c r="B55" s="866"/>
      <c r="C55" s="866"/>
      <c r="D55" s="342">
        <f>D52-D53+D54</f>
        <v>706972526</v>
      </c>
      <c r="E55" s="342">
        <f>E52-E53+E54</f>
        <v>81564554</v>
      </c>
      <c r="F55" s="342">
        <f>F52-F53+F54</f>
        <v>788537080</v>
      </c>
    </row>
    <row r="56" spans="1:6" ht="25.5" customHeight="1">
      <c r="A56" s="864" t="s">
        <v>620</v>
      </c>
      <c r="B56" s="864"/>
      <c r="C56" s="864"/>
      <c r="D56" s="342">
        <f>D29+D32</f>
        <v>96240086</v>
      </c>
      <c r="E56" s="342">
        <f>E29+E32</f>
        <v>0</v>
      </c>
      <c r="F56" s="342">
        <f>F29+F32</f>
        <v>96240086</v>
      </c>
    </row>
    <row r="57" spans="1:6" ht="15" customHeight="1">
      <c r="A57" s="866" t="s">
        <v>621</v>
      </c>
      <c r="B57" s="866"/>
      <c r="C57" s="866"/>
      <c r="D57" s="342">
        <f>D55-D56</f>
        <v>610732440</v>
      </c>
      <c r="E57" s="342">
        <f>E55-E56</f>
        <v>81564554</v>
      </c>
      <c r="F57" s="342">
        <f>F55-F56</f>
        <v>692296994</v>
      </c>
    </row>
    <row r="58" spans="1:6" ht="15" customHeight="1">
      <c r="A58" s="864" t="s">
        <v>622</v>
      </c>
      <c r="B58" s="864"/>
      <c r="C58" s="864"/>
      <c r="D58" s="342">
        <f>D30</f>
        <v>755732440</v>
      </c>
      <c r="E58" s="342">
        <f>E30</f>
        <v>81564554</v>
      </c>
      <c r="F58" s="342">
        <f>F30</f>
        <v>837296994</v>
      </c>
    </row>
    <row r="59" spans="1:6" ht="15" customHeight="1">
      <c r="A59" s="866" t="s">
        <v>623</v>
      </c>
      <c r="B59" s="866"/>
      <c r="C59" s="866"/>
      <c r="D59" s="342">
        <f>D57-D58</f>
        <v>-145000000</v>
      </c>
      <c r="E59" s="342">
        <f>E57-E58</f>
        <v>0</v>
      </c>
      <c r="F59" s="342">
        <f>F57-F58</f>
        <v>-145000000</v>
      </c>
    </row>
    <row r="60" spans="1:6" ht="15" customHeight="1">
      <c r="A60" s="864" t="s">
        <v>624</v>
      </c>
      <c r="B60" s="864"/>
      <c r="C60" s="864"/>
      <c r="D60" s="342">
        <f>D18</f>
        <v>145000000</v>
      </c>
      <c r="E60" s="342">
        <f>E18</f>
        <v>0</v>
      </c>
      <c r="F60" s="342">
        <f>F18</f>
        <v>145000000</v>
      </c>
    </row>
    <row r="61" spans="1:6" ht="15" hidden="1" customHeight="1">
      <c r="A61" s="864" t="s">
        <v>625</v>
      </c>
      <c r="B61" s="864"/>
      <c r="C61" s="864"/>
      <c r="D61" s="342">
        <v>0</v>
      </c>
      <c r="E61" s="342">
        <v>0</v>
      </c>
      <c r="F61" s="342">
        <v>0</v>
      </c>
    </row>
    <row r="62" spans="1:6" ht="15" hidden="1" customHeight="1">
      <c r="A62" s="864" t="s">
        <v>626</v>
      </c>
      <c r="B62" s="864"/>
      <c r="C62" s="864"/>
      <c r="D62" s="342">
        <v>0</v>
      </c>
      <c r="E62" s="342">
        <v>0</v>
      </c>
      <c r="F62" s="342">
        <v>0</v>
      </c>
    </row>
    <row r="63" spans="1:6" ht="14.25" customHeight="1">
      <c r="A63" s="865" t="s">
        <v>627</v>
      </c>
      <c r="B63" s="865"/>
      <c r="C63" s="865"/>
      <c r="D63" s="348">
        <f>D59+D60-D61+D62</f>
        <v>0</v>
      </c>
      <c r="E63" s="348">
        <f>E59+E60-E61+E62</f>
        <v>0</v>
      </c>
      <c r="F63" s="348">
        <f>F59+F60-F61+F62</f>
        <v>0</v>
      </c>
    </row>
    <row r="64" spans="1:6" ht="6.75" hidden="1" customHeight="1" thickBot="1">
      <c r="A64" s="349"/>
      <c r="B64" s="350"/>
      <c r="C64" s="351"/>
      <c r="D64" s="352"/>
      <c r="E64" s="352"/>
      <c r="F64" s="352"/>
    </row>
  </sheetData>
  <sheetProtection algorithmName="SHA-512" hashValue="XAzdvPqIGr+6RybYRxNqNt41wNznRnYBi3/wdXJcEnt5EAuKy+aCdm6yAH7PE2ZpgCyFQ16B4oaZzh+YDlT32w==" saltValue="XXhgjVG1FiVTW/g8+kHXlA==" spinCount="100000" sheet="1" objects="1" scenarios="1"/>
  <mergeCells count="24"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134E-5363-4FF5-9DDD-DC7D44A27BCF}">
  <sheetPr>
    <pageSetUpPr fitToPage="1"/>
  </sheetPr>
  <dimension ref="A1:X317"/>
  <sheetViews>
    <sheetView view="pageBreakPreview" topLeftCell="A224" zoomScaleNormal="100" zoomScaleSheetLayoutView="100" workbookViewId="0">
      <selection activeCell="D286" sqref="D286"/>
    </sheetView>
  </sheetViews>
  <sheetFormatPr defaultRowHeight="15" outlineLevelCol="3"/>
  <cols>
    <col min="1" max="1" width="5.375" style="569" customWidth="1"/>
    <col min="2" max="2" width="10.125" style="569" customWidth="1"/>
    <col min="3" max="3" width="43.875" style="569" customWidth="1"/>
    <col min="4" max="4" width="11.625" style="569" customWidth="1"/>
    <col min="5" max="5" width="10.375" style="569" customWidth="1"/>
    <col min="6" max="6" width="11" style="569" customWidth="1"/>
    <col min="7" max="7" width="12.125" style="562" customWidth="1" outlineLevel="3" collapsed="1"/>
    <col min="8" max="8" width="12.125" style="569" customWidth="1"/>
    <col min="9" max="9" width="3.375" style="569" customWidth="1"/>
    <col min="10" max="10" width="12.875" style="569" customWidth="1"/>
    <col min="11" max="12" width="12.125" style="569" customWidth="1"/>
    <col min="13" max="13" width="11.375" style="569" customWidth="1"/>
    <col min="14" max="15" width="11.875" style="569" customWidth="1"/>
    <col min="16" max="16" width="11.75" style="569" customWidth="1"/>
    <col min="17" max="17" width="11.375" style="569" customWidth="1"/>
    <col min="18" max="18" width="11.875" style="569" customWidth="1"/>
    <col min="19" max="19" width="11.375" style="569" customWidth="1"/>
    <col min="20" max="20" width="10.375" style="569" customWidth="1"/>
    <col min="21" max="21" width="12.875" style="569" customWidth="1"/>
    <col min="22" max="22" width="11.75" style="569" customWidth="1"/>
    <col min="23" max="23" width="11" style="569" customWidth="1"/>
    <col min="24" max="256" width="9" style="569"/>
    <col min="257" max="257" width="5.375" style="569" customWidth="1"/>
    <col min="258" max="258" width="10.125" style="569" customWidth="1"/>
    <col min="259" max="259" width="43.875" style="569" customWidth="1"/>
    <col min="260" max="260" width="11.625" style="569" customWidth="1"/>
    <col min="261" max="261" width="10.375" style="569" customWidth="1"/>
    <col min="262" max="262" width="11" style="569" customWidth="1"/>
    <col min="263" max="264" width="12.125" style="569" customWidth="1"/>
    <col min="265" max="265" width="3.375" style="569" customWidth="1"/>
    <col min="266" max="266" width="12.875" style="569" customWidth="1"/>
    <col min="267" max="268" width="12.125" style="569" customWidth="1"/>
    <col min="269" max="269" width="11.375" style="569" customWidth="1"/>
    <col min="270" max="271" width="11.875" style="569" customWidth="1"/>
    <col min="272" max="272" width="11.75" style="569" customWidth="1"/>
    <col min="273" max="273" width="11.375" style="569" customWidth="1"/>
    <col min="274" max="274" width="11.875" style="569" customWidth="1"/>
    <col min="275" max="275" width="11.375" style="569" customWidth="1"/>
    <col min="276" max="276" width="10.375" style="569" customWidth="1"/>
    <col min="277" max="277" width="12.875" style="569" customWidth="1"/>
    <col min="278" max="278" width="11.75" style="569" customWidth="1"/>
    <col min="279" max="279" width="11" style="569" customWidth="1"/>
    <col min="280" max="512" width="9" style="569"/>
    <col min="513" max="513" width="5.375" style="569" customWidth="1"/>
    <col min="514" max="514" width="10.125" style="569" customWidth="1"/>
    <col min="515" max="515" width="43.875" style="569" customWidth="1"/>
    <col min="516" max="516" width="11.625" style="569" customWidth="1"/>
    <col min="517" max="517" width="10.375" style="569" customWidth="1"/>
    <col min="518" max="518" width="11" style="569" customWidth="1"/>
    <col min="519" max="520" width="12.125" style="569" customWidth="1"/>
    <col min="521" max="521" width="3.375" style="569" customWidth="1"/>
    <col min="522" max="522" width="12.875" style="569" customWidth="1"/>
    <col min="523" max="524" width="12.125" style="569" customWidth="1"/>
    <col min="525" max="525" width="11.375" style="569" customWidth="1"/>
    <col min="526" max="527" width="11.875" style="569" customWidth="1"/>
    <col min="528" max="528" width="11.75" style="569" customWidth="1"/>
    <col min="529" max="529" width="11.375" style="569" customWidth="1"/>
    <col min="530" max="530" width="11.875" style="569" customWidth="1"/>
    <col min="531" max="531" width="11.375" style="569" customWidth="1"/>
    <col min="532" max="532" width="10.375" style="569" customWidth="1"/>
    <col min="533" max="533" width="12.875" style="569" customWidth="1"/>
    <col min="534" max="534" width="11.75" style="569" customWidth="1"/>
    <col min="535" max="535" width="11" style="569" customWidth="1"/>
    <col min="536" max="768" width="9" style="569"/>
    <col min="769" max="769" width="5.375" style="569" customWidth="1"/>
    <col min="770" max="770" width="10.125" style="569" customWidth="1"/>
    <col min="771" max="771" width="43.875" style="569" customWidth="1"/>
    <col min="772" max="772" width="11.625" style="569" customWidth="1"/>
    <col min="773" max="773" width="10.375" style="569" customWidth="1"/>
    <col min="774" max="774" width="11" style="569" customWidth="1"/>
    <col min="775" max="776" width="12.125" style="569" customWidth="1"/>
    <col min="777" max="777" width="3.375" style="569" customWidth="1"/>
    <col min="778" max="778" width="12.875" style="569" customWidth="1"/>
    <col min="779" max="780" width="12.125" style="569" customWidth="1"/>
    <col min="781" max="781" width="11.375" style="569" customWidth="1"/>
    <col min="782" max="783" width="11.875" style="569" customWidth="1"/>
    <col min="784" max="784" width="11.75" style="569" customWidth="1"/>
    <col min="785" max="785" width="11.375" style="569" customWidth="1"/>
    <col min="786" max="786" width="11.875" style="569" customWidth="1"/>
    <col min="787" max="787" width="11.375" style="569" customWidth="1"/>
    <col min="788" max="788" width="10.375" style="569" customWidth="1"/>
    <col min="789" max="789" width="12.875" style="569" customWidth="1"/>
    <col min="790" max="790" width="11.75" style="569" customWidth="1"/>
    <col min="791" max="791" width="11" style="569" customWidth="1"/>
    <col min="792" max="1024" width="9" style="569"/>
    <col min="1025" max="1025" width="5.375" style="569" customWidth="1"/>
    <col min="1026" max="1026" width="10.125" style="569" customWidth="1"/>
    <col min="1027" max="1027" width="43.875" style="569" customWidth="1"/>
    <col min="1028" max="1028" width="11.625" style="569" customWidth="1"/>
    <col min="1029" max="1029" width="10.375" style="569" customWidth="1"/>
    <col min="1030" max="1030" width="11" style="569" customWidth="1"/>
    <col min="1031" max="1032" width="12.125" style="569" customWidth="1"/>
    <col min="1033" max="1033" width="3.375" style="569" customWidth="1"/>
    <col min="1034" max="1034" width="12.875" style="569" customWidth="1"/>
    <col min="1035" max="1036" width="12.125" style="569" customWidth="1"/>
    <col min="1037" max="1037" width="11.375" style="569" customWidth="1"/>
    <col min="1038" max="1039" width="11.875" style="569" customWidth="1"/>
    <col min="1040" max="1040" width="11.75" style="569" customWidth="1"/>
    <col min="1041" max="1041" width="11.375" style="569" customWidth="1"/>
    <col min="1042" max="1042" width="11.875" style="569" customWidth="1"/>
    <col min="1043" max="1043" width="11.375" style="569" customWidth="1"/>
    <col min="1044" max="1044" width="10.375" style="569" customWidth="1"/>
    <col min="1045" max="1045" width="12.875" style="569" customWidth="1"/>
    <col min="1046" max="1046" width="11.75" style="569" customWidth="1"/>
    <col min="1047" max="1047" width="11" style="569" customWidth="1"/>
    <col min="1048" max="1280" width="9" style="569"/>
    <col min="1281" max="1281" width="5.375" style="569" customWidth="1"/>
    <col min="1282" max="1282" width="10.125" style="569" customWidth="1"/>
    <col min="1283" max="1283" width="43.875" style="569" customWidth="1"/>
    <col min="1284" max="1284" width="11.625" style="569" customWidth="1"/>
    <col min="1285" max="1285" width="10.375" style="569" customWidth="1"/>
    <col min="1286" max="1286" width="11" style="569" customWidth="1"/>
    <col min="1287" max="1288" width="12.125" style="569" customWidth="1"/>
    <col min="1289" max="1289" width="3.375" style="569" customWidth="1"/>
    <col min="1290" max="1290" width="12.875" style="569" customWidth="1"/>
    <col min="1291" max="1292" width="12.125" style="569" customWidth="1"/>
    <col min="1293" max="1293" width="11.375" style="569" customWidth="1"/>
    <col min="1294" max="1295" width="11.875" style="569" customWidth="1"/>
    <col min="1296" max="1296" width="11.75" style="569" customWidth="1"/>
    <col min="1297" max="1297" width="11.375" style="569" customWidth="1"/>
    <col min="1298" max="1298" width="11.875" style="569" customWidth="1"/>
    <col min="1299" max="1299" width="11.375" style="569" customWidth="1"/>
    <col min="1300" max="1300" width="10.375" style="569" customWidth="1"/>
    <col min="1301" max="1301" width="12.875" style="569" customWidth="1"/>
    <col min="1302" max="1302" width="11.75" style="569" customWidth="1"/>
    <col min="1303" max="1303" width="11" style="569" customWidth="1"/>
    <col min="1304" max="1536" width="9" style="569"/>
    <col min="1537" max="1537" width="5.375" style="569" customWidth="1"/>
    <col min="1538" max="1538" width="10.125" style="569" customWidth="1"/>
    <col min="1539" max="1539" width="43.875" style="569" customWidth="1"/>
    <col min="1540" max="1540" width="11.625" style="569" customWidth="1"/>
    <col min="1541" max="1541" width="10.375" style="569" customWidth="1"/>
    <col min="1542" max="1542" width="11" style="569" customWidth="1"/>
    <col min="1543" max="1544" width="12.125" style="569" customWidth="1"/>
    <col min="1545" max="1545" width="3.375" style="569" customWidth="1"/>
    <col min="1546" max="1546" width="12.875" style="569" customWidth="1"/>
    <col min="1547" max="1548" width="12.125" style="569" customWidth="1"/>
    <col min="1549" max="1549" width="11.375" style="569" customWidth="1"/>
    <col min="1550" max="1551" width="11.875" style="569" customWidth="1"/>
    <col min="1552" max="1552" width="11.75" style="569" customWidth="1"/>
    <col min="1553" max="1553" width="11.375" style="569" customWidth="1"/>
    <col min="1554" max="1554" width="11.875" style="569" customWidth="1"/>
    <col min="1555" max="1555" width="11.375" style="569" customWidth="1"/>
    <col min="1556" max="1556" width="10.375" style="569" customWidth="1"/>
    <col min="1557" max="1557" width="12.875" style="569" customWidth="1"/>
    <col min="1558" max="1558" width="11.75" style="569" customWidth="1"/>
    <col min="1559" max="1559" width="11" style="569" customWidth="1"/>
    <col min="1560" max="1792" width="9" style="569"/>
    <col min="1793" max="1793" width="5.375" style="569" customWidth="1"/>
    <col min="1794" max="1794" width="10.125" style="569" customWidth="1"/>
    <col min="1795" max="1795" width="43.875" style="569" customWidth="1"/>
    <col min="1796" max="1796" width="11.625" style="569" customWidth="1"/>
    <col min="1797" max="1797" width="10.375" style="569" customWidth="1"/>
    <col min="1798" max="1798" width="11" style="569" customWidth="1"/>
    <col min="1799" max="1800" width="12.125" style="569" customWidth="1"/>
    <col min="1801" max="1801" width="3.375" style="569" customWidth="1"/>
    <col min="1802" max="1802" width="12.875" style="569" customWidth="1"/>
    <col min="1803" max="1804" width="12.125" style="569" customWidth="1"/>
    <col min="1805" max="1805" width="11.375" style="569" customWidth="1"/>
    <col min="1806" max="1807" width="11.875" style="569" customWidth="1"/>
    <col min="1808" max="1808" width="11.75" style="569" customWidth="1"/>
    <col min="1809" max="1809" width="11.375" style="569" customWidth="1"/>
    <col min="1810" max="1810" width="11.875" style="569" customWidth="1"/>
    <col min="1811" max="1811" width="11.375" style="569" customWidth="1"/>
    <col min="1812" max="1812" width="10.375" style="569" customWidth="1"/>
    <col min="1813" max="1813" width="12.875" style="569" customWidth="1"/>
    <col min="1814" max="1814" width="11.75" style="569" customWidth="1"/>
    <col min="1815" max="1815" width="11" style="569" customWidth="1"/>
    <col min="1816" max="2048" width="9" style="569"/>
    <col min="2049" max="2049" width="5.375" style="569" customWidth="1"/>
    <col min="2050" max="2050" width="10.125" style="569" customWidth="1"/>
    <col min="2051" max="2051" width="43.875" style="569" customWidth="1"/>
    <col min="2052" max="2052" width="11.625" style="569" customWidth="1"/>
    <col min="2053" max="2053" width="10.375" style="569" customWidth="1"/>
    <col min="2054" max="2054" width="11" style="569" customWidth="1"/>
    <col min="2055" max="2056" width="12.125" style="569" customWidth="1"/>
    <col min="2057" max="2057" width="3.375" style="569" customWidth="1"/>
    <col min="2058" max="2058" width="12.875" style="569" customWidth="1"/>
    <col min="2059" max="2060" width="12.125" style="569" customWidth="1"/>
    <col min="2061" max="2061" width="11.375" style="569" customWidth="1"/>
    <col min="2062" max="2063" width="11.875" style="569" customWidth="1"/>
    <col min="2064" max="2064" width="11.75" style="569" customWidth="1"/>
    <col min="2065" max="2065" width="11.375" style="569" customWidth="1"/>
    <col min="2066" max="2066" width="11.875" style="569" customWidth="1"/>
    <col min="2067" max="2067" width="11.375" style="569" customWidth="1"/>
    <col min="2068" max="2068" width="10.375" style="569" customWidth="1"/>
    <col min="2069" max="2069" width="12.875" style="569" customWidth="1"/>
    <col min="2070" max="2070" width="11.75" style="569" customWidth="1"/>
    <col min="2071" max="2071" width="11" style="569" customWidth="1"/>
    <col min="2072" max="2304" width="9" style="569"/>
    <col min="2305" max="2305" width="5.375" style="569" customWidth="1"/>
    <col min="2306" max="2306" width="10.125" style="569" customWidth="1"/>
    <col min="2307" max="2307" width="43.875" style="569" customWidth="1"/>
    <col min="2308" max="2308" width="11.625" style="569" customWidth="1"/>
    <col min="2309" max="2309" width="10.375" style="569" customWidth="1"/>
    <col min="2310" max="2310" width="11" style="569" customWidth="1"/>
    <col min="2311" max="2312" width="12.125" style="569" customWidth="1"/>
    <col min="2313" max="2313" width="3.375" style="569" customWidth="1"/>
    <col min="2314" max="2314" width="12.875" style="569" customWidth="1"/>
    <col min="2315" max="2316" width="12.125" style="569" customWidth="1"/>
    <col min="2317" max="2317" width="11.375" style="569" customWidth="1"/>
    <col min="2318" max="2319" width="11.875" style="569" customWidth="1"/>
    <col min="2320" max="2320" width="11.75" style="569" customWidth="1"/>
    <col min="2321" max="2321" width="11.375" style="569" customWidth="1"/>
    <col min="2322" max="2322" width="11.875" style="569" customWidth="1"/>
    <col min="2323" max="2323" width="11.375" style="569" customWidth="1"/>
    <col min="2324" max="2324" width="10.375" style="569" customWidth="1"/>
    <col min="2325" max="2325" width="12.875" style="569" customWidth="1"/>
    <col min="2326" max="2326" width="11.75" style="569" customWidth="1"/>
    <col min="2327" max="2327" width="11" style="569" customWidth="1"/>
    <col min="2328" max="2560" width="9" style="569"/>
    <col min="2561" max="2561" width="5.375" style="569" customWidth="1"/>
    <col min="2562" max="2562" width="10.125" style="569" customWidth="1"/>
    <col min="2563" max="2563" width="43.875" style="569" customWidth="1"/>
    <col min="2564" max="2564" width="11.625" style="569" customWidth="1"/>
    <col min="2565" max="2565" width="10.375" style="569" customWidth="1"/>
    <col min="2566" max="2566" width="11" style="569" customWidth="1"/>
    <col min="2567" max="2568" width="12.125" style="569" customWidth="1"/>
    <col min="2569" max="2569" width="3.375" style="569" customWidth="1"/>
    <col min="2570" max="2570" width="12.875" style="569" customWidth="1"/>
    <col min="2571" max="2572" width="12.125" style="569" customWidth="1"/>
    <col min="2573" max="2573" width="11.375" style="569" customWidth="1"/>
    <col min="2574" max="2575" width="11.875" style="569" customWidth="1"/>
    <col min="2576" max="2576" width="11.75" style="569" customWidth="1"/>
    <col min="2577" max="2577" width="11.375" style="569" customWidth="1"/>
    <col min="2578" max="2578" width="11.875" style="569" customWidth="1"/>
    <col min="2579" max="2579" width="11.375" style="569" customWidth="1"/>
    <col min="2580" max="2580" width="10.375" style="569" customWidth="1"/>
    <col min="2581" max="2581" width="12.875" style="569" customWidth="1"/>
    <col min="2582" max="2582" width="11.75" style="569" customWidth="1"/>
    <col min="2583" max="2583" width="11" style="569" customWidth="1"/>
    <col min="2584" max="2816" width="9" style="569"/>
    <col min="2817" max="2817" width="5.375" style="569" customWidth="1"/>
    <col min="2818" max="2818" width="10.125" style="569" customWidth="1"/>
    <col min="2819" max="2819" width="43.875" style="569" customWidth="1"/>
    <col min="2820" max="2820" width="11.625" style="569" customWidth="1"/>
    <col min="2821" max="2821" width="10.375" style="569" customWidth="1"/>
    <col min="2822" max="2822" width="11" style="569" customWidth="1"/>
    <col min="2823" max="2824" width="12.125" style="569" customWidth="1"/>
    <col min="2825" max="2825" width="3.375" style="569" customWidth="1"/>
    <col min="2826" max="2826" width="12.875" style="569" customWidth="1"/>
    <col min="2827" max="2828" width="12.125" style="569" customWidth="1"/>
    <col min="2829" max="2829" width="11.375" style="569" customWidth="1"/>
    <col min="2830" max="2831" width="11.875" style="569" customWidth="1"/>
    <col min="2832" max="2832" width="11.75" style="569" customWidth="1"/>
    <col min="2833" max="2833" width="11.375" style="569" customWidth="1"/>
    <col min="2834" max="2834" width="11.875" style="569" customWidth="1"/>
    <col min="2835" max="2835" width="11.375" style="569" customWidth="1"/>
    <col min="2836" max="2836" width="10.375" style="569" customWidth="1"/>
    <col min="2837" max="2837" width="12.875" style="569" customWidth="1"/>
    <col min="2838" max="2838" width="11.75" style="569" customWidth="1"/>
    <col min="2839" max="2839" width="11" style="569" customWidth="1"/>
    <col min="2840" max="3072" width="9" style="569"/>
    <col min="3073" max="3073" width="5.375" style="569" customWidth="1"/>
    <col min="3074" max="3074" width="10.125" style="569" customWidth="1"/>
    <col min="3075" max="3075" width="43.875" style="569" customWidth="1"/>
    <col min="3076" max="3076" width="11.625" style="569" customWidth="1"/>
    <col min="3077" max="3077" width="10.375" style="569" customWidth="1"/>
    <col min="3078" max="3078" width="11" style="569" customWidth="1"/>
    <col min="3079" max="3080" width="12.125" style="569" customWidth="1"/>
    <col min="3081" max="3081" width="3.375" style="569" customWidth="1"/>
    <col min="3082" max="3082" width="12.875" style="569" customWidth="1"/>
    <col min="3083" max="3084" width="12.125" style="569" customWidth="1"/>
    <col min="3085" max="3085" width="11.375" style="569" customWidth="1"/>
    <col min="3086" max="3087" width="11.875" style="569" customWidth="1"/>
    <col min="3088" max="3088" width="11.75" style="569" customWidth="1"/>
    <col min="3089" max="3089" width="11.375" style="569" customWidth="1"/>
    <col min="3090" max="3090" width="11.875" style="569" customWidth="1"/>
    <col min="3091" max="3091" width="11.375" style="569" customWidth="1"/>
    <col min="3092" max="3092" width="10.375" style="569" customWidth="1"/>
    <col min="3093" max="3093" width="12.875" style="569" customWidth="1"/>
    <col min="3094" max="3094" width="11.75" style="569" customWidth="1"/>
    <col min="3095" max="3095" width="11" style="569" customWidth="1"/>
    <col min="3096" max="3328" width="9" style="569"/>
    <col min="3329" max="3329" width="5.375" style="569" customWidth="1"/>
    <col min="3330" max="3330" width="10.125" style="569" customWidth="1"/>
    <col min="3331" max="3331" width="43.875" style="569" customWidth="1"/>
    <col min="3332" max="3332" width="11.625" style="569" customWidth="1"/>
    <col min="3333" max="3333" width="10.375" style="569" customWidth="1"/>
    <col min="3334" max="3334" width="11" style="569" customWidth="1"/>
    <col min="3335" max="3336" width="12.125" style="569" customWidth="1"/>
    <col min="3337" max="3337" width="3.375" style="569" customWidth="1"/>
    <col min="3338" max="3338" width="12.875" style="569" customWidth="1"/>
    <col min="3339" max="3340" width="12.125" style="569" customWidth="1"/>
    <col min="3341" max="3341" width="11.375" style="569" customWidth="1"/>
    <col min="3342" max="3343" width="11.875" style="569" customWidth="1"/>
    <col min="3344" max="3344" width="11.75" style="569" customWidth="1"/>
    <col min="3345" max="3345" width="11.375" style="569" customWidth="1"/>
    <col min="3346" max="3346" width="11.875" style="569" customWidth="1"/>
    <col min="3347" max="3347" width="11.375" style="569" customWidth="1"/>
    <col min="3348" max="3348" width="10.375" style="569" customWidth="1"/>
    <col min="3349" max="3349" width="12.875" style="569" customWidth="1"/>
    <col min="3350" max="3350" width="11.75" style="569" customWidth="1"/>
    <col min="3351" max="3351" width="11" style="569" customWidth="1"/>
    <col min="3352" max="3584" width="9" style="569"/>
    <col min="3585" max="3585" width="5.375" style="569" customWidth="1"/>
    <col min="3586" max="3586" width="10.125" style="569" customWidth="1"/>
    <col min="3587" max="3587" width="43.875" style="569" customWidth="1"/>
    <col min="3588" max="3588" width="11.625" style="569" customWidth="1"/>
    <col min="3589" max="3589" width="10.375" style="569" customWidth="1"/>
    <col min="3590" max="3590" width="11" style="569" customWidth="1"/>
    <col min="3591" max="3592" width="12.125" style="569" customWidth="1"/>
    <col min="3593" max="3593" width="3.375" style="569" customWidth="1"/>
    <col min="3594" max="3594" width="12.875" style="569" customWidth="1"/>
    <col min="3595" max="3596" width="12.125" style="569" customWidth="1"/>
    <col min="3597" max="3597" width="11.375" style="569" customWidth="1"/>
    <col min="3598" max="3599" width="11.875" style="569" customWidth="1"/>
    <col min="3600" max="3600" width="11.75" style="569" customWidth="1"/>
    <col min="3601" max="3601" width="11.375" style="569" customWidth="1"/>
    <col min="3602" max="3602" width="11.875" style="569" customWidth="1"/>
    <col min="3603" max="3603" width="11.375" style="569" customWidth="1"/>
    <col min="3604" max="3604" width="10.375" style="569" customWidth="1"/>
    <col min="3605" max="3605" width="12.875" style="569" customWidth="1"/>
    <col min="3606" max="3606" width="11.75" style="569" customWidth="1"/>
    <col min="3607" max="3607" width="11" style="569" customWidth="1"/>
    <col min="3608" max="3840" width="9" style="569"/>
    <col min="3841" max="3841" width="5.375" style="569" customWidth="1"/>
    <col min="3842" max="3842" width="10.125" style="569" customWidth="1"/>
    <col min="3843" max="3843" width="43.875" style="569" customWidth="1"/>
    <col min="3844" max="3844" width="11.625" style="569" customWidth="1"/>
    <col min="3845" max="3845" width="10.375" style="569" customWidth="1"/>
    <col min="3846" max="3846" width="11" style="569" customWidth="1"/>
    <col min="3847" max="3848" width="12.125" style="569" customWidth="1"/>
    <col min="3849" max="3849" width="3.375" style="569" customWidth="1"/>
    <col min="3850" max="3850" width="12.875" style="569" customWidth="1"/>
    <col min="3851" max="3852" width="12.125" style="569" customWidth="1"/>
    <col min="3853" max="3853" width="11.375" style="569" customWidth="1"/>
    <col min="3854" max="3855" width="11.875" style="569" customWidth="1"/>
    <col min="3856" max="3856" width="11.75" style="569" customWidth="1"/>
    <col min="3857" max="3857" width="11.375" style="569" customWidth="1"/>
    <col min="3858" max="3858" width="11.875" style="569" customWidth="1"/>
    <col min="3859" max="3859" width="11.375" style="569" customWidth="1"/>
    <col min="3860" max="3860" width="10.375" style="569" customWidth="1"/>
    <col min="3861" max="3861" width="12.875" style="569" customWidth="1"/>
    <col min="3862" max="3862" width="11.75" style="569" customWidth="1"/>
    <col min="3863" max="3863" width="11" style="569" customWidth="1"/>
    <col min="3864" max="4096" width="9" style="569"/>
    <col min="4097" max="4097" width="5.375" style="569" customWidth="1"/>
    <col min="4098" max="4098" width="10.125" style="569" customWidth="1"/>
    <col min="4099" max="4099" width="43.875" style="569" customWidth="1"/>
    <col min="4100" max="4100" width="11.625" style="569" customWidth="1"/>
    <col min="4101" max="4101" width="10.375" style="569" customWidth="1"/>
    <col min="4102" max="4102" width="11" style="569" customWidth="1"/>
    <col min="4103" max="4104" width="12.125" style="569" customWidth="1"/>
    <col min="4105" max="4105" width="3.375" style="569" customWidth="1"/>
    <col min="4106" max="4106" width="12.875" style="569" customWidth="1"/>
    <col min="4107" max="4108" width="12.125" style="569" customWidth="1"/>
    <col min="4109" max="4109" width="11.375" style="569" customWidth="1"/>
    <col min="4110" max="4111" width="11.875" style="569" customWidth="1"/>
    <col min="4112" max="4112" width="11.75" style="569" customWidth="1"/>
    <col min="4113" max="4113" width="11.375" style="569" customWidth="1"/>
    <col min="4114" max="4114" width="11.875" style="569" customWidth="1"/>
    <col min="4115" max="4115" width="11.375" style="569" customWidth="1"/>
    <col min="4116" max="4116" width="10.375" style="569" customWidth="1"/>
    <col min="4117" max="4117" width="12.875" style="569" customWidth="1"/>
    <col min="4118" max="4118" width="11.75" style="569" customWidth="1"/>
    <col min="4119" max="4119" width="11" style="569" customWidth="1"/>
    <col min="4120" max="4352" width="9" style="569"/>
    <col min="4353" max="4353" width="5.375" style="569" customWidth="1"/>
    <col min="4354" max="4354" width="10.125" style="569" customWidth="1"/>
    <col min="4355" max="4355" width="43.875" style="569" customWidth="1"/>
    <col min="4356" max="4356" width="11.625" style="569" customWidth="1"/>
    <col min="4357" max="4357" width="10.375" style="569" customWidth="1"/>
    <col min="4358" max="4358" width="11" style="569" customWidth="1"/>
    <col min="4359" max="4360" width="12.125" style="569" customWidth="1"/>
    <col min="4361" max="4361" width="3.375" style="569" customWidth="1"/>
    <col min="4362" max="4362" width="12.875" style="569" customWidth="1"/>
    <col min="4363" max="4364" width="12.125" style="569" customWidth="1"/>
    <col min="4365" max="4365" width="11.375" style="569" customWidth="1"/>
    <col min="4366" max="4367" width="11.875" style="569" customWidth="1"/>
    <col min="4368" max="4368" width="11.75" style="569" customWidth="1"/>
    <col min="4369" max="4369" width="11.375" style="569" customWidth="1"/>
    <col min="4370" max="4370" width="11.875" style="569" customWidth="1"/>
    <col min="4371" max="4371" width="11.375" style="569" customWidth="1"/>
    <col min="4372" max="4372" width="10.375" style="569" customWidth="1"/>
    <col min="4373" max="4373" width="12.875" style="569" customWidth="1"/>
    <col min="4374" max="4374" width="11.75" style="569" customWidth="1"/>
    <col min="4375" max="4375" width="11" style="569" customWidth="1"/>
    <col min="4376" max="4608" width="9" style="569"/>
    <col min="4609" max="4609" width="5.375" style="569" customWidth="1"/>
    <col min="4610" max="4610" width="10.125" style="569" customWidth="1"/>
    <col min="4611" max="4611" width="43.875" style="569" customWidth="1"/>
    <col min="4612" max="4612" width="11.625" style="569" customWidth="1"/>
    <col min="4613" max="4613" width="10.375" style="569" customWidth="1"/>
    <col min="4614" max="4614" width="11" style="569" customWidth="1"/>
    <col min="4615" max="4616" width="12.125" style="569" customWidth="1"/>
    <col min="4617" max="4617" width="3.375" style="569" customWidth="1"/>
    <col min="4618" max="4618" width="12.875" style="569" customWidth="1"/>
    <col min="4619" max="4620" width="12.125" style="569" customWidth="1"/>
    <col min="4621" max="4621" width="11.375" style="569" customWidth="1"/>
    <col min="4622" max="4623" width="11.875" style="569" customWidth="1"/>
    <col min="4624" max="4624" width="11.75" style="569" customWidth="1"/>
    <col min="4625" max="4625" width="11.375" style="569" customWidth="1"/>
    <col min="4626" max="4626" width="11.875" style="569" customWidth="1"/>
    <col min="4627" max="4627" width="11.375" style="569" customWidth="1"/>
    <col min="4628" max="4628" width="10.375" style="569" customWidth="1"/>
    <col min="4629" max="4629" width="12.875" style="569" customWidth="1"/>
    <col min="4630" max="4630" width="11.75" style="569" customWidth="1"/>
    <col min="4631" max="4631" width="11" style="569" customWidth="1"/>
    <col min="4632" max="4864" width="9" style="569"/>
    <col min="4865" max="4865" width="5.375" style="569" customWidth="1"/>
    <col min="4866" max="4866" width="10.125" style="569" customWidth="1"/>
    <col min="4867" max="4867" width="43.875" style="569" customWidth="1"/>
    <col min="4868" max="4868" width="11.625" style="569" customWidth="1"/>
    <col min="4869" max="4869" width="10.375" style="569" customWidth="1"/>
    <col min="4870" max="4870" width="11" style="569" customWidth="1"/>
    <col min="4871" max="4872" width="12.125" style="569" customWidth="1"/>
    <col min="4873" max="4873" width="3.375" style="569" customWidth="1"/>
    <col min="4874" max="4874" width="12.875" style="569" customWidth="1"/>
    <col min="4875" max="4876" width="12.125" style="569" customWidth="1"/>
    <col min="4877" max="4877" width="11.375" style="569" customWidth="1"/>
    <col min="4878" max="4879" width="11.875" style="569" customWidth="1"/>
    <col min="4880" max="4880" width="11.75" style="569" customWidth="1"/>
    <col min="4881" max="4881" width="11.375" style="569" customWidth="1"/>
    <col min="4882" max="4882" width="11.875" style="569" customWidth="1"/>
    <col min="4883" max="4883" width="11.375" style="569" customWidth="1"/>
    <col min="4884" max="4884" width="10.375" style="569" customWidth="1"/>
    <col min="4885" max="4885" width="12.875" style="569" customWidth="1"/>
    <col min="4886" max="4886" width="11.75" style="569" customWidth="1"/>
    <col min="4887" max="4887" width="11" style="569" customWidth="1"/>
    <col min="4888" max="5120" width="9" style="569"/>
    <col min="5121" max="5121" width="5.375" style="569" customWidth="1"/>
    <col min="5122" max="5122" width="10.125" style="569" customWidth="1"/>
    <col min="5123" max="5123" width="43.875" style="569" customWidth="1"/>
    <col min="5124" max="5124" width="11.625" style="569" customWidth="1"/>
    <col min="5125" max="5125" width="10.375" style="569" customWidth="1"/>
    <col min="5126" max="5126" width="11" style="569" customWidth="1"/>
    <col min="5127" max="5128" width="12.125" style="569" customWidth="1"/>
    <col min="5129" max="5129" width="3.375" style="569" customWidth="1"/>
    <col min="5130" max="5130" width="12.875" style="569" customWidth="1"/>
    <col min="5131" max="5132" width="12.125" style="569" customWidth="1"/>
    <col min="5133" max="5133" width="11.375" style="569" customWidth="1"/>
    <col min="5134" max="5135" width="11.875" style="569" customWidth="1"/>
    <col min="5136" max="5136" width="11.75" style="569" customWidth="1"/>
    <col min="5137" max="5137" width="11.375" style="569" customWidth="1"/>
    <col min="5138" max="5138" width="11.875" style="569" customWidth="1"/>
    <col min="5139" max="5139" width="11.375" style="569" customWidth="1"/>
    <col min="5140" max="5140" width="10.375" style="569" customWidth="1"/>
    <col min="5141" max="5141" width="12.875" style="569" customWidth="1"/>
    <col min="5142" max="5142" width="11.75" style="569" customWidth="1"/>
    <col min="5143" max="5143" width="11" style="569" customWidth="1"/>
    <col min="5144" max="5376" width="9" style="569"/>
    <col min="5377" max="5377" width="5.375" style="569" customWidth="1"/>
    <col min="5378" max="5378" width="10.125" style="569" customWidth="1"/>
    <col min="5379" max="5379" width="43.875" style="569" customWidth="1"/>
    <col min="5380" max="5380" width="11.625" style="569" customWidth="1"/>
    <col min="5381" max="5381" width="10.375" style="569" customWidth="1"/>
    <col min="5382" max="5382" width="11" style="569" customWidth="1"/>
    <col min="5383" max="5384" width="12.125" style="569" customWidth="1"/>
    <col min="5385" max="5385" width="3.375" style="569" customWidth="1"/>
    <col min="5386" max="5386" width="12.875" style="569" customWidth="1"/>
    <col min="5387" max="5388" width="12.125" style="569" customWidth="1"/>
    <col min="5389" max="5389" width="11.375" style="569" customWidth="1"/>
    <col min="5390" max="5391" width="11.875" style="569" customWidth="1"/>
    <col min="5392" max="5392" width="11.75" style="569" customWidth="1"/>
    <col min="5393" max="5393" width="11.375" style="569" customWidth="1"/>
    <col min="5394" max="5394" width="11.875" style="569" customWidth="1"/>
    <col min="5395" max="5395" width="11.375" style="569" customWidth="1"/>
    <col min="5396" max="5396" width="10.375" style="569" customWidth="1"/>
    <col min="5397" max="5397" width="12.875" style="569" customWidth="1"/>
    <col min="5398" max="5398" width="11.75" style="569" customWidth="1"/>
    <col min="5399" max="5399" width="11" style="569" customWidth="1"/>
    <col min="5400" max="5632" width="9" style="569"/>
    <col min="5633" max="5633" width="5.375" style="569" customWidth="1"/>
    <col min="5634" max="5634" width="10.125" style="569" customWidth="1"/>
    <col min="5635" max="5635" width="43.875" style="569" customWidth="1"/>
    <col min="5636" max="5636" width="11.625" style="569" customWidth="1"/>
    <col min="5637" max="5637" width="10.375" style="569" customWidth="1"/>
    <col min="5638" max="5638" width="11" style="569" customWidth="1"/>
    <col min="5639" max="5640" width="12.125" style="569" customWidth="1"/>
    <col min="5641" max="5641" width="3.375" style="569" customWidth="1"/>
    <col min="5642" max="5642" width="12.875" style="569" customWidth="1"/>
    <col min="5643" max="5644" width="12.125" style="569" customWidth="1"/>
    <col min="5645" max="5645" width="11.375" style="569" customWidth="1"/>
    <col min="5646" max="5647" width="11.875" style="569" customWidth="1"/>
    <col min="5648" max="5648" width="11.75" style="569" customWidth="1"/>
    <col min="5649" max="5649" width="11.375" style="569" customWidth="1"/>
    <col min="5650" max="5650" width="11.875" style="569" customWidth="1"/>
    <col min="5651" max="5651" width="11.375" style="569" customWidth="1"/>
    <col min="5652" max="5652" width="10.375" style="569" customWidth="1"/>
    <col min="5653" max="5653" width="12.875" style="569" customWidth="1"/>
    <col min="5654" max="5654" width="11.75" style="569" customWidth="1"/>
    <col min="5655" max="5655" width="11" style="569" customWidth="1"/>
    <col min="5656" max="5888" width="9" style="569"/>
    <col min="5889" max="5889" width="5.375" style="569" customWidth="1"/>
    <col min="5890" max="5890" width="10.125" style="569" customWidth="1"/>
    <col min="5891" max="5891" width="43.875" style="569" customWidth="1"/>
    <col min="5892" max="5892" width="11.625" style="569" customWidth="1"/>
    <col min="5893" max="5893" width="10.375" style="569" customWidth="1"/>
    <col min="5894" max="5894" width="11" style="569" customWidth="1"/>
    <col min="5895" max="5896" width="12.125" style="569" customWidth="1"/>
    <col min="5897" max="5897" width="3.375" style="569" customWidth="1"/>
    <col min="5898" max="5898" width="12.875" style="569" customWidth="1"/>
    <col min="5899" max="5900" width="12.125" style="569" customWidth="1"/>
    <col min="5901" max="5901" width="11.375" style="569" customWidth="1"/>
    <col min="5902" max="5903" width="11.875" style="569" customWidth="1"/>
    <col min="5904" max="5904" width="11.75" style="569" customWidth="1"/>
    <col min="5905" max="5905" width="11.375" style="569" customWidth="1"/>
    <col min="5906" max="5906" width="11.875" style="569" customWidth="1"/>
    <col min="5907" max="5907" width="11.375" style="569" customWidth="1"/>
    <col min="5908" max="5908" width="10.375" style="569" customWidth="1"/>
    <col min="5909" max="5909" width="12.875" style="569" customWidth="1"/>
    <col min="5910" max="5910" width="11.75" style="569" customWidth="1"/>
    <col min="5911" max="5911" width="11" style="569" customWidth="1"/>
    <col min="5912" max="6144" width="9" style="569"/>
    <col min="6145" max="6145" width="5.375" style="569" customWidth="1"/>
    <col min="6146" max="6146" width="10.125" style="569" customWidth="1"/>
    <col min="6147" max="6147" width="43.875" style="569" customWidth="1"/>
    <col min="6148" max="6148" width="11.625" style="569" customWidth="1"/>
    <col min="6149" max="6149" width="10.375" style="569" customWidth="1"/>
    <col min="6150" max="6150" width="11" style="569" customWidth="1"/>
    <col min="6151" max="6152" width="12.125" style="569" customWidth="1"/>
    <col min="6153" max="6153" width="3.375" style="569" customWidth="1"/>
    <col min="6154" max="6154" width="12.875" style="569" customWidth="1"/>
    <col min="6155" max="6156" width="12.125" style="569" customWidth="1"/>
    <col min="6157" max="6157" width="11.375" style="569" customWidth="1"/>
    <col min="6158" max="6159" width="11.875" style="569" customWidth="1"/>
    <col min="6160" max="6160" width="11.75" style="569" customWidth="1"/>
    <col min="6161" max="6161" width="11.375" style="569" customWidth="1"/>
    <col min="6162" max="6162" width="11.875" style="569" customWidth="1"/>
    <col min="6163" max="6163" width="11.375" style="569" customWidth="1"/>
    <col min="6164" max="6164" width="10.375" style="569" customWidth="1"/>
    <col min="6165" max="6165" width="12.875" style="569" customWidth="1"/>
    <col min="6166" max="6166" width="11.75" style="569" customWidth="1"/>
    <col min="6167" max="6167" width="11" style="569" customWidth="1"/>
    <col min="6168" max="6400" width="9" style="569"/>
    <col min="6401" max="6401" width="5.375" style="569" customWidth="1"/>
    <col min="6402" max="6402" width="10.125" style="569" customWidth="1"/>
    <col min="6403" max="6403" width="43.875" style="569" customWidth="1"/>
    <col min="6404" max="6404" width="11.625" style="569" customWidth="1"/>
    <col min="6405" max="6405" width="10.375" style="569" customWidth="1"/>
    <col min="6406" max="6406" width="11" style="569" customWidth="1"/>
    <col min="6407" max="6408" width="12.125" style="569" customWidth="1"/>
    <col min="6409" max="6409" width="3.375" style="569" customWidth="1"/>
    <col min="6410" max="6410" width="12.875" style="569" customWidth="1"/>
    <col min="6411" max="6412" width="12.125" style="569" customWidth="1"/>
    <col min="6413" max="6413" width="11.375" style="569" customWidth="1"/>
    <col min="6414" max="6415" width="11.875" style="569" customWidth="1"/>
    <col min="6416" max="6416" width="11.75" style="569" customWidth="1"/>
    <col min="6417" max="6417" width="11.375" style="569" customWidth="1"/>
    <col min="6418" max="6418" width="11.875" style="569" customWidth="1"/>
    <col min="6419" max="6419" width="11.375" style="569" customWidth="1"/>
    <col min="6420" max="6420" width="10.375" style="569" customWidth="1"/>
    <col min="6421" max="6421" width="12.875" style="569" customWidth="1"/>
    <col min="6422" max="6422" width="11.75" style="569" customWidth="1"/>
    <col min="6423" max="6423" width="11" style="569" customWidth="1"/>
    <col min="6424" max="6656" width="9" style="569"/>
    <col min="6657" max="6657" width="5.375" style="569" customWidth="1"/>
    <col min="6658" max="6658" width="10.125" style="569" customWidth="1"/>
    <col min="6659" max="6659" width="43.875" style="569" customWidth="1"/>
    <col min="6660" max="6660" width="11.625" style="569" customWidth="1"/>
    <col min="6661" max="6661" width="10.375" style="569" customWidth="1"/>
    <col min="6662" max="6662" width="11" style="569" customWidth="1"/>
    <col min="6663" max="6664" width="12.125" style="569" customWidth="1"/>
    <col min="6665" max="6665" width="3.375" style="569" customWidth="1"/>
    <col min="6666" max="6666" width="12.875" style="569" customWidth="1"/>
    <col min="6667" max="6668" width="12.125" style="569" customWidth="1"/>
    <col min="6669" max="6669" width="11.375" style="569" customWidth="1"/>
    <col min="6670" max="6671" width="11.875" style="569" customWidth="1"/>
    <col min="6672" max="6672" width="11.75" style="569" customWidth="1"/>
    <col min="6673" max="6673" width="11.375" style="569" customWidth="1"/>
    <col min="6674" max="6674" width="11.875" style="569" customWidth="1"/>
    <col min="6675" max="6675" width="11.375" style="569" customWidth="1"/>
    <col min="6676" max="6676" width="10.375" style="569" customWidth="1"/>
    <col min="6677" max="6677" width="12.875" style="569" customWidth="1"/>
    <col min="6678" max="6678" width="11.75" style="569" customWidth="1"/>
    <col min="6679" max="6679" width="11" style="569" customWidth="1"/>
    <col min="6680" max="6912" width="9" style="569"/>
    <col min="6913" max="6913" width="5.375" style="569" customWidth="1"/>
    <col min="6914" max="6914" width="10.125" style="569" customWidth="1"/>
    <col min="6915" max="6915" width="43.875" style="569" customWidth="1"/>
    <col min="6916" max="6916" width="11.625" style="569" customWidth="1"/>
    <col min="6917" max="6917" width="10.375" style="569" customWidth="1"/>
    <col min="6918" max="6918" width="11" style="569" customWidth="1"/>
    <col min="6919" max="6920" width="12.125" style="569" customWidth="1"/>
    <col min="6921" max="6921" width="3.375" style="569" customWidth="1"/>
    <col min="6922" max="6922" width="12.875" style="569" customWidth="1"/>
    <col min="6923" max="6924" width="12.125" style="569" customWidth="1"/>
    <col min="6925" max="6925" width="11.375" style="569" customWidth="1"/>
    <col min="6926" max="6927" width="11.875" style="569" customWidth="1"/>
    <col min="6928" max="6928" width="11.75" style="569" customWidth="1"/>
    <col min="6929" max="6929" width="11.375" style="569" customWidth="1"/>
    <col min="6930" max="6930" width="11.875" style="569" customWidth="1"/>
    <col min="6931" max="6931" width="11.375" style="569" customWidth="1"/>
    <col min="6932" max="6932" width="10.375" style="569" customWidth="1"/>
    <col min="6933" max="6933" width="12.875" style="569" customWidth="1"/>
    <col min="6934" max="6934" width="11.75" style="569" customWidth="1"/>
    <col min="6935" max="6935" width="11" style="569" customWidth="1"/>
    <col min="6936" max="7168" width="9" style="569"/>
    <col min="7169" max="7169" width="5.375" style="569" customWidth="1"/>
    <col min="7170" max="7170" width="10.125" style="569" customWidth="1"/>
    <col min="7171" max="7171" width="43.875" style="569" customWidth="1"/>
    <col min="7172" max="7172" width="11.625" style="569" customWidth="1"/>
    <col min="7173" max="7173" width="10.375" style="569" customWidth="1"/>
    <col min="7174" max="7174" width="11" style="569" customWidth="1"/>
    <col min="7175" max="7176" width="12.125" style="569" customWidth="1"/>
    <col min="7177" max="7177" width="3.375" style="569" customWidth="1"/>
    <col min="7178" max="7178" width="12.875" style="569" customWidth="1"/>
    <col min="7179" max="7180" width="12.125" style="569" customWidth="1"/>
    <col min="7181" max="7181" width="11.375" style="569" customWidth="1"/>
    <col min="7182" max="7183" width="11.875" style="569" customWidth="1"/>
    <col min="7184" max="7184" width="11.75" style="569" customWidth="1"/>
    <col min="7185" max="7185" width="11.375" style="569" customWidth="1"/>
    <col min="7186" max="7186" width="11.875" style="569" customWidth="1"/>
    <col min="7187" max="7187" width="11.375" style="569" customWidth="1"/>
    <col min="7188" max="7188" width="10.375" style="569" customWidth="1"/>
    <col min="7189" max="7189" width="12.875" style="569" customWidth="1"/>
    <col min="7190" max="7190" width="11.75" style="569" customWidth="1"/>
    <col min="7191" max="7191" width="11" style="569" customWidth="1"/>
    <col min="7192" max="7424" width="9" style="569"/>
    <col min="7425" max="7425" width="5.375" style="569" customWidth="1"/>
    <col min="7426" max="7426" width="10.125" style="569" customWidth="1"/>
    <col min="7427" max="7427" width="43.875" style="569" customWidth="1"/>
    <col min="7428" max="7428" width="11.625" style="569" customWidth="1"/>
    <col min="7429" max="7429" width="10.375" style="569" customWidth="1"/>
    <col min="7430" max="7430" width="11" style="569" customWidth="1"/>
    <col min="7431" max="7432" width="12.125" style="569" customWidth="1"/>
    <col min="7433" max="7433" width="3.375" style="569" customWidth="1"/>
    <col min="7434" max="7434" width="12.875" style="569" customWidth="1"/>
    <col min="7435" max="7436" width="12.125" style="569" customWidth="1"/>
    <col min="7437" max="7437" width="11.375" style="569" customWidth="1"/>
    <col min="7438" max="7439" width="11.875" style="569" customWidth="1"/>
    <col min="7440" max="7440" width="11.75" style="569" customWidth="1"/>
    <col min="7441" max="7441" width="11.375" style="569" customWidth="1"/>
    <col min="7442" max="7442" width="11.875" style="569" customWidth="1"/>
    <col min="7443" max="7443" width="11.375" style="569" customWidth="1"/>
    <col min="7444" max="7444" width="10.375" style="569" customWidth="1"/>
    <col min="7445" max="7445" width="12.875" style="569" customWidth="1"/>
    <col min="7446" max="7446" width="11.75" style="569" customWidth="1"/>
    <col min="7447" max="7447" width="11" style="569" customWidth="1"/>
    <col min="7448" max="7680" width="9" style="569"/>
    <col min="7681" max="7681" width="5.375" style="569" customWidth="1"/>
    <col min="7682" max="7682" width="10.125" style="569" customWidth="1"/>
    <col min="7683" max="7683" width="43.875" style="569" customWidth="1"/>
    <col min="7684" max="7684" width="11.625" style="569" customWidth="1"/>
    <col min="7685" max="7685" width="10.375" style="569" customWidth="1"/>
    <col min="7686" max="7686" width="11" style="569" customWidth="1"/>
    <col min="7687" max="7688" width="12.125" style="569" customWidth="1"/>
    <col min="7689" max="7689" width="3.375" style="569" customWidth="1"/>
    <col min="7690" max="7690" width="12.875" style="569" customWidth="1"/>
    <col min="7691" max="7692" width="12.125" style="569" customWidth="1"/>
    <col min="7693" max="7693" width="11.375" style="569" customWidth="1"/>
    <col min="7694" max="7695" width="11.875" style="569" customWidth="1"/>
    <col min="7696" max="7696" width="11.75" style="569" customWidth="1"/>
    <col min="7697" max="7697" width="11.375" style="569" customWidth="1"/>
    <col min="7698" max="7698" width="11.875" style="569" customWidth="1"/>
    <col min="7699" max="7699" width="11.375" style="569" customWidth="1"/>
    <col min="7700" max="7700" width="10.375" style="569" customWidth="1"/>
    <col min="7701" max="7701" width="12.875" style="569" customWidth="1"/>
    <col min="7702" max="7702" width="11.75" style="569" customWidth="1"/>
    <col min="7703" max="7703" width="11" style="569" customWidth="1"/>
    <col min="7704" max="7936" width="9" style="569"/>
    <col min="7937" max="7937" width="5.375" style="569" customWidth="1"/>
    <col min="7938" max="7938" width="10.125" style="569" customWidth="1"/>
    <col min="7939" max="7939" width="43.875" style="569" customWidth="1"/>
    <col min="7940" max="7940" width="11.625" style="569" customWidth="1"/>
    <col min="7941" max="7941" width="10.375" style="569" customWidth="1"/>
    <col min="7942" max="7942" width="11" style="569" customWidth="1"/>
    <col min="7943" max="7944" width="12.125" style="569" customWidth="1"/>
    <col min="7945" max="7945" width="3.375" style="569" customWidth="1"/>
    <col min="7946" max="7946" width="12.875" style="569" customWidth="1"/>
    <col min="7947" max="7948" width="12.125" style="569" customWidth="1"/>
    <col min="7949" max="7949" width="11.375" style="569" customWidth="1"/>
    <col min="7950" max="7951" width="11.875" style="569" customWidth="1"/>
    <col min="7952" max="7952" width="11.75" style="569" customWidth="1"/>
    <col min="7953" max="7953" width="11.375" style="569" customWidth="1"/>
    <col min="7954" max="7954" width="11.875" style="569" customWidth="1"/>
    <col min="7955" max="7955" width="11.375" style="569" customWidth="1"/>
    <col min="7956" max="7956" width="10.375" style="569" customWidth="1"/>
    <col min="7957" max="7957" width="12.875" style="569" customWidth="1"/>
    <col min="7958" max="7958" width="11.75" style="569" customWidth="1"/>
    <col min="7959" max="7959" width="11" style="569" customWidth="1"/>
    <col min="7960" max="8192" width="9" style="569"/>
    <col min="8193" max="8193" width="5.375" style="569" customWidth="1"/>
    <col min="8194" max="8194" width="10.125" style="569" customWidth="1"/>
    <col min="8195" max="8195" width="43.875" style="569" customWidth="1"/>
    <col min="8196" max="8196" width="11.625" style="569" customWidth="1"/>
    <col min="8197" max="8197" width="10.375" style="569" customWidth="1"/>
    <col min="8198" max="8198" width="11" style="569" customWidth="1"/>
    <col min="8199" max="8200" width="12.125" style="569" customWidth="1"/>
    <col min="8201" max="8201" width="3.375" style="569" customWidth="1"/>
    <col min="8202" max="8202" width="12.875" style="569" customWidth="1"/>
    <col min="8203" max="8204" width="12.125" style="569" customWidth="1"/>
    <col min="8205" max="8205" width="11.375" style="569" customWidth="1"/>
    <col min="8206" max="8207" width="11.875" style="569" customWidth="1"/>
    <col min="8208" max="8208" width="11.75" style="569" customWidth="1"/>
    <col min="8209" max="8209" width="11.375" style="569" customWidth="1"/>
    <col min="8210" max="8210" width="11.875" style="569" customWidth="1"/>
    <col min="8211" max="8211" width="11.375" style="569" customWidth="1"/>
    <col min="8212" max="8212" width="10.375" style="569" customWidth="1"/>
    <col min="8213" max="8213" width="12.875" style="569" customWidth="1"/>
    <col min="8214" max="8214" width="11.75" style="569" customWidth="1"/>
    <col min="8215" max="8215" width="11" style="569" customWidth="1"/>
    <col min="8216" max="8448" width="9" style="569"/>
    <col min="8449" max="8449" width="5.375" style="569" customWidth="1"/>
    <col min="8450" max="8450" width="10.125" style="569" customWidth="1"/>
    <col min="8451" max="8451" width="43.875" style="569" customWidth="1"/>
    <col min="8452" max="8452" width="11.625" style="569" customWidth="1"/>
    <col min="8453" max="8453" width="10.375" style="569" customWidth="1"/>
    <col min="8454" max="8454" width="11" style="569" customWidth="1"/>
    <col min="8455" max="8456" width="12.125" style="569" customWidth="1"/>
    <col min="8457" max="8457" width="3.375" style="569" customWidth="1"/>
    <col min="8458" max="8458" width="12.875" style="569" customWidth="1"/>
    <col min="8459" max="8460" width="12.125" style="569" customWidth="1"/>
    <col min="8461" max="8461" width="11.375" style="569" customWidth="1"/>
    <col min="8462" max="8463" width="11.875" style="569" customWidth="1"/>
    <col min="8464" max="8464" width="11.75" style="569" customWidth="1"/>
    <col min="8465" max="8465" width="11.375" style="569" customWidth="1"/>
    <col min="8466" max="8466" width="11.875" style="569" customWidth="1"/>
    <col min="8467" max="8467" width="11.375" style="569" customWidth="1"/>
    <col min="8468" max="8468" width="10.375" style="569" customWidth="1"/>
    <col min="8469" max="8469" width="12.875" style="569" customWidth="1"/>
    <col min="8470" max="8470" width="11.75" style="569" customWidth="1"/>
    <col min="8471" max="8471" width="11" style="569" customWidth="1"/>
    <col min="8472" max="8704" width="9" style="569"/>
    <col min="8705" max="8705" width="5.375" style="569" customWidth="1"/>
    <col min="8706" max="8706" width="10.125" style="569" customWidth="1"/>
    <col min="8707" max="8707" width="43.875" style="569" customWidth="1"/>
    <col min="8708" max="8708" width="11.625" style="569" customWidth="1"/>
    <col min="8709" max="8709" width="10.375" style="569" customWidth="1"/>
    <col min="8710" max="8710" width="11" style="569" customWidth="1"/>
    <col min="8711" max="8712" width="12.125" style="569" customWidth="1"/>
    <col min="8713" max="8713" width="3.375" style="569" customWidth="1"/>
    <col min="8714" max="8714" width="12.875" style="569" customWidth="1"/>
    <col min="8715" max="8716" width="12.125" style="569" customWidth="1"/>
    <col min="8717" max="8717" width="11.375" style="569" customWidth="1"/>
    <col min="8718" max="8719" width="11.875" style="569" customWidth="1"/>
    <col min="8720" max="8720" width="11.75" style="569" customWidth="1"/>
    <col min="8721" max="8721" width="11.375" style="569" customWidth="1"/>
    <col min="8722" max="8722" width="11.875" style="569" customWidth="1"/>
    <col min="8723" max="8723" width="11.375" style="569" customWidth="1"/>
    <col min="8724" max="8724" width="10.375" style="569" customWidth="1"/>
    <col min="8725" max="8725" width="12.875" style="569" customWidth="1"/>
    <col min="8726" max="8726" width="11.75" style="569" customWidth="1"/>
    <col min="8727" max="8727" width="11" style="569" customWidth="1"/>
    <col min="8728" max="8960" width="9" style="569"/>
    <col min="8961" max="8961" width="5.375" style="569" customWidth="1"/>
    <col min="8962" max="8962" width="10.125" style="569" customWidth="1"/>
    <col min="8963" max="8963" width="43.875" style="569" customWidth="1"/>
    <col min="8964" max="8964" width="11.625" style="569" customWidth="1"/>
    <col min="8965" max="8965" width="10.375" style="569" customWidth="1"/>
    <col min="8966" max="8966" width="11" style="569" customWidth="1"/>
    <col min="8967" max="8968" width="12.125" style="569" customWidth="1"/>
    <col min="8969" max="8969" width="3.375" style="569" customWidth="1"/>
    <col min="8970" max="8970" width="12.875" style="569" customWidth="1"/>
    <col min="8971" max="8972" width="12.125" style="569" customWidth="1"/>
    <col min="8973" max="8973" width="11.375" style="569" customWidth="1"/>
    <col min="8974" max="8975" width="11.875" style="569" customWidth="1"/>
    <col min="8976" max="8976" width="11.75" style="569" customWidth="1"/>
    <col min="8977" max="8977" width="11.375" style="569" customWidth="1"/>
    <col min="8978" max="8978" width="11.875" style="569" customWidth="1"/>
    <col min="8979" max="8979" width="11.375" style="569" customWidth="1"/>
    <col min="8980" max="8980" width="10.375" style="569" customWidth="1"/>
    <col min="8981" max="8981" width="12.875" style="569" customWidth="1"/>
    <col min="8982" max="8982" width="11.75" style="569" customWidth="1"/>
    <col min="8983" max="8983" width="11" style="569" customWidth="1"/>
    <col min="8984" max="9216" width="9" style="569"/>
    <col min="9217" max="9217" width="5.375" style="569" customWidth="1"/>
    <col min="9218" max="9218" width="10.125" style="569" customWidth="1"/>
    <col min="9219" max="9219" width="43.875" style="569" customWidth="1"/>
    <col min="9220" max="9220" width="11.625" style="569" customWidth="1"/>
    <col min="9221" max="9221" width="10.375" style="569" customWidth="1"/>
    <col min="9222" max="9222" width="11" style="569" customWidth="1"/>
    <col min="9223" max="9224" width="12.125" style="569" customWidth="1"/>
    <col min="9225" max="9225" width="3.375" style="569" customWidth="1"/>
    <col min="9226" max="9226" width="12.875" style="569" customWidth="1"/>
    <col min="9227" max="9228" width="12.125" style="569" customWidth="1"/>
    <col min="9229" max="9229" width="11.375" style="569" customWidth="1"/>
    <col min="9230" max="9231" width="11.875" style="569" customWidth="1"/>
    <col min="9232" max="9232" width="11.75" style="569" customWidth="1"/>
    <col min="9233" max="9233" width="11.375" style="569" customWidth="1"/>
    <col min="9234" max="9234" width="11.875" style="569" customWidth="1"/>
    <col min="9235" max="9235" width="11.375" style="569" customWidth="1"/>
    <col min="9236" max="9236" width="10.375" style="569" customWidth="1"/>
    <col min="9237" max="9237" width="12.875" style="569" customWidth="1"/>
    <col min="9238" max="9238" width="11.75" style="569" customWidth="1"/>
    <col min="9239" max="9239" width="11" style="569" customWidth="1"/>
    <col min="9240" max="9472" width="9" style="569"/>
    <col min="9473" max="9473" width="5.375" style="569" customWidth="1"/>
    <col min="9474" max="9474" width="10.125" style="569" customWidth="1"/>
    <col min="9475" max="9475" width="43.875" style="569" customWidth="1"/>
    <col min="9476" max="9476" width="11.625" style="569" customWidth="1"/>
    <col min="9477" max="9477" width="10.375" style="569" customWidth="1"/>
    <col min="9478" max="9478" width="11" style="569" customWidth="1"/>
    <col min="9479" max="9480" width="12.125" style="569" customWidth="1"/>
    <col min="9481" max="9481" width="3.375" style="569" customWidth="1"/>
    <col min="9482" max="9482" width="12.875" style="569" customWidth="1"/>
    <col min="9483" max="9484" width="12.125" style="569" customWidth="1"/>
    <col min="9485" max="9485" width="11.375" style="569" customWidth="1"/>
    <col min="9486" max="9487" width="11.875" style="569" customWidth="1"/>
    <col min="9488" max="9488" width="11.75" style="569" customWidth="1"/>
    <col min="9489" max="9489" width="11.375" style="569" customWidth="1"/>
    <col min="9490" max="9490" width="11.875" style="569" customWidth="1"/>
    <col min="9491" max="9491" width="11.375" style="569" customWidth="1"/>
    <col min="9492" max="9492" width="10.375" style="569" customWidth="1"/>
    <col min="9493" max="9493" width="12.875" style="569" customWidth="1"/>
    <col min="9494" max="9494" width="11.75" style="569" customWidth="1"/>
    <col min="9495" max="9495" width="11" style="569" customWidth="1"/>
    <col min="9496" max="9728" width="9" style="569"/>
    <col min="9729" max="9729" width="5.375" style="569" customWidth="1"/>
    <col min="9730" max="9730" width="10.125" style="569" customWidth="1"/>
    <col min="9731" max="9731" width="43.875" style="569" customWidth="1"/>
    <col min="9732" max="9732" width="11.625" style="569" customWidth="1"/>
    <col min="9733" max="9733" width="10.375" style="569" customWidth="1"/>
    <col min="9734" max="9734" width="11" style="569" customWidth="1"/>
    <col min="9735" max="9736" width="12.125" style="569" customWidth="1"/>
    <col min="9737" max="9737" width="3.375" style="569" customWidth="1"/>
    <col min="9738" max="9738" width="12.875" style="569" customWidth="1"/>
    <col min="9739" max="9740" width="12.125" style="569" customWidth="1"/>
    <col min="9741" max="9741" width="11.375" style="569" customWidth="1"/>
    <col min="9742" max="9743" width="11.875" style="569" customWidth="1"/>
    <col min="9744" max="9744" width="11.75" style="569" customWidth="1"/>
    <col min="9745" max="9745" width="11.375" style="569" customWidth="1"/>
    <col min="9746" max="9746" width="11.875" style="569" customWidth="1"/>
    <col min="9747" max="9747" width="11.375" style="569" customWidth="1"/>
    <col min="9748" max="9748" width="10.375" style="569" customWidth="1"/>
    <col min="9749" max="9749" width="12.875" style="569" customWidth="1"/>
    <col min="9750" max="9750" width="11.75" style="569" customWidth="1"/>
    <col min="9751" max="9751" width="11" style="569" customWidth="1"/>
    <col min="9752" max="9984" width="9" style="569"/>
    <col min="9985" max="9985" width="5.375" style="569" customWidth="1"/>
    <col min="9986" max="9986" width="10.125" style="569" customWidth="1"/>
    <col min="9987" max="9987" width="43.875" style="569" customWidth="1"/>
    <col min="9988" max="9988" width="11.625" style="569" customWidth="1"/>
    <col min="9989" max="9989" width="10.375" style="569" customWidth="1"/>
    <col min="9990" max="9990" width="11" style="569" customWidth="1"/>
    <col min="9991" max="9992" width="12.125" style="569" customWidth="1"/>
    <col min="9993" max="9993" width="3.375" style="569" customWidth="1"/>
    <col min="9994" max="9994" width="12.875" style="569" customWidth="1"/>
    <col min="9995" max="9996" width="12.125" style="569" customWidth="1"/>
    <col min="9997" max="9997" width="11.375" style="569" customWidth="1"/>
    <col min="9998" max="9999" width="11.875" style="569" customWidth="1"/>
    <col min="10000" max="10000" width="11.75" style="569" customWidth="1"/>
    <col min="10001" max="10001" width="11.375" style="569" customWidth="1"/>
    <col min="10002" max="10002" width="11.875" style="569" customWidth="1"/>
    <col min="10003" max="10003" width="11.375" style="569" customWidth="1"/>
    <col min="10004" max="10004" width="10.375" style="569" customWidth="1"/>
    <col min="10005" max="10005" width="12.875" style="569" customWidth="1"/>
    <col min="10006" max="10006" width="11.75" style="569" customWidth="1"/>
    <col min="10007" max="10007" width="11" style="569" customWidth="1"/>
    <col min="10008" max="10240" width="9" style="569"/>
    <col min="10241" max="10241" width="5.375" style="569" customWidth="1"/>
    <col min="10242" max="10242" width="10.125" style="569" customWidth="1"/>
    <col min="10243" max="10243" width="43.875" style="569" customWidth="1"/>
    <col min="10244" max="10244" width="11.625" style="569" customWidth="1"/>
    <col min="10245" max="10245" width="10.375" style="569" customWidth="1"/>
    <col min="10246" max="10246" width="11" style="569" customWidth="1"/>
    <col min="10247" max="10248" width="12.125" style="569" customWidth="1"/>
    <col min="10249" max="10249" width="3.375" style="569" customWidth="1"/>
    <col min="10250" max="10250" width="12.875" style="569" customWidth="1"/>
    <col min="10251" max="10252" width="12.125" style="569" customWidth="1"/>
    <col min="10253" max="10253" width="11.375" style="569" customWidth="1"/>
    <col min="10254" max="10255" width="11.875" style="569" customWidth="1"/>
    <col min="10256" max="10256" width="11.75" style="569" customWidth="1"/>
    <col min="10257" max="10257" width="11.375" style="569" customWidth="1"/>
    <col min="10258" max="10258" width="11.875" style="569" customWidth="1"/>
    <col min="10259" max="10259" width="11.375" style="569" customWidth="1"/>
    <col min="10260" max="10260" width="10.375" style="569" customWidth="1"/>
    <col min="10261" max="10261" width="12.875" style="569" customWidth="1"/>
    <col min="10262" max="10262" width="11.75" style="569" customWidth="1"/>
    <col min="10263" max="10263" width="11" style="569" customWidth="1"/>
    <col min="10264" max="10496" width="9" style="569"/>
    <col min="10497" max="10497" width="5.375" style="569" customWidth="1"/>
    <col min="10498" max="10498" width="10.125" style="569" customWidth="1"/>
    <col min="10499" max="10499" width="43.875" style="569" customWidth="1"/>
    <col min="10500" max="10500" width="11.625" style="569" customWidth="1"/>
    <col min="10501" max="10501" width="10.375" style="569" customWidth="1"/>
    <col min="10502" max="10502" width="11" style="569" customWidth="1"/>
    <col min="10503" max="10504" width="12.125" style="569" customWidth="1"/>
    <col min="10505" max="10505" width="3.375" style="569" customWidth="1"/>
    <col min="10506" max="10506" width="12.875" style="569" customWidth="1"/>
    <col min="10507" max="10508" width="12.125" style="569" customWidth="1"/>
    <col min="10509" max="10509" width="11.375" style="569" customWidth="1"/>
    <col min="10510" max="10511" width="11.875" style="569" customWidth="1"/>
    <col min="10512" max="10512" width="11.75" style="569" customWidth="1"/>
    <col min="10513" max="10513" width="11.375" style="569" customWidth="1"/>
    <col min="10514" max="10514" width="11.875" style="569" customWidth="1"/>
    <col min="10515" max="10515" width="11.375" style="569" customWidth="1"/>
    <col min="10516" max="10516" width="10.375" style="569" customWidth="1"/>
    <col min="10517" max="10517" width="12.875" style="569" customWidth="1"/>
    <col min="10518" max="10518" width="11.75" style="569" customWidth="1"/>
    <col min="10519" max="10519" width="11" style="569" customWidth="1"/>
    <col min="10520" max="10752" width="9" style="569"/>
    <col min="10753" max="10753" width="5.375" style="569" customWidth="1"/>
    <col min="10754" max="10754" width="10.125" style="569" customWidth="1"/>
    <col min="10755" max="10755" width="43.875" style="569" customWidth="1"/>
    <col min="10756" max="10756" width="11.625" style="569" customWidth="1"/>
    <col min="10757" max="10757" width="10.375" style="569" customWidth="1"/>
    <col min="10758" max="10758" width="11" style="569" customWidth="1"/>
    <col min="10759" max="10760" width="12.125" style="569" customWidth="1"/>
    <col min="10761" max="10761" width="3.375" style="569" customWidth="1"/>
    <col min="10762" max="10762" width="12.875" style="569" customWidth="1"/>
    <col min="10763" max="10764" width="12.125" style="569" customWidth="1"/>
    <col min="10765" max="10765" width="11.375" style="569" customWidth="1"/>
    <col min="10766" max="10767" width="11.875" style="569" customWidth="1"/>
    <col min="10768" max="10768" width="11.75" style="569" customWidth="1"/>
    <col min="10769" max="10769" width="11.375" style="569" customWidth="1"/>
    <col min="10770" max="10770" width="11.875" style="569" customWidth="1"/>
    <col min="10771" max="10771" width="11.375" style="569" customWidth="1"/>
    <col min="10772" max="10772" width="10.375" style="569" customWidth="1"/>
    <col min="10773" max="10773" width="12.875" style="569" customWidth="1"/>
    <col min="10774" max="10774" width="11.75" style="569" customWidth="1"/>
    <col min="10775" max="10775" width="11" style="569" customWidth="1"/>
    <col min="10776" max="11008" width="9" style="569"/>
    <col min="11009" max="11009" width="5.375" style="569" customWidth="1"/>
    <col min="11010" max="11010" width="10.125" style="569" customWidth="1"/>
    <col min="11011" max="11011" width="43.875" style="569" customWidth="1"/>
    <col min="11012" max="11012" width="11.625" style="569" customWidth="1"/>
    <col min="11013" max="11013" width="10.375" style="569" customWidth="1"/>
    <col min="11014" max="11014" width="11" style="569" customWidth="1"/>
    <col min="11015" max="11016" width="12.125" style="569" customWidth="1"/>
    <col min="11017" max="11017" width="3.375" style="569" customWidth="1"/>
    <col min="11018" max="11018" width="12.875" style="569" customWidth="1"/>
    <col min="11019" max="11020" width="12.125" style="569" customWidth="1"/>
    <col min="11021" max="11021" width="11.375" style="569" customWidth="1"/>
    <col min="11022" max="11023" width="11.875" style="569" customWidth="1"/>
    <col min="11024" max="11024" width="11.75" style="569" customWidth="1"/>
    <col min="11025" max="11025" width="11.375" style="569" customWidth="1"/>
    <col min="11026" max="11026" width="11.875" style="569" customWidth="1"/>
    <col min="11027" max="11027" width="11.375" style="569" customWidth="1"/>
    <col min="11028" max="11028" width="10.375" style="569" customWidth="1"/>
    <col min="11029" max="11029" width="12.875" style="569" customWidth="1"/>
    <col min="11030" max="11030" width="11.75" style="569" customWidth="1"/>
    <col min="11031" max="11031" width="11" style="569" customWidth="1"/>
    <col min="11032" max="11264" width="9" style="569"/>
    <col min="11265" max="11265" width="5.375" style="569" customWidth="1"/>
    <col min="11266" max="11266" width="10.125" style="569" customWidth="1"/>
    <col min="11267" max="11267" width="43.875" style="569" customWidth="1"/>
    <col min="11268" max="11268" width="11.625" style="569" customWidth="1"/>
    <col min="11269" max="11269" width="10.375" style="569" customWidth="1"/>
    <col min="11270" max="11270" width="11" style="569" customWidth="1"/>
    <col min="11271" max="11272" width="12.125" style="569" customWidth="1"/>
    <col min="11273" max="11273" width="3.375" style="569" customWidth="1"/>
    <col min="11274" max="11274" width="12.875" style="569" customWidth="1"/>
    <col min="11275" max="11276" width="12.125" style="569" customWidth="1"/>
    <col min="11277" max="11277" width="11.375" style="569" customWidth="1"/>
    <col min="11278" max="11279" width="11.875" style="569" customWidth="1"/>
    <col min="11280" max="11280" width="11.75" style="569" customWidth="1"/>
    <col min="11281" max="11281" width="11.375" style="569" customWidth="1"/>
    <col min="11282" max="11282" width="11.875" style="569" customWidth="1"/>
    <col min="11283" max="11283" width="11.375" style="569" customWidth="1"/>
    <col min="11284" max="11284" width="10.375" style="569" customWidth="1"/>
    <col min="11285" max="11285" width="12.875" style="569" customWidth="1"/>
    <col min="11286" max="11286" width="11.75" style="569" customWidth="1"/>
    <col min="11287" max="11287" width="11" style="569" customWidth="1"/>
    <col min="11288" max="11520" width="9" style="569"/>
    <col min="11521" max="11521" width="5.375" style="569" customWidth="1"/>
    <col min="11522" max="11522" width="10.125" style="569" customWidth="1"/>
    <col min="11523" max="11523" width="43.875" style="569" customWidth="1"/>
    <col min="11524" max="11524" width="11.625" style="569" customWidth="1"/>
    <col min="11525" max="11525" width="10.375" style="569" customWidth="1"/>
    <col min="11526" max="11526" width="11" style="569" customWidth="1"/>
    <col min="11527" max="11528" width="12.125" style="569" customWidth="1"/>
    <col min="11529" max="11529" width="3.375" style="569" customWidth="1"/>
    <col min="11530" max="11530" width="12.875" style="569" customWidth="1"/>
    <col min="11531" max="11532" width="12.125" style="569" customWidth="1"/>
    <col min="11533" max="11533" width="11.375" style="569" customWidth="1"/>
    <col min="11534" max="11535" width="11.875" style="569" customWidth="1"/>
    <col min="11536" max="11536" width="11.75" style="569" customWidth="1"/>
    <col min="11537" max="11537" width="11.375" style="569" customWidth="1"/>
    <col min="11538" max="11538" width="11.875" style="569" customWidth="1"/>
    <col min="11539" max="11539" width="11.375" style="569" customWidth="1"/>
    <col min="11540" max="11540" width="10.375" style="569" customWidth="1"/>
    <col min="11541" max="11541" width="12.875" style="569" customWidth="1"/>
    <col min="11542" max="11542" width="11.75" style="569" customWidth="1"/>
    <col min="11543" max="11543" width="11" style="569" customWidth="1"/>
    <col min="11544" max="11776" width="9" style="569"/>
    <col min="11777" max="11777" width="5.375" style="569" customWidth="1"/>
    <col min="11778" max="11778" width="10.125" style="569" customWidth="1"/>
    <col min="11779" max="11779" width="43.875" style="569" customWidth="1"/>
    <col min="11780" max="11780" width="11.625" style="569" customWidth="1"/>
    <col min="11781" max="11781" width="10.375" style="569" customWidth="1"/>
    <col min="11782" max="11782" width="11" style="569" customWidth="1"/>
    <col min="11783" max="11784" width="12.125" style="569" customWidth="1"/>
    <col min="11785" max="11785" width="3.375" style="569" customWidth="1"/>
    <col min="11786" max="11786" width="12.875" style="569" customWidth="1"/>
    <col min="11787" max="11788" width="12.125" style="569" customWidth="1"/>
    <col min="11789" max="11789" width="11.375" style="569" customWidth="1"/>
    <col min="11790" max="11791" width="11.875" style="569" customWidth="1"/>
    <col min="11792" max="11792" width="11.75" style="569" customWidth="1"/>
    <col min="11793" max="11793" width="11.375" style="569" customWidth="1"/>
    <col min="11794" max="11794" width="11.875" style="569" customWidth="1"/>
    <col min="11795" max="11795" width="11.375" style="569" customWidth="1"/>
    <col min="11796" max="11796" width="10.375" style="569" customWidth="1"/>
    <col min="11797" max="11797" width="12.875" style="569" customWidth="1"/>
    <col min="11798" max="11798" width="11.75" style="569" customWidth="1"/>
    <col min="11799" max="11799" width="11" style="569" customWidth="1"/>
    <col min="11800" max="12032" width="9" style="569"/>
    <col min="12033" max="12033" width="5.375" style="569" customWidth="1"/>
    <col min="12034" max="12034" width="10.125" style="569" customWidth="1"/>
    <col min="12035" max="12035" width="43.875" style="569" customWidth="1"/>
    <col min="12036" max="12036" width="11.625" style="569" customWidth="1"/>
    <col min="12037" max="12037" width="10.375" style="569" customWidth="1"/>
    <col min="12038" max="12038" width="11" style="569" customWidth="1"/>
    <col min="12039" max="12040" width="12.125" style="569" customWidth="1"/>
    <col min="12041" max="12041" width="3.375" style="569" customWidth="1"/>
    <col min="12042" max="12042" width="12.875" style="569" customWidth="1"/>
    <col min="12043" max="12044" width="12.125" style="569" customWidth="1"/>
    <col min="12045" max="12045" width="11.375" style="569" customWidth="1"/>
    <col min="12046" max="12047" width="11.875" style="569" customWidth="1"/>
    <col min="12048" max="12048" width="11.75" style="569" customWidth="1"/>
    <col min="12049" max="12049" width="11.375" style="569" customWidth="1"/>
    <col min="12050" max="12050" width="11.875" style="569" customWidth="1"/>
    <col min="12051" max="12051" width="11.375" style="569" customWidth="1"/>
    <col min="12052" max="12052" width="10.375" style="569" customWidth="1"/>
    <col min="12053" max="12053" width="12.875" style="569" customWidth="1"/>
    <col min="12054" max="12054" width="11.75" style="569" customWidth="1"/>
    <col min="12055" max="12055" width="11" style="569" customWidth="1"/>
    <col min="12056" max="12288" width="9" style="569"/>
    <col min="12289" max="12289" width="5.375" style="569" customWidth="1"/>
    <col min="12290" max="12290" width="10.125" style="569" customWidth="1"/>
    <col min="12291" max="12291" width="43.875" style="569" customWidth="1"/>
    <col min="12292" max="12292" width="11.625" style="569" customWidth="1"/>
    <col min="12293" max="12293" width="10.375" style="569" customWidth="1"/>
    <col min="12294" max="12294" width="11" style="569" customWidth="1"/>
    <col min="12295" max="12296" width="12.125" style="569" customWidth="1"/>
    <col min="12297" max="12297" width="3.375" style="569" customWidth="1"/>
    <col min="12298" max="12298" width="12.875" style="569" customWidth="1"/>
    <col min="12299" max="12300" width="12.125" style="569" customWidth="1"/>
    <col min="12301" max="12301" width="11.375" style="569" customWidth="1"/>
    <col min="12302" max="12303" width="11.875" style="569" customWidth="1"/>
    <col min="12304" max="12304" width="11.75" style="569" customWidth="1"/>
    <col min="12305" max="12305" width="11.375" style="569" customWidth="1"/>
    <col min="12306" max="12306" width="11.875" style="569" customWidth="1"/>
    <col min="12307" max="12307" width="11.375" style="569" customWidth="1"/>
    <col min="12308" max="12308" width="10.375" style="569" customWidth="1"/>
    <col min="12309" max="12309" width="12.875" style="569" customWidth="1"/>
    <col min="12310" max="12310" width="11.75" style="569" customWidth="1"/>
    <col min="12311" max="12311" width="11" style="569" customWidth="1"/>
    <col min="12312" max="12544" width="9" style="569"/>
    <col min="12545" max="12545" width="5.375" style="569" customWidth="1"/>
    <col min="12546" max="12546" width="10.125" style="569" customWidth="1"/>
    <col min="12547" max="12547" width="43.875" style="569" customWidth="1"/>
    <col min="12548" max="12548" width="11.625" style="569" customWidth="1"/>
    <col min="12549" max="12549" width="10.375" style="569" customWidth="1"/>
    <col min="12550" max="12550" width="11" style="569" customWidth="1"/>
    <col min="12551" max="12552" width="12.125" style="569" customWidth="1"/>
    <col min="12553" max="12553" width="3.375" style="569" customWidth="1"/>
    <col min="12554" max="12554" width="12.875" style="569" customWidth="1"/>
    <col min="12555" max="12556" width="12.125" style="569" customWidth="1"/>
    <col min="12557" max="12557" width="11.375" style="569" customWidth="1"/>
    <col min="12558" max="12559" width="11.875" style="569" customWidth="1"/>
    <col min="12560" max="12560" width="11.75" style="569" customWidth="1"/>
    <col min="12561" max="12561" width="11.375" style="569" customWidth="1"/>
    <col min="12562" max="12562" width="11.875" style="569" customWidth="1"/>
    <col min="12563" max="12563" width="11.375" style="569" customWidth="1"/>
    <col min="12564" max="12564" width="10.375" style="569" customWidth="1"/>
    <col min="12565" max="12565" width="12.875" style="569" customWidth="1"/>
    <col min="12566" max="12566" width="11.75" style="569" customWidth="1"/>
    <col min="12567" max="12567" width="11" style="569" customWidth="1"/>
    <col min="12568" max="12800" width="9" style="569"/>
    <col min="12801" max="12801" width="5.375" style="569" customWidth="1"/>
    <col min="12802" max="12802" width="10.125" style="569" customWidth="1"/>
    <col min="12803" max="12803" width="43.875" style="569" customWidth="1"/>
    <col min="12804" max="12804" width="11.625" style="569" customWidth="1"/>
    <col min="12805" max="12805" width="10.375" style="569" customWidth="1"/>
    <col min="12806" max="12806" width="11" style="569" customWidth="1"/>
    <col min="12807" max="12808" width="12.125" style="569" customWidth="1"/>
    <col min="12809" max="12809" width="3.375" style="569" customWidth="1"/>
    <col min="12810" max="12810" width="12.875" style="569" customWidth="1"/>
    <col min="12811" max="12812" width="12.125" style="569" customWidth="1"/>
    <col min="12813" max="12813" width="11.375" style="569" customWidth="1"/>
    <col min="12814" max="12815" width="11.875" style="569" customWidth="1"/>
    <col min="12816" max="12816" width="11.75" style="569" customWidth="1"/>
    <col min="12817" max="12817" width="11.375" style="569" customWidth="1"/>
    <col min="12818" max="12818" width="11.875" style="569" customWidth="1"/>
    <col min="12819" max="12819" width="11.375" style="569" customWidth="1"/>
    <col min="12820" max="12820" width="10.375" style="569" customWidth="1"/>
    <col min="12821" max="12821" width="12.875" style="569" customWidth="1"/>
    <col min="12822" max="12822" width="11.75" style="569" customWidth="1"/>
    <col min="12823" max="12823" width="11" style="569" customWidth="1"/>
    <col min="12824" max="13056" width="9" style="569"/>
    <col min="13057" max="13057" width="5.375" style="569" customWidth="1"/>
    <col min="13058" max="13058" width="10.125" style="569" customWidth="1"/>
    <col min="13059" max="13059" width="43.875" style="569" customWidth="1"/>
    <col min="13060" max="13060" width="11.625" style="569" customWidth="1"/>
    <col min="13061" max="13061" width="10.375" style="569" customWidth="1"/>
    <col min="13062" max="13062" width="11" style="569" customWidth="1"/>
    <col min="13063" max="13064" width="12.125" style="569" customWidth="1"/>
    <col min="13065" max="13065" width="3.375" style="569" customWidth="1"/>
    <col min="13066" max="13066" width="12.875" style="569" customWidth="1"/>
    <col min="13067" max="13068" width="12.125" style="569" customWidth="1"/>
    <col min="13069" max="13069" width="11.375" style="569" customWidth="1"/>
    <col min="13070" max="13071" width="11.875" style="569" customWidth="1"/>
    <col min="13072" max="13072" width="11.75" style="569" customWidth="1"/>
    <col min="13073" max="13073" width="11.375" style="569" customWidth="1"/>
    <col min="13074" max="13074" width="11.875" style="569" customWidth="1"/>
    <col min="13075" max="13075" width="11.375" style="569" customWidth="1"/>
    <col min="13076" max="13076" width="10.375" style="569" customWidth="1"/>
    <col min="13077" max="13077" width="12.875" style="569" customWidth="1"/>
    <col min="13078" max="13078" width="11.75" style="569" customWidth="1"/>
    <col min="13079" max="13079" width="11" style="569" customWidth="1"/>
    <col min="13080" max="13312" width="9" style="569"/>
    <col min="13313" max="13313" width="5.375" style="569" customWidth="1"/>
    <col min="13314" max="13314" width="10.125" style="569" customWidth="1"/>
    <col min="13315" max="13315" width="43.875" style="569" customWidth="1"/>
    <col min="13316" max="13316" width="11.625" style="569" customWidth="1"/>
    <col min="13317" max="13317" width="10.375" style="569" customWidth="1"/>
    <col min="13318" max="13318" width="11" style="569" customWidth="1"/>
    <col min="13319" max="13320" width="12.125" style="569" customWidth="1"/>
    <col min="13321" max="13321" width="3.375" style="569" customWidth="1"/>
    <col min="13322" max="13322" width="12.875" style="569" customWidth="1"/>
    <col min="13323" max="13324" width="12.125" style="569" customWidth="1"/>
    <col min="13325" max="13325" width="11.375" style="569" customWidth="1"/>
    <col min="13326" max="13327" width="11.875" style="569" customWidth="1"/>
    <col min="13328" max="13328" width="11.75" style="569" customWidth="1"/>
    <col min="13329" max="13329" width="11.375" style="569" customWidth="1"/>
    <col min="13330" max="13330" width="11.875" style="569" customWidth="1"/>
    <col min="13331" max="13331" width="11.375" style="569" customWidth="1"/>
    <col min="13332" max="13332" width="10.375" style="569" customWidth="1"/>
    <col min="13333" max="13333" width="12.875" style="569" customWidth="1"/>
    <col min="13334" max="13334" width="11.75" style="569" customWidth="1"/>
    <col min="13335" max="13335" width="11" style="569" customWidth="1"/>
    <col min="13336" max="13568" width="9" style="569"/>
    <col min="13569" max="13569" width="5.375" style="569" customWidth="1"/>
    <col min="13570" max="13570" width="10.125" style="569" customWidth="1"/>
    <col min="13571" max="13571" width="43.875" style="569" customWidth="1"/>
    <col min="13572" max="13572" width="11.625" style="569" customWidth="1"/>
    <col min="13573" max="13573" width="10.375" style="569" customWidth="1"/>
    <col min="13574" max="13574" width="11" style="569" customWidth="1"/>
    <col min="13575" max="13576" width="12.125" style="569" customWidth="1"/>
    <col min="13577" max="13577" width="3.375" style="569" customWidth="1"/>
    <col min="13578" max="13578" width="12.875" style="569" customWidth="1"/>
    <col min="13579" max="13580" width="12.125" style="569" customWidth="1"/>
    <col min="13581" max="13581" width="11.375" style="569" customWidth="1"/>
    <col min="13582" max="13583" width="11.875" style="569" customWidth="1"/>
    <col min="13584" max="13584" width="11.75" style="569" customWidth="1"/>
    <col min="13585" max="13585" width="11.375" style="569" customWidth="1"/>
    <col min="13586" max="13586" width="11.875" style="569" customWidth="1"/>
    <col min="13587" max="13587" width="11.375" style="569" customWidth="1"/>
    <col min="13588" max="13588" width="10.375" style="569" customWidth="1"/>
    <col min="13589" max="13589" width="12.875" style="569" customWidth="1"/>
    <col min="13590" max="13590" width="11.75" style="569" customWidth="1"/>
    <col min="13591" max="13591" width="11" style="569" customWidth="1"/>
    <col min="13592" max="13824" width="9" style="569"/>
    <col min="13825" max="13825" width="5.375" style="569" customWidth="1"/>
    <col min="13826" max="13826" width="10.125" style="569" customWidth="1"/>
    <col min="13827" max="13827" width="43.875" style="569" customWidth="1"/>
    <col min="13828" max="13828" width="11.625" style="569" customWidth="1"/>
    <col min="13829" max="13829" width="10.375" style="569" customWidth="1"/>
    <col min="13830" max="13830" width="11" style="569" customWidth="1"/>
    <col min="13831" max="13832" width="12.125" style="569" customWidth="1"/>
    <col min="13833" max="13833" width="3.375" style="569" customWidth="1"/>
    <col min="13834" max="13834" width="12.875" style="569" customWidth="1"/>
    <col min="13835" max="13836" width="12.125" style="569" customWidth="1"/>
    <col min="13837" max="13837" width="11.375" style="569" customWidth="1"/>
    <col min="13838" max="13839" width="11.875" style="569" customWidth="1"/>
    <col min="13840" max="13840" width="11.75" style="569" customWidth="1"/>
    <col min="13841" max="13841" width="11.375" style="569" customWidth="1"/>
    <col min="13842" max="13842" width="11.875" style="569" customWidth="1"/>
    <col min="13843" max="13843" width="11.375" style="569" customWidth="1"/>
    <col min="13844" max="13844" width="10.375" style="569" customWidth="1"/>
    <col min="13845" max="13845" width="12.875" style="569" customWidth="1"/>
    <col min="13846" max="13846" width="11.75" style="569" customWidth="1"/>
    <col min="13847" max="13847" width="11" style="569" customWidth="1"/>
    <col min="13848" max="14080" width="9" style="569"/>
    <col min="14081" max="14081" width="5.375" style="569" customWidth="1"/>
    <col min="14082" max="14082" width="10.125" style="569" customWidth="1"/>
    <col min="14083" max="14083" width="43.875" style="569" customWidth="1"/>
    <col min="14084" max="14084" width="11.625" style="569" customWidth="1"/>
    <col min="14085" max="14085" width="10.375" style="569" customWidth="1"/>
    <col min="14086" max="14086" width="11" style="569" customWidth="1"/>
    <col min="14087" max="14088" width="12.125" style="569" customWidth="1"/>
    <col min="14089" max="14089" width="3.375" style="569" customWidth="1"/>
    <col min="14090" max="14090" width="12.875" style="569" customWidth="1"/>
    <col min="14091" max="14092" width="12.125" style="569" customWidth="1"/>
    <col min="14093" max="14093" width="11.375" style="569" customWidth="1"/>
    <col min="14094" max="14095" width="11.875" style="569" customWidth="1"/>
    <col min="14096" max="14096" width="11.75" style="569" customWidth="1"/>
    <col min="14097" max="14097" width="11.375" style="569" customWidth="1"/>
    <col min="14098" max="14098" width="11.875" style="569" customWidth="1"/>
    <col min="14099" max="14099" width="11.375" style="569" customWidth="1"/>
    <col min="14100" max="14100" width="10.375" style="569" customWidth="1"/>
    <col min="14101" max="14101" width="12.875" style="569" customWidth="1"/>
    <col min="14102" max="14102" width="11.75" style="569" customWidth="1"/>
    <col min="14103" max="14103" width="11" style="569" customWidth="1"/>
    <col min="14104" max="14336" width="9" style="569"/>
    <col min="14337" max="14337" width="5.375" style="569" customWidth="1"/>
    <col min="14338" max="14338" width="10.125" style="569" customWidth="1"/>
    <col min="14339" max="14339" width="43.875" style="569" customWidth="1"/>
    <col min="14340" max="14340" width="11.625" style="569" customWidth="1"/>
    <col min="14341" max="14341" width="10.375" style="569" customWidth="1"/>
    <col min="14342" max="14342" width="11" style="569" customWidth="1"/>
    <col min="14343" max="14344" width="12.125" style="569" customWidth="1"/>
    <col min="14345" max="14345" width="3.375" style="569" customWidth="1"/>
    <col min="14346" max="14346" width="12.875" style="569" customWidth="1"/>
    <col min="14347" max="14348" width="12.125" style="569" customWidth="1"/>
    <col min="14349" max="14349" width="11.375" style="569" customWidth="1"/>
    <col min="14350" max="14351" width="11.875" style="569" customWidth="1"/>
    <col min="14352" max="14352" width="11.75" style="569" customWidth="1"/>
    <col min="14353" max="14353" width="11.375" style="569" customWidth="1"/>
    <col min="14354" max="14354" width="11.875" style="569" customWidth="1"/>
    <col min="14355" max="14355" width="11.375" style="569" customWidth="1"/>
    <col min="14356" max="14356" width="10.375" style="569" customWidth="1"/>
    <col min="14357" max="14357" width="12.875" style="569" customWidth="1"/>
    <col min="14358" max="14358" width="11.75" style="569" customWidth="1"/>
    <col min="14359" max="14359" width="11" style="569" customWidth="1"/>
    <col min="14360" max="14592" width="9" style="569"/>
    <col min="14593" max="14593" width="5.375" style="569" customWidth="1"/>
    <col min="14594" max="14594" width="10.125" style="569" customWidth="1"/>
    <col min="14595" max="14595" width="43.875" style="569" customWidth="1"/>
    <col min="14596" max="14596" width="11.625" style="569" customWidth="1"/>
    <col min="14597" max="14597" width="10.375" style="569" customWidth="1"/>
    <col min="14598" max="14598" width="11" style="569" customWidth="1"/>
    <col min="14599" max="14600" width="12.125" style="569" customWidth="1"/>
    <col min="14601" max="14601" width="3.375" style="569" customWidth="1"/>
    <col min="14602" max="14602" width="12.875" style="569" customWidth="1"/>
    <col min="14603" max="14604" width="12.125" style="569" customWidth="1"/>
    <col min="14605" max="14605" width="11.375" style="569" customWidth="1"/>
    <col min="14606" max="14607" width="11.875" style="569" customWidth="1"/>
    <col min="14608" max="14608" width="11.75" style="569" customWidth="1"/>
    <col min="14609" max="14609" width="11.375" style="569" customWidth="1"/>
    <col min="14610" max="14610" width="11.875" style="569" customWidth="1"/>
    <col min="14611" max="14611" width="11.375" style="569" customWidth="1"/>
    <col min="14612" max="14612" width="10.375" style="569" customWidth="1"/>
    <col min="14613" max="14613" width="12.875" style="569" customWidth="1"/>
    <col min="14614" max="14614" width="11.75" style="569" customWidth="1"/>
    <col min="14615" max="14615" width="11" style="569" customWidth="1"/>
    <col min="14616" max="14848" width="9" style="569"/>
    <col min="14849" max="14849" width="5.375" style="569" customWidth="1"/>
    <col min="14850" max="14850" width="10.125" style="569" customWidth="1"/>
    <col min="14851" max="14851" width="43.875" style="569" customWidth="1"/>
    <col min="14852" max="14852" width="11.625" style="569" customWidth="1"/>
    <col min="14853" max="14853" width="10.375" style="569" customWidth="1"/>
    <col min="14854" max="14854" width="11" style="569" customWidth="1"/>
    <col min="14855" max="14856" width="12.125" style="569" customWidth="1"/>
    <col min="14857" max="14857" width="3.375" style="569" customWidth="1"/>
    <col min="14858" max="14858" width="12.875" style="569" customWidth="1"/>
    <col min="14859" max="14860" width="12.125" style="569" customWidth="1"/>
    <col min="14861" max="14861" width="11.375" style="569" customWidth="1"/>
    <col min="14862" max="14863" width="11.875" style="569" customWidth="1"/>
    <col min="14864" max="14864" width="11.75" style="569" customWidth="1"/>
    <col min="14865" max="14865" width="11.375" style="569" customWidth="1"/>
    <col min="14866" max="14866" width="11.875" style="569" customWidth="1"/>
    <col min="14867" max="14867" width="11.375" style="569" customWidth="1"/>
    <col min="14868" max="14868" width="10.375" style="569" customWidth="1"/>
    <col min="14869" max="14869" width="12.875" style="569" customWidth="1"/>
    <col min="14870" max="14870" width="11.75" style="569" customWidth="1"/>
    <col min="14871" max="14871" width="11" style="569" customWidth="1"/>
    <col min="14872" max="15104" width="9" style="569"/>
    <col min="15105" max="15105" width="5.375" style="569" customWidth="1"/>
    <col min="15106" max="15106" width="10.125" style="569" customWidth="1"/>
    <col min="15107" max="15107" width="43.875" style="569" customWidth="1"/>
    <col min="15108" max="15108" width="11.625" style="569" customWidth="1"/>
    <col min="15109" max="15109" width="10.375" style="569" customWidth="1"/>
    <col min="15110" max="15110" width="11" style="569" customWidth="1"/>
    <col min="15111" max="15112" width="12.125" style="569" customWidth="1"/>
    <col min="15113" max="15113" width="3.375" style="569" customWidth="1"/>
    <col min="15114" max="15114" width="12.875" style="569" customWidth="1"/>
    <col min="15115" max="15116" width="12.125" style="569" customWidth="1"/>
    <col min="15117" max="15117" width="11.375" style="569" customWidth="1"/>
    <col min="15118" max="15119" width="11.875" style="569" customWidth="1"/>
    <col min="15120" max="15120" width="11.75" style="569" customWidth="1"/>
    <col min="15121" max="15121" width="11.375" style="569" customWidth="1"/>
    <col min="15122" max="15122" width="11.875" style="569" customWidth="1"/>
    <col min="15123" max="15123" width="11.375" style="569" customWidth="1"/>
    <col min="15124" max="15124" width="10.375" style="569" customWidth="1"/>
    <col min="15125" max="15125" width="12.875" style="569" customWidth="1"/>
    <col min="15126" max="15126" width="11.75" style="569" customWidth="1"/>
    <col min="15127" max="15127" width="11" style="569" customWidth="1"/>
    <col min="15128" max="15360" width="9" style="569"/>
    <col min="15361" max="15361" width="5.375" style="569" customWidth="1"/>
    <col min="15362" max="15362" width="10.125" style="569" customWidth="1"/>
    <col min="15363" max="15363" width="43.875" style="569" customWidth="1"/>
    <col min="15364" max="15364" width="11.625" style="569" customWidth="1"/>
    <col min="15365" max="15365" width="10.375" style="569" customWidth="1"/>
    <col min="15366" max="15366" width="11" style="569" customWidth="1"/>
    <col min="15367" max="15368" width="12.125" style="569" customWidth="1"/>
    <col min="15369" max="15369" width="3.375" style="569" customWidth="1"/>
    <col min="15370" max="15370" width="12.875" style="569" customWidth="1"/>
    <col min="15371" max="15372" width="12.125" style="569" customWidth="1"/>
    <col min="15373" max="15373" width="11.375" style="569" customWidth="1"/>
    <col min="15374" max="15375" width="11.875" style="569" customWidth="1"/>
    <col min="15376" max="15376" width="11.75" style="569" customWidth="1"/>
    <col min="15377" max="15377" width="11.375" style="569" customWidth="1"/>
    <col min="15378" max="15378" width="11.875" style="569" customWidth="1"/>
    <col min="15379" max="15379" width="11.375" style="569" customWidth="1"/>
    <col min="15380" max="15380" width="10.375" style="569" customWidth="1"/>
    <col min="15381" max="15381" width="12.875" style="569" customWidth="1"/>
    <col min="15382" max="15382" width="11.75" style="569" customWidth="1"/>
    <col min="15383" max="15383" width="11" style="569" customWidth="1"/>
    <col min="15384" max="15616" width="9" style="569"/>
    <col min="15617" max="15617" width="5.375" style="569" customWidth="1"/>
    <col min="15618" max="15618" width="10.125" style="569" customWidth="1"/>
    <col min="15619" max="15619" width="43.875" style="569" customWidth="1"/>
    <col min="15620" max="15620" width="11.625" style="569" customWidth="1"/>
    <col min="15621" max="15621" width="10.375" style="569" customWidth="1"/>
    <col min="15622" max="15622" width="11" style="569" customWidth="1"/>
    <col min="15623" max="15624" width="12.125" style="569" customWidth="1"/>
    <col min="15625" max="15625" width="3.375" style="569" customWidth="1"/>
    <col min="15626" max="15626" width="12.875" style="569" customWidth="1"/>
    <col min="15627" max="15628" width="12.125" style="569" customWidth="1"/>
    <col min="15629" max="15629" width="11.375" style="569" customWidth="1"/>
    <col min="15630" max="15631" width="11.875" style="569" customWidth="1"/>
    <col min="15632" max="15632" width="11.75" style="569" customWidth="1"/>
    <col min="15633" max="15633" width="11.375" style="569" customWidth="1"/>
    <col min="15634" max="15634" width="11.875" style="569" customWidth="1"/>
    <col min="15635" max="15635" width="11.375" style="569" customWidth="1"/>
    <col min="15636" max="15636" width="10.375" style="569" customWidth="1"/>
    <col min="15637" max="15637" width="12.875" style="569" customWidth="1"/>
    <col min="15638" max="15638" width="11.75" style="569" customWidth="1"/>
    <col min="15639" max="15639" width="11" style="569" customWidth="1"/>
    <col min="15640" max="15872" width="9" style="569"/>
    <col min="15873" max="15873" width="5.375" style="569" customWidth="1"/>
    <col min="15874" max="15874" width="10.125" style="569" customWidth="1"/>
    <col min="15875" max="15875" width="43.875" style="569" customWidth="1"/>
    <col min="15876" max="15876" width="11.625" style="569" customWidth="1"/>
    <col min="15877" max="15877" width="10.375" style="569" customWidth="1"/>
    <col min="15878" max="15878" width="11" style="569" customWidth="1"/>
    <col min="15879" max="15880" width="12.125" style="569" customWidth="1"/>
    <col min="15881" max="15881" width="3.375" style="569" customWidth="1"/>
    <col min="15882" max="15882" width="12.875" style="569" customWidth="1"/>
    <col min="15883" max="15884" width="12.125" style="569" customWidth="1"/>
    <col min="15885" max="15885" width="11.375" style="569" customWidth="1"/>
    <col min="15886" max="15887" width="11.875" style="569" customWidth="1"/>
    <col min="15888" max="15888" width="11.75" style="569" customWidth="1"/>
    <col min="15889" max="15889" width="11.375" style="569" customWidth="1"/>
    <col min="15890" max="15890" width="11.875" style="569" customWidth="1"/>
    <col min="15891" max="15891" width="11.375" style="569" customWidth="1"/>
    <col min="15892" max="15892" width="10.375" style="569" customWidth="1"/>
    <col min="15893" max="15893" width="12.875" style="569" customWidth="1"/>
    <col min="15894" max="15894" width="11.75" style="569" customWidth="1"/>
    <col min="15895" max="15895" width="11" style="569" customWidth="1"/>
    <col min="15896" max="16128" width="9" style="569"/>
    <col min="16129" max="16129" width="5.375" style="569" customWidth="1"/>
    <col min="16130" max="16130" width="10.125" style="569" customWidth="1"/>
    <col min="16131" max="16131" width="43.875" style="569" customWidth="1"/>
    <col min="16132" max="16132" width="11.625" style="569" customWidth="1"/>
    <col min="16133" max="16133" width="10.375" style="569" customWidth="1"/>
    <col min="16134" max="16134" width="11" style="569" customWidth="1"/>
    <col min="16135" max="16136" width="12.125" style="569" customWidth="1"/>
    <col min="16137" max="16137" width="3.375" style="569" customWidth="1"/>
    <col min="16138" max="16138" width="12.875" style="569" customWidth="1"/>
    <col min="16139" max="16140" width="12.125" style="569" customWidth="1"/>
    <col min="16141" max="16141" width="11.375" style="569" customWidth="1"/>
    <col min="16142" max="16143" width="11.875" style="569" customWidth="1"/>
    <col min="16144" max="16144" width="11.75" style="569" customWidth="1"/>
    <col min="16145" max="16145" width="11.375" style="569" customWidth="1"/>
    <col min="16146" max="16146" width="11.875" style="569" customWidth="1"/>
    <col min="16147" max="16147" width="11.375" style="569" customWidth="1"/>
    <col min="16148" max="16148" width="10.375" style="569" customWidth="1"/>
    <col min="16149" max="16149" width="12.875" style="569" customWidth="1"/>
    <col min="16150" max="16150" width="11.75" style="569" customWidth="1"/>
    <col min="16151" max="16151" width="11" style="569" customWidth="1"/>
    <col min="16152" max="16384" width="9" style="569"/>
  </cols>
  <sheetData>
    <row r="1" spans="1:24" s="551" customFormat="1" ht="13.5" customHeight="1">
      <c r="A1" s="550" t="s">
        <v>92</v>
      </c>
      <c r="U1" s="919" t="s">
        <v>1044</v>
      </c>
      <c r="V1" s="919"/>
      <c r="W1" s="919"/>
    </row>
    <row r="2" spans="1:24" s="551" customFormat="1" ht="13.5" customHeight="1">
      <c r="A2" s="550"/>
      <c r="U2" s="919" t="s">
        <v>1046</v>
      </c>
      <c r="V2" s="919"/>
      <c r="W2" s="919"/>
    </row>
    <row r="3" spans="1:24" s="551" customFormat="1" ht="13.5" customHeight="1">
      <c r="A3" s="550"/>
      <c r="U3" s="919" t="s">
        <v>131</v>
      </c>
      <c r="V3" s="919"/>
      <c r="W3" s="919"/>
    </row>
    <row r="4" spans="1:24" s="551" customFormat="1" ht="5.25" customHeight="1">
      <c r="A4" s="550"/>
    </row>
    <row r="5" spans="1:24" s="576" customFormat="1" ht="25.5" customHeight="1">
      <c r="A5" s="920" t="s">
        <v>1045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552"/>
    </row>
    <row r="6" spans="1:24" s="576" customFormat="1" ht="12" customHeight="1">
      <c r="A6" s="575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W6" s="577" t="s">
        <v>35</v>
      </c>
    </row>
    <row r="7" spans="1:24" s="551" customFormat="1" ht="28.5" customHeight="1">
      <c r="A7" s="921" t="s">
        <v>909</v>
      </c>
      <c r="B7" s="924" t="s">
        <v>910</v>
      </c>
      <c r="C7" s="927" t="s">
        <v>911</v>
      </c>
      <c r="D7" s="927" t="s">
        <v>912</v>
      </c>
      <c r="E7" s="924" t="s">
        <v>913</v>
      </c>
      <c r="F7" s="927" t="s">
        <v>345</v>
      </c>
      <c r="G7" s="930" t="s">
        <v>914</v>
      </c>
      <c r="H7" s="930" t="s">
        <v>915</v>
      </c>
      <c r="I7" s="927" t="s">
        <v>94</v>
      </c>
      <c r="J7" s="931" t="s">
        <v>916</v>
      </c>
      <c r="K7" s="931"/>
      <c r="L7" s="931"/>
      <c r="M7" s="931"/>
      <c r="N7" s="931"/>
      <c r="O7" s="931"/>
      <c r="P7" s="931"/>
      <c r="Q7" s="931"/>
      <c r="R7" s="931"/>
      <c r="S7" s="931"/>
      <c r="T7" s="931"/>
      <c r="U7" s="931"/>
      <c r="V7" s="931"/>
      <c r="W7" s="931"/>
    </row>
    <row r="8" spans="1:24" s="551" customFormat="1" ht="21.75" customHeight="1">
      <c r="A8" s="922"/>
      <c r="B8" s="925"/>
      <c r="C8" s="928"/>
      <c r="D8" s="928"/>
      <c r="E8" s="925"/>
      <c r="F8" s="928"/>
      <c r="G8" s="930"/>
      <c r="H8" s="930"/>
      <c r="I8" s="928"/>
      <c r="J8" s="931"/>
      <c r="K8" s="931"/>
      <c r="L8" s="931"/>
      <c r="M8" s="931"/>
      <c r="N8" s="931"/>
      <c r="O8" s="931"/>
      <c r="P8" s="931"/>
      <c r="Q8" s="931"/>
      <c r="R8" s="931"/>
      <c r="S8" s="931"/>
      <c r="T8" s="931"/>
      <c r="U8" s="931"/>
      <c r="V8" s="931"/>
      <c r="W8" s="931"/>
    </row>
    <row r="9" spans="1:24" s="551" customFormat="1" ht="15.75" customHeight="1">
      <c r="A9" s="922"/>
      <c r="B9" s="925"/>
      <c r="C9" s="928"/>
      <c r="D9" s="928"/>
      <c r="E9" s="925"/>
      <c r="F9" s="928"/>
      <c r="G9" s="554" t="s">
        <v>917</v>
      </c>
      <c r="H9" s="554" t="s">
        <v>917</v>
      </c>
      <c r="I9" s="928"/>
      <c r="J9" s="931" t="s">
        <v>918</v>
      </c>
      <c r="K9" s="932" t="s">
        <v>919</v>
      </c>
      <c r="L9" s="932"/>
      <c r="M9" s="932"/>
      <c r="N9" s="916" t="s">
        <v>920</v>
      </c>
      <c r="O9" s="932" t="s">
        <v>921</v>
      </c>
      <c r="P9" s="932"/>
      <c r="Q9" s="932"/>
      <c r="R9" s="932"/>
      <c r="S9" s="932"/>
      <c r="T9" s="932"/>
      <c r="U9" s="932"/>
      <c r="V9" s="932"/>
      <c r="W9" s="932"/>
    </row>
    <row r="10" spans="1:24" s="551" customFormat="1" ht="12.75" customHeight="1">
      <c r="A10" s="922"/>
      <c r="B10" s="925"/>
      <c r="C10" s="928"/>
      <c r="D10" s="928"/>
      <c r="E10" s="925"/>
      <c r="F10" s="928"/>
      <c r="G10" s="554" t="s">
        <v>922</v>
      </c>
      <c r="H10" s="554" t="s">
        <v>922</v>
      </c>
      <c r="I10" s="928"/>
      <c r="J10" s="931"/>
      <c r="K10" s="932"/>
      <c r="L10" s="932"/>
      <c r="M10" s="932"/>
      <c r="N10" s="916"/>
      <c r="O10" s="917" t="s">
        <v>923</v>
      </c>
      <c r="P10" s="917"/>
      <c r="Q10" s="917"/>
      <c r="R10" s="917" t="s">
        <v>924</v>
      </c>
      <c r="S10" s="917"/>
      <c r="T10" s="917"/>
      <c r="U10" s="916" t="s">
        <v>925</v>
      </c>
      <c r="V10" s="916"/>
      <c r="W10" s="916"/>
    </row>
    <row r="11" spans="1:24" s="551" customFormat="1" ht="14.25" customHeight="1">
      <c r="A11" s="922"/>
      <c r="B11" s="925"/>
      <c r="C11" s="928"/>
      <c r="D11" s="928"/>
      <c r="E11" s="925"/>
      <c r="F11" s="928"/>
      <c r="G11" s="554" t="s">
        <v>926</v>
      </c>
      <c r="H11" s="554" t="s">
        <v>926</v>
      </c>
      <c r="I11" s="928"/>
      <c r="J11" s="931"/>
      <c r="K11" s="917" t="s">
        <v>38</v>
      </c>
      <c r="L11" s="917" t="s">
        <v>927</v>
      </c>
      <c r="M11" s="917" t="s">
        <v>928</v>
      </c>
      <c r="N11" s="916"/>
      <c r="O11" s="917" t="s">
        <v>38</v>
      </c>
      <c r="P11" s="917" t="s">
        <v>929</v>
      </c>
      <c r="Q11" s="918" t="s">
        <v>928</v>
      </c>
      <c r="R11" s="917" t="s">
        <v>38</v>
      </c>
      <c r="S11" s="917" t="s">
        <v>929</v>
      </c>
      <c r="T11" s="918" t="s">
        <v>928</v>
      </c>
      <c r="U11" s="916" t="s">
        <v>38</v>
      </c>
      <c r="V11" s="917" t="s">
        <v>929</v>
      </c>
      <c r="W11" s="918" t="s">
        <v>928</v>
      </c>
    </row>
    <row r="12" spans="1:24" s="551" customFormat="1" ht="16.5" customHeight="1">
      <c r="A12" s="923"/>
      <c r="B12" s="926"/>
      <c r="C12" s="929"/>
      <c r="D12" s="929"/>
      <c r="E12" s="926"/>
      <c r="F12" s="929"/>
      <c r="G12" s="554" t="s">
        <v>925</v>
      </c>
      <c r="H12" s="554" t="s">
        <v>925</v>
      </c>
      <c r="I12" s="929"/>
      <c r="J12" s="931"/>
      <c r="K12" s="917"/>
      <c r="L12" s="917"/>
      <c r="M12" s="917"/>
      <c r="N12" s="916"/>
      <c r="O12" s="917"/>
      <c r="P12" s="917"/>
      <c r="Q12" s="918"/>
      <c r="R12" s="917"/>
      <c r="S12" s="917"/>
      <c r="T12" s="918"/>
      <c r="U12" s="916"/>
      <c r="V12" s="917"/>
      <c r="W12" s="918"/>
    </row>
    <row r="13" spans="1:24" s="556" customFormat="1" ht="13.5" customHeight="1">
      <c r="A13" s="555">
        <v>1</v>
      </c>
      <c r="B13" s="555">
        <v>2</v>
      </c>
      <c r="C13" s="555">
        <v>3</v>
      </c>
      <c r="D13" s="555">
        <v>4</v>
      </c>
      <c r="E13" s="555">
        <v>5</v>
      </c>
      <c r="F13" s="555">
        <v>6</v>
      </c>
      <c r="G13" s="555">
        <v>7</v>
      </c>
      <c r="H13" s="555">
        <v>8</v>
      </c>
      <c r="I13" s="555" t="s">
        <v>930</v>
      </c>
      <c r="J13" s="555" t="s">
        <v>931</v>
      </c>
      <c r="K13" s="555" t="s">
        <v>932</v>
      </c>
      <c r="L13" s="555">
        <v>11</v>
      </c>
      <c r="M13" s="555">
        <v>12</v>
      </c>
      <c r="N13" s="555" t="s">
        <v>933</v>
      </c>
      <c r="O13" s="555" t="s">
        <v>934</v>
      </c>
      <c r="P13" s="555">
        <v>15</v>
      </c>
      <c r="Q13" s="555">
        <v>16</v>
      </c>
      <c r="R13" s="555" t="s">
        <v>935</v>
      </c>
      <c r="S13" s="555">
        <v>18</v>
      </c>
      <c r="T13" s="555">
        <v>19</v>
      </c>
      <c r="U13" s="555" t="s">
        <v>936</v>
      </c>
      <c r="V13" s="555">
        <v>21</v>
      </c>
      <c r="W13" s="555">
        <v>22</v>
      </c>
    </row>
    <row r="14" spans="1:24" s="556" customFormat="1" ht="5.25" customHeight="1">
      <c r="A14" s="907"/>
      <c r="B14" s="908"/>
      <c r="C14" s="908"/>
      <c r="D14" s="908"/>
      <c r="E14" s="908"/>
      <c r="F14" s="908"/>
      <c r="G14" s="908"/>
      <c r="H14" s="908"/>
      <c r="I14" s="908"/>
      <c r="J14" s="908"/>
      <c r="K14" s="908"/>
      <c r="L14" s="908"/>
      <c r="M14" s="908"/>
      <c r="N14" s="908"/>
      <c r="O14" s="908"/>
      <c r="P14" s="908"/>
      <c r="Q14" s="908"/>
      <c r="R14" s="908"/>
      <c r="S14" s="908"/>
      <c r="T14" s="908"/>
      <c r="U14" s="908"/>
      <c r="V14" s="908"/>
      <c r="W14" s="909"/>
    </row>
    <row r="15" spans="1:24" s="556" customFormat="1" ht="23.25" customHeight="1">
      <c r="A15" s="910" t="s">
        <v>937</v>
      </c>
      <c r="B15" s="911"/>
      <c r="C15" s="911"/>
      <c r="D15" s="911"/>
      <c r="E15" s="911"/>
      <c r="F15" s="911"/>
      <c r="G15" s="911"/>
      <c r="H15" s="911"/>
      <c r="I15" s="911"/>
      <c r="J15" s="911"/>
      <c r="K15" s="911"/>
      <c r="L15" s="911"/>
      <c r="M15" s="911"/>
      <c r="N15" s="911"/>
      <c r="O15" s="911"/>
      <c r="P15" s="911"/>
      <c r="Q15" s="911"/>
      <c r="R15" s="911"/>
      <c r="S15" s="911"/>
      <c r="T15" s="911"/>
      <c r="U15" s="911"/>
      <c r="V15" s="911"/>
      <c r="W15" s="912"/>
    </row>
    <row r="16" spans="1:24" s="556" customFormat="1" ht="4.5" customHeight="1">
      <c r="A16" s="907"/>
      <c r="B16" s="908"/>
      <c r="C16" s="908"/>
      <c r="D16" s="908"/>
      <c r="E16" s="908"/>
      <c r="F16" s="908"/>
      <c r="G16" s="908"/>
      <c r="H16" s="908"/>
      <c r="I16" s="908"/>
      <c r="J16" s="908"/>
      <c r="K16" s="908"/>
      <c r="L16" s="908"/>
      <c r="M16" s="908"/>
      <c r="N16" s="908"/>
      <c r="O16" s="908"/>
      <c r="P16" s="908"/>
      <c r="Q16" s="908"/>
      <c r="R16" s="908"/>
      <c r="S16" s="908"/>
      <c r="T16" s="908"/>
      <c r="U16" s="908"/>
      <c r="V16" s="908"/>
      <c r="W16" s="909"/>
    </row>
    <row r="17" spans="1:23" s="558" customFormat="1" ht="14.25" hidden="1" customHeight="1">
      <c r="A17" s="903">
        <v>1</v>
      </c>
      <c r="B17" s="904" t="s">
        <v>938</v>
      </c>
      <c r="C17" s="913" t="s">
        <v>690</v>
      </c>
      <c r="D17" s="906" t="s">
        <v>359</v>
      </c>
      <c r="E17" s="904" t="s">
        <v>939</v>
      </c>
      <c r="F17" s="903" t="s">
        <v>940</v>
      </c>
      <c r="G17" s="557">
        <f>G19+G18+G20+G21</f>
        <v>30700611</v>
      </c>
      <c r="H17" s="557">
        <f>H19+H18+H20+H21</f>
        <v>3188162</v>
      </c>
      <c r="I17" s="901" t="s">
        <v>0</v>
      </c>
      <c r="J17" s="890">
        <f>K17+N17</f>
        <v>8812293</v>
      </c>
      <c r="K17" s="890">
        <f>L17+M17</f>
        <v>7847450</v>
      </c>
      <c r="L17" s="890">
        <v>197815</v>
      </c>
      <c r="M17" s="890">
        <v>7649635</v>
      </c>
      <c r="N17" s="890">
        <f>O17+R17+U17</f>
        <v>964843</v>
      </c>
      <c r="O17" s="890">
        <f>P17+Q17</f>
        <v>0</v>
      </c>
      <c r="P17" s="890">
        <v>0</v>
      </c>
      <c r="Q17" s="890">
        <v>0</v>
      </c>
      <c r="R17" s="890">
        <f>S17+T17</f>
        <v>964843</v>
      </c>
      <c r="S17" s="890">
        <v>34908</v>
      </c>
      <c r="T17" s="890">
        <v>929935</v>
      </c>
      <c r="U17" s="890">
        <f>V17+W17</f>
        <v>0</v>
      </c>
      <c r="V17" s="890">
        <f>W17+Z17</f>
        <v>0</v>
      </c>
      <c r="W17" s="890">
        <f>X17+AA17</f>
        <v>0</v>
      </c>
    </row>
    <row r="18" spans="1:23" s="558" customFormat="1" ht="14.25" hidden="1" customHeight="1">
      <c r="A18" s="903"/>
      <c r="B18" s="904"/>
      <c r="C18" s="914"/>
      <c r="D18" s="906"/>
      <c r="E18" s="904"/>
      <c r="F18" s="903"/>
      <c r="G18" s="557">
        <v>27166522</v>
      </c>
      <c r="H18" s="557">
        <v>2709938</v>
      </c>
      <c r="I18" s="902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91"/>
      <c r="W18" s="891"/>
    </row>
    <row r="19" spans="1:23" s="558" customFormat="1" ht="14.25" hidden="1" customHeight="1">
      <c r="A19" s="903"/>
      <c r="B19" s="904"/>
      <c r="C19" s="914"/>
      <c r="D19" s="906"/>
      <c r="E19" s="904"/>
      <c r="F19" s="903"/>
      <c r="G19" s="557">
        <v>0</v>
      </c>
      <c r="H19" s="557">
        <v>0</v>
      </c>
      <c r="I19" s="559" t="s">
        <v>1</v>
      </c>
      <c r="J19" s="560">
        <f>K19+N19</f>
        <v>0</v>
      </c>
      <c r="K19" s="560">
        <f>L19+M19</f>
        <v>0</v>
      </c>
      <c r="L19" s="561">
        <v>0</v>
      </c>
      <c r="M19" s="561">
        <v>0</v>
      </c>
      <c r="N19" s="560">
        <f>O19+R19+U19</f>
        <v>0</v>
      </c>
      <c r="O19" s="560">
        <f>P19+Q19</f>
        <v>0</v>
      </c>
      <c r="P19" s="561">
        <v>0</v>
      </c>
      <c r="Q19" s="561">
        <v>0</v>
      </c>
      <c r="R19" s="560">
        <f>T19+S19</f>
        <v>0</v>
      </c>
      <c r="S19" s="561">
        <v>0</v>
      </c>
      <c r="T19" s="561">
        <v>0</v>
      </c>
      <c r="U19" s="560">
        <f>V19+W19</f>
        <v>0</v>
      </c>
      <c r="V19" s="561">
        <v>0</v>
      </c>
      <c r="W19" s="561">
        <v>0</v>
      </c>
    </row>
    <row r="20" spans="1:23" s="558" customFormat="1" ht="14.25" hidden="1" customHeight="1">
      <c r="A20" s="903"/>
      <c r="B20" s="904"/>
      <c r="C20" s="914"/>
      <c r="D20" s="906"/>
      <c r="E20" s="904"/>
      <c r="F20" s="903"/>
      <c r="G20" s="557">
        <v>3534089</v>
      </c>
      <c r="H20" s="557">
        <v>478224</v>
      </c>
      <c r="I20" s="901" t="s">
        <v>2</v>
      </c>
      <c r="J20" s="890">
        <f>J17+J19</f>
        <v>8812293</v>
      </c>
      <c r="K20" s="890">
        <f>K17+K19</f>
        <v>7847450</v>
      </c>
      <c r="L20" s="890">
        <f t="shared" ref="L20:W20" si="0">L17+L19</f>
        <v>197815</v>
      </c>
      <c r="M20" s="890">
        <f t="shared" si="0"/>
        <v>7649635</v>
      </c>
      <c r="N20" s="890">
        <f t="shared" si="0"/>
        <v>964843</v>
      </c>
      <c r="O20" s="890">
        <f t="shared" si="0"/>
        <v>0</v>
      </c>
      <c r="P20" s="890">
        <f t="shared" si="0"/>
        <v>0</v>
      </c>
      <c r="Q20" s="890">
        <f t="shared" si="0"/>
        <v>0</v>
      </c>
      <c r="R20" s="890">
        <f t="shared" si="0"/>
        <v>964843</v>
      </c>
      <c r="S20" s="890">
        <f t="shared" si="0"/>
        <v>34908</v>
      </c>
      <c r="T20" s="890">
        <f t="shared" si="0"/>
        <v>929935</v>
      </c>
      <c r="U20" s="890">
        <f t="shared" si="0"/>
        <v>0</v>
      </c>
      <c r="V20" s="890">
        <f t="shared" si="0"/>
        <v>0</v>
      </c>
      <c r="W20" s="890">
        <f t="shared" si="0"/>
        <v>0</v>
      </c>
    </row>
    <row r="21" spans="1:23" s="558" customFormat="1" ht="14.25" hidden="1" customHeight="1">
      <c r="A21" s="903"/>
      <c r="B21" s="904"/>
      <c r="C21" s="915"/>
      <c r="D21" s="906"/>
      <c r="E21" s="904"/>
      <c r="F21" s="903"/>
      <c r="G21" s="557">
        <v>0</v>
      </c>
      <c r="H21" s="557">
        <v>0</v>
      </c>
      <c r="I21" s="902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1"/>
    </row>
    <row r="22" spans="1:23" s="558" customFormat="1" ht="14.25" hidden="1" customHeight="1">
      <c r="A22" s="903">
        <v>2</v>
      </c>
      <c r="B22" s="904" t="s">
        <v>938</v>
      </c>
      <c r="C22" s="913" t="s">
        <v>692</v>
      </c>
      <c r="D22" s="906" t="s">
        <v>359</v>
      </c>
      <c r="E22" s="904" t="s">
        <v>939</v>
      </c>
      <c r="F22" s="903" t="s">
        <v>940</v>
      </c>
      <c r="G22" s="557">
        <f>G24+G23+G25+G26</f>
        <v>31801658</v>
      </c>
      <c r="H22" s="557">
        <f>H23+H24+H25+H26</f>
        <v>3439835</v>
      </c>
      <c r="I22" s="901" t="s">
        <v>0</v>
      </c>
      <c r="J22" s="890">
        <f>K22+N22</f>
        <v>9014177</v>
      </c>
      <c r="K22" s="890">
        <f>L22+M22</f>
        <v>8016349</v>
      </c>
      <c r="L22" s="890">
        <v>204570</v>
      </c>
      <c r="M22" s="890">
        <v>7811779</v>
      </c>
      <c r="N22" s="890">
        <f>O22+R22+U22</f>
        <v>997828</v>
      </c>
      <c r="O22" s="890">
        <f>P22+Q22</f>
        <v>0</v>
      </c>
      <c r="P22" s="890">
        <v>0</v>
      </c>
      <c r="Q22" s="890">
        <v>0</v>
      </c>
      <c r="R22" s="890">
        <f>S22+T22</f>
        <v>997828</v>
      </c>
      <c r="S22" s="890">
        <v>36101</v>
      </c>
      <c r="T22" s="890">
        <v>961727</v>
      </c>
      <c r="U22" s="890">
        <f>V22+W22</f>
        <v>0</v>
      </c>
      <c r="V22" s="890">
        <f>W22+Z22</f>
        <v>0</v>
      </c>
      <c r="W22" s="890">
        <f>X22+AA22</f>
        <v>0</v>
      </c>
    </row>
    <row r="23" spans="1:23" s="558" customFormat="1" ht="14.25" hidden="1" customHeight="1">
      <c r="A23" s="903"/>
      <c r="B23" s="904"/>
      <c r="C23" s="914"/>
      <c r="D23" s="906"/>
      <c r="E23" s="904"/>
      <c r="F23" s="903"/>
      <c r="G23" s="557">
        <v>28094304</v>
      </c>
      <c r="H23" s="557">
        <v>2923859</v>
      </c>
      <c r="I23" s="902"/>
      <c r="J23" s="891"/>
      <c r="K23" s="891"/>
      <c r="L23" s="891"/>
      <c r="M23" s="891"/>
      <c r="N23" s="891"/>
      <c r="O23" s="891"/>
      <c r="P23" s="891"/>
      <c r="Q23" s="891"/>
      <c r="R23" s="891"/>
      <c r="S23" s="891"/>
      <c r="T23" s="891"/>
      <c r="U23" s="891"/>
      <c r="V23" s="891"/>
      <c r="W23" s="891"/>
    </row>
    <row r="24" spans="1:23" s="558" customFormat="1" ht="14.25" hidden="1" customHeight="1">
      <c r="A24" s="903"/>
      <c r="B24" s="904"/>
      <c r="C24" s="914"/>
      <c r="D24" s="906"/>
      <c r="E24" s="904"/>
      <c r="F24" s="903"/>
      <c r="G24" s="557">
        <v>0</v>
      </c>
      <c r="H24" s="557">
        <v>0</v>
      </c>
      <c r="I24" s="559" t="s">
        <v>1</v>
      </c>
      <c r="J24" s="560">
        <f>K24+N24</f>
        <v>0</v>
      </c>
      <c r="K24" s="560">
        <f>L24+M24</f>
        <v>0</v>
      </c>
      <c r="L24" s="561">
        <v>0</v>
      </c>
      <c r="M24" s="561">
        <v>0</v>
      </c>
      <c r="N24" s="560">
        <f>O24+R24+U24</f>
        <v>0</v>
      </c>
      <c r="O24" s="560">
        <f>P24+Q24</f>
        <v>0</v>
      </c>
      <c r="P24" s="561">
        <v>0</v>
      </c>
      <c r="Q24" s="561">
        <v>0</v>
      </c>
      <c r="R24" s="560">
        <f>T24+S24</f>
        <v>0</v>
      </c>
      <c r="S24" s="561">
        <v>0</v>
      </c>
      <c r="T24" s="561">
        <v>0</v>
      </c>
      <c r="U24" s="560">
        <f>V24+W24</f>
        <v>0</v>
      </c>
      <c r="V24" s="561">
        <v>0</v>
      </c>
      <c r="W24" s="561">
        <v>0</v>
      </c>
    </row>
    <row r="25" spans="1:23" s="558" customFormat="1" ht="14.25" hidden="1" customHeight="1">
      <c r="A25" s="903"/>
      <c r="B25" s="904"/>
      <c r="C25" s="914"/>
      <c r="D25" s="906"/>
      <c r="E25" s="904"/>
      <c r="F25" s="903"/>
      <c r="G25" s="557">
        <v>3707354</v>
      </c>
      <c r="H25" s="557">
        <v>515976</v>
      </c>
      <c r="I25" s="901" t="s">
        <v>2</v>
      </c>
      <c r="J25" s="890">
        <f t="shared" ref="J25:W25" si="1">J22+J24</f>
        <v>9014177</v>
      </c>
      <c r="K25" s="890">
        <f t="shared" si="1"/>
        <v>8016349</v>
      </c>
      <c r="L25" s="890">
        <f t="shared" si="1"/>
        <v>204570</v>
      </c>
      <c r="M25" s="890">
        <f t="shared" si="1"/>
        <v>7811779</v>
      </c>
      <c r="N25" s="890">
        <f t="shared" si="1"/>
        <v>997828</v>
      </c>
      <c r="O25" s="890">
        <f t="shared" si="1"/>
        <v>0</v>
      </c>
      <c r="P25" s="890">
        <f t="shared" si="1"/>
        <v>0</v>
      </c>
      <c r="Q25" s="890">
        <f t="shared" si="1"/>
        <v>0</v>
      </c>
      <c r="R25" s="890">
        <f t="shared" si="1"/>
        <v>997828</v>
      </c>
      <c r="S25" s="890">
        <f t="shared" si="1"/>
        <v>36101</v>
      </c>
      <c r="T25" s="890">
        <f t="shared" si="1"/>
        <v>961727</v>
      </c>
      <c r="U25" s="890">
        <f t="shared" si="1"/>
        <v>0</v>
      </c>
      <c r="V25" s="890">
        <f t="shared" si="1"/>
        <v>0</v>
      </c>
      <c r="W25" s="890">
        <f t="shared" si="1"/>
        <v>0</v>
      </c>
    </row>
    <row r="26" spans="1:23" s="558" customFormat="1" ht="14.25" hidden="1" customHeight="1">
      <c r="A26" s="903"/>
      <c r="B26" s="904"/>
      <c r="C26" s="915"/>
      <c r="D26" s="906"/>
      <c r="E26" s="904"/>
      <c r="F26" s="903"/>
      <c r="G26" s="557">
        <v>0</v>
      </c>
      <c r="H26" s="557">
        <v>0</v>
      </c>
      <c r="I26" s="902"/>
      <c r="J26" s="891"/>
      <c r="K26" s="891"/>
      <c r="L26" s="891"/>
      <c r="M26" s="891"/>
      <c r="N26" s="891"/>
      <c r="O26" s="891"/>
      <c r="P26" s="891"/>
      <c r="Q26" s="891"/>
      <c r="R26" s="891"/>
      <c r="S26" s="891"/>
      <c r="T26" s="891"/>
      <c r="U26" s="891"/>
      <c r="V26" s="891"/>
      <c r="W26" s="891"/>
    </row>
    <row r="27" spans="1:23" s="558" customFormat="1" ht="14.25" hidden="1" customHeight="1">
      <c r="A27" s="903">
        <v>3</v>
      </c>
      <c r="B27" s="904" t="s">
        <v>938</v>
      </c>
      <c r="C27" s="913" t="s">
        <v>691</v>
      </c>
      <c r="D27" s="906" t="s">
        <v>359</v>
      </c>
      <c r="E27" s="904" t="s">
        <v>939</v>
      </c>
      <c r="F27" s="903" t="s">
        <v>940</v>
      </c>
      <c r="G27" s="557">
        <f>G29+G28+G30+G31</f>
        <v>17661976</v>
      </c>
      <c r="H27" s="557">
        <f>H28+H29+H30+H31</f>
        <v>2481131</v>
      </c>
      <c r="I27" s="901" t="s">
        <v>0</v>
      </c>
      <c r="J27" s="890">
        <f>K27+N27</f>
        <v>4866483</v>
      </c>
      <c r="K27" s="890">
        <f>L27+M27</f>
        <v>4557261</v>
      </c>
      <c r="L27" s="890">
        <v>118507</v>
      </c>
      <c r="M27" s="890">
        <v>4438754</v>
      </c>
      <c r="N27" s="890">
        <f>O27+R27+U27</f>
        <v>309222</v>
      </c>
      <c r="O27" s="890">
        <f>P27+Q27</f>
        <v>0</v>
      </c>
      <c r="P27" s="890">
        <v>0</v>
      </c>
      <c r="Q27" s="890">
        <v>0</v>
      </c>
      <c r="R27" s="890">
        <f>S27+T27</f>
        <v>309222</v>
      </c>
      <c r="S27" s="890">
        <v>20913</v>
      </c>
      <c r="T27" s="890">
        <v>288309</v>
      </c>
      <c r="U27" s="890">
        <f>V27+W27</f>
        <v>0</v>
      </c>
      <c r="V27" s="890">
        <f>W27+Z27</f>
        <v>0</v>
      </c>
      <c r="W27" s="890">
        <f>X27+AA27</f>
        <v>0</v>
      </c>
    </row>
    <row r="28" spans="1:23" s="558" customFormat="1" ht="14.25" hidden="1" customHeight="1">
      <c r="A28" s="903"/>
      <c r="B28" s="904"/>
      <c r="C28" s="914"/>
      <c r="D28" s="906"/>
      <c r="E28" s="904"/>
      <c r="F28" s="903"/>
      <c r="G28" s="557">
        <v>16274930</v>
      </c>
      <c r="H28" s="557">
        <v>2108961</v>
      </c>
      <c r="I28" s="902"/>
      <c r="J28" s="891"/>
      <c r="K28" s="891"/>
      <c r="L28" s="891"/>
      <c r="M28" s="891"/>
      <c r="N28" s="891"/>
      <c r="O28" s="891"/>
      <c r="P28" s="891"/>
      <c r="Q28" s="891"/>
      <c r="R28" s="891"/>
      <c r="S28" s="891"/>
      <c r="T28" s="891"/>
      <c r="U28" s="891"/>
      <c r="V28" s="891"/>
      <c r="W28" s="891"/>
    </row>
    <row r="29" spans="1:23" s="558" customFormat="1" ht="14.25" hidden="1" customHeight="1">
      <c r="A29" s="903"/>
      <c r="B29" s="904"/>
      <c r="C29" s="914"/>
      <c r="D29" s="906"/>
      <c r="E29" s="904"/>
      <c r="F29" s="903"/>
      <c r="G29" s="557">
        <v>0</v>
      </c>
      <c r="H29" s="557">
        <v>0</v>
      </c>
      <c r="I29" s="559" t="s">
        <v>1</v>
      </c>
      <c r="J29" s="560">
        <f>K29+N29</f>
        <v>0</v>
      </c>
      <c r="K29" s="560">
        <f>L29+M29</f>
        <v>0</v>
      </c>
      <c r="L29" s="561">
        <v>0</v>
      </c>
      <c r="M29" s="561">
        <v>0</v>
      </c>
      <c r="N29" s="560">
        <f>O29+R29+U29</f>
        <v>0</v>
      </c>
      <c r="O29" s="560">
        <f>P29+Q29</f>
        <v>0</v>
      </c>
      <c r="P29" s="561">
        <v>0</v>
      </c>
      <c r="Q29" s="561">
        <v>0</v>
      </c>
      <c r="R29" s="560">
        <f>T29+S29</f>
        <v>0</v>
      </c>
      <c r="S29" s="561">
        <v>0</v>
      </c>
      <c r="T29" s="561">
        <v>0</v>
      </c>
      <c r="U29" s="560">
        <f>V29+W29</f>
        <v>0</v>
      </c>
      <c r="V29" s="561">
        <v>0</v>
      </c>
      <c r="W29" s="561">
        <v>0</v>
      </c>
    </row>
    <row r="30" spans="1:23" s="558" customFormat="1" ht="14.25" hidden="1" customHeight="1">
      <c r="A30" s="903"/>
      <c r="B30" s="904"/>
      <c r="C30" s="914"/>
      <c r="D30" s="906"/>
      <c r="E30" s="904"/>
      <c r="F30" s="903"/>
      <c r="G30" s="557">
        <v>1387046</v>
      </c>
      <c r="H30" s="557">
        <v>372170</v>
      </c>
      <c r="I30" s="901" t="s">
        <v>2</v>
      </c>
      <c r="J30" s="890">
        <f t="shared" ref="J30:W30" si="2">J27+J29</f>
        <v>4866483</v>
      </c>
      <c r="K30" s="890">
        <f t="shared" si="2"/>
        <v>4557261</v>
      </c>
      <c r="L30" s="890">
        <f t="shared" si="2"/>
        <v>118507</v>
      </c>
      <c r="M30" s="890">
        <f t="shared" si="2"/>
        <v>4438754</v>
      </c>
      <c r="N30" s="890">
        <f t="shared" si="2"/>
        <v>309222</v>
      </c>
      <c r="O30" s="890">
        <f t="shared" si="2"/>
        <v>0</v>
      </c>
      <c r="P30" s="890">
        <f t="shared" si="2"/>
        <v>0</v>
      </c>
      <c r="Q30" s="890">
        <f t="shared" si="2"/>
        <v>0</v>
      </c>
      <c r="R30" s="890">
        <f t="shared" si="2"/>
        <v>309222</v>
      </c>
      <c r="S30" s="890">
        <f t="shared" si="2"/>
        <v>20913</v>
      </c>
      <c r="T30" s="890">
        <f t="shared" si="2"/>
        <v>288309</v>
      </c>
      <c r="U30" s="890">
        <f t="shared" si="2"/>
        <v>0</v>
      </c>
      <c r="V30" s="890">
        <f t="shared" si="2"/>
        <v>0</v>
      </c>
      <c r="W30" s="890">
        <f t="shared" si="2"/>
        <v>0</v>
      </c>
    </row>
    <row r="31" spans="1:23" s="558" customFormat="1" ht="14.25" hidden="1" customHeight="1">
      <c r="A31" s="903"/>
      <c r="B31" s="904"/>
      <c r="C31" s="915"/>
      <c r="D31" s="906"/>
      <c r="E31" s="904"/>
      <c r="F31" s="903"/>
      <c r="G31" s="557">
        <v>0</v>
      </c>
      <c r="H31" s="557">
        <v>0</v>
      </c>
      <c r="I31" s="902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891"/>
      <c r="U31" s="891"/>
      <c r="V31" s="891"/>
      <c r="W31" s="891"/>
    </row>
    <row r="32" spans="1:23" s="558" customFormat="1" ht="14.25" customHeight="1">
      <c r="A32" s="903">
        <v>1</v>
      </c>
      <c r="B32" s="904" t="s">
        <v>941</v>
      </c>
      <c r="C32" s="913" t="s">
        <v>942</v>
      </c>
      <c r="D32" s="906" t="s">
        <v>359</v>
      </c>
      <c r="E32" s="904" t="s">
        <v>943</v>
      </c>
      <c r="F32" s="903" t="s">
        <v>944</v>
      </c>
      <c r="G32" s="557">
        <f>G34+G33+G35+G36</f>
        <v>58452500</v>
      </c>
      <c r="H32" s="557">
        <f>H33+H34+H35+H36</f>
        <v>12481728</v>
      </c>
      <c r="I32" s="901" t="s">
        <v>0</v>
      </c>
      <c r="J32" s="890">
        <f>K32+N32</f>
        <v>27065000</v>
      </c>
      <c r="K32" s="890">
        <f>L32+M32</f>
        <v>23005250</v>
      </c>
      <c r="L32" s="890">
        <v>23005250</v>
      </c>
      <c r="M32" s="890">
        <v>0</v>
      </c>
      <c r="N32" s="890">
        <f>O32+R32+U32</f>
        <v>4059750</v>
      </c>
      <c r="O32" s="890">
        <f>P32+Q32</f>
        <v>0</v>
      </c>
      <c r="P32" s="890">
        <v>0</v>
      </c>
      <c r="Q32" s="890">
        <v>0</v>
      </c>
      <c r="R32" s="890">
        <f>S32+T32</f>
        <v>4059750</v>
      </c>
      <c r="S32" s="890">
        <v>4059750</v>
      </c>
      <c r="T32" s="890">
        <v>0</v>
      </c>
      <c r="U32" s="890">
        <f>V32+W32</f>
        <v>0</v>
      </c>
      <c r="V32" s="890">
        <f>W32+Z32</f>
        <v>0</v>
      </c>
      <c r="W32" s="890">
        <f>X32+AA32</f>
        <v>0</v>
      </c>
    </row>
    <row r="33" spans="1:23" s="558" customFormat="1" ht="14.25" customHeight="1">
      <c r="A33" s="903"/>
      <c r="B33" s="904"/>
      <c r="C33" s="914"/>
      <c r="D33" s="906"/>
      <c r="E33" s="904"/>
      <c r="F33" s="903"/>
      <c r="G33" s="557">
        <v>49684625</v>
      </c>
      <c r="H33" s="557">
        <v>10609468</v>
      </c>
      <c r="I33" s="902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</row>
    <row r="34" spans="1:23" s="558" customFormat="1" ht="24" customHeight="1">
      <c r="A34" s="903"/>
      <c r="B34" s="904"/>
      <c r="C34" s="914"/>
      <c r="D34" s="906"/>
      <c r="E34" s="904"/>
      <c r="F34" s="903"/>
      <c r="G34" s="557">
        <v>0</v>
      </c>
      <c r="H34" s="557">
        <v>0</v>
      </c>
      <c r="I34" s="559" t="s">
        <v>1</v>
      </c>
      <c r="J34" s="560">
        <f>K34+N34</f>
        <v>8754297</v>
      </c>
      <c r="K34" s="560">
        <f>L34+M34</f>
        <v>7441152</v>
      </c>
      <c r="L34" s="561">
        <v>7441152</v>
      </c>
      <c r="M34" s="561">
        <v>0</v>
      </c>
      <c r="N34" s="560">
        <f>O34+R34+U34</f>
        <v>1313145</v>
      </c>
      <c r="O34" s="560">
        <f>P34+Q34</f>
        <v>0</v>
      </c>
      <c r="P34" s="561">
        <v>0</v>
      </c>
      <c r="Q34" s="561">
        <v>0</v>
      </c>
      <c r="R34" s="560">
        <f>T34+S34</f>
        <v>1313145</v>
      </c>
      <c r="S34" s="561">
        <v>1313145</v>
      </c>
      <c r="T34" s="561">
        <v>0</v>
      </c>
      <c r="U34" s="560">
        <f>V34+W34</f>
        <v>0</v>
      </c>
      <c r="V34" s="561">
        <v>0</v>
      </c>
      <c r="W34" s="561">
        <v>0</v>
      </c>
    </row>
    <row r="35" spans="1:23" s="558" customFormat="1" ht="14.25" customHeight="1">
      <c r="A35" s="903"/>
      <c r="B35" s="904"/>
      <c r="C35" s="914"/>
      <c r="D35" s="906"/>
      <c r="E35" s="904"/>
      <c r="F35" s="903"/>
      <c r="G35" s="557">
        <v>8767875</v>
      </c>
      <c r="H35" s="557">
        <v>1872260</v>
      </c>
      <c r="I35" s="901" t="s">
        <v>2</v>
      </c>
      <c r="J35" s="890">
        <f t="shared" ref="J35:W35" si="3">J32+J34</f>
        <v>35819297</v>
      </c>
      <c r="K35" s="890">
        <f t="shared" si="3"/>
        <v>30446402</v>
      </c>
      <c r="L35" s="890">
        <f t="shared" si="3"/>
        <v>30446402</v>
      </c>
      <c r="M35" s="890">
        <f t="shared" si="3"/>
        <v>0</v>
      </c>
      <c r="N35" s="890">
        <f t="shared" si="3"/>
        <v>5372895</v>
      </c>
      <c r="O35" s="890">
        <f t="shared" si="3"/>
        <v>0</v>
      </c>
      <c r="P35" s="890">
        <f t="shared" si="3"/>
        <v>0</v>
      </c>
      <c r="Q35" s="890">
        <f t="shared" si="3"/>
        <v>0</v>
      </c>
      <c r="R35" s="890">
        <f t="shared" si="3"/>
        <v>5372895</v>
      </c>
      <c r="S35" s="890">
        <f t="shared" si="3"/>
        <v>5372895</v>
      </c>
      <c r="T35" s="890">
        <f t="shared" si="3"/>
        <v>0</v>
      </c>
      <c r="U35" s="890">
        <f t="shared" si="3"/>
        <v>0</v>
      </c>
      <c r="V35" s="890">
        <f t="shared" si="3"/>
        <v>0</v>
      </c>
      <c r="W35" s="890">
        <f t="shared" si="3"/>
        <v>0</v>
      </c>
    </row>
    <row r="36" spans="1:23" s="558" customFormat="1" ht="14.25" customHeight="1">
      <c r="A36" s="903"/>
      <c r="B36" s="904"/>
      <c r="C36" s="915"/>
      <c r="D36" s="906"/>
      <c r="E36" s="904"/>
      <c r="F36" s="903"/>
      <c r="G36" s="557">
        <v>0</v>
      </c>
      <c r="H36" s="557">
        <v>0</v>
      </c>
      <c r="I36" s="902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</row>
    <row r="37" spans="1:23" s="558" customFormat="1" ht="14.25" hidden="1" customHeight="1">
      <c r="A37" s="903">
        <v>5</v>
      </c>
      <c r="B37" s="904" t="s">
        <v>941</v>
      </c>
      <c r="C37" s="913" t="s">
        <v>945</v>
      </c>
      <c r="D37" s="906" t="s">
        <v>359</v>
      </c>
      <c r="E37" s="904" t="s">
        <v>946</v>
      </c>
      <c r="F37" s="903" t="s">
        <v>947</v>
      </c>
      <c r="G37" s="557">
        <f>G39+G38+G40+G41</f>
        <v>3226422</v>
      </c>
      <c r="H37" s="557">
        <f>H38+H39+H40+H41</f>
        <v>200462</v>
      </c>
      <c r="I37" s="901" t="s">
        <v>0</v>
      </c>
      <c r="J37" s="890">
        <f>K37+N37</f>
        <v>682734</v>
      </c>
      <c r="K37" s="890">
        <f>L37+M37</f>
        <v>580324</v>
      </c>
      <c r="L37" s="890">
        <v>580324</v>
      </c>
      <c r="M37" s="890">
        <v>0</v>
      </c>
      <c r="N37" s="890">
        <f>O37+R37+U37</f>
        <v>102410</v>
      </c>
      <c r="O37" s="890">
        <f>P37+Q37</f>
        <v>0</v>
      </c>
      <c r="P37" s="890">
        <v>0</v>
      </c>
      <c r="Q37" s="890">
        <v>0</v>
      </c>
      <c r="R37" s="890">
        <f>S37+T37</f>
        <v>102410</v>
      </c>
      <c r="S37" s="890">
        <v>102410</v>
      </c>
      <c r="T37" s="890">
        <v>0</v>
      </c>
      <c r="U37" s="890">
        <f>V37+W37</f>
        <v>0</v>
      </c>
      <c r="V37" s="890">
        <f>W37+Z37</f>
        <v>0</v>
      </c>
      <c r="W37" s="890">
        <f>X37+AA37</f>
        <v>0</v>
      </c>
    </row>
    <row r="38" spans="1:23" s="558" customFormat="1" ht="14.25" hidden="1" customHeight="1">
      <c r="A38" s="903"/>
      <c r="B38" s="904"/>
      <c r="C38" s="914"/>
      <c r="D38" s="906"/>
      <c r="E38" s="904"/>
      <c r="F38" s="903"/>
      <c r="G38" s="557">
        <v>2742458</v>
      </c>
      <c r="H38" s="557">
        <v>170392</v>
      </c>
      <c r="I38" s="902"/>
      <c r="J38" s="891"/>
      <c r="K38" s="891"/>
      <c r="L38" s="891"/>
      <c r="M38" s="891"/>
      <c r="N38" s="891"/>
      <c r="O38" s="891"/>
      <c r="P38" s="891"/>
      <c r="Q38" s="891"/>
      <c r="R38" s="891"/>
      <c r="S38" s="891"/>
      <c r="T38" s="891"/>
      <c r="U38" s="891"/>
      <c r="V38" s="891"/>
      <c r="W38" s="891"/>
    </row>
    <row r="39" spans="1:23" s="558" customFormat="1" ht="14.25" hidden="1" customHeight="1">
      <c r="A39" s="903"/>
      <c r="B39" s="904"/>
      <c r="C39" s="914"/>
      <c r="D39" s="906"/>
      <c r="E39" s="904"/>
      <c r="F39" s="903"/>
      <c r="G39" s="557">
        <v>0</v>
      </c>
      <c r="H39" s="557">
        <v>0</v>
      </c>
      <c r="I39" s="559" t="s">
        <v>1</v>
      </c>
      <c r="J39" s="560">
        <f>K39+N39</f>
        <v>0</v>
      </c>
      <c r="K39" s="560">
        <f>L39+M39</f>
        <v>0</v>
      </c>
      <c r="L39" s="561">
        <v>0</v>
      </c>
      <c r="M39" s="561">
        <v>0</v>
      </c>
      <c r="N39" s="560">
        <f>O39+R39+U39</f>
        <v>0</v>
      </c>
      <c r="O39" s="560">
        <f>P39+Q39</f>
        <v>0</v>
      </c>
      <c r="P39" s="561">
        <v>0</v>
      </c>
      <c r="Q39" s="561">
        <v>0</v>
      </c>
      <c r="R39" s="560">
        <f>T39+S39</f>
        <v>0</v>
      </c>
      <c r="S39" s="561">
        <v>0</v>
      </c>
      <c r="T39" s="561">
        <v>0</v>
      </c>
      <c r="U39" s="560">
        <f>V39+W39</f>
        <v>0</v>
      </c>
      <c r="V39" s="561">
        <v>0</v>
      </c>
      <c r="W39" s="561">
        <v>0</v>
      </c>
    </row>
    <row r="40" spans="1:23" s="558" customFormat="1" ht="14.25" hidden="1" customHeight="1">
      <c r="A40" s="903"/>
      <c r="B40" s="904"/>
      <c r="C40" s="914"/>
      <c r="D40" s="906"/>
      <c r="E40" s="904"/>
      <c r="F40" s="903"/>
      <c r="G40" s="557">
        <v>483964</v>
      </c>
      <c r="H40" s="557">
        <v>30070</v>
      </c>
      <c r="I40" s="901" t="s">
        <v>2</v>
      </c>
      <c r="J40" s="890">
        <f t="shared" ref="J40:W40" si="4">J37+J39</f>
        <v>682734</v>
      </c>
      <c r="K40" s="890">
        <f t="shared" si="4"/>
        <v>580324</v>
      </c>
      <c r="L40" s="890">
        <f t="shared" si="4"/>
        <v>580324</v>
      </c>
      <c r="M40" s="890">
        <f t="shared" si="4"/>
        <v>0</v>
      </c>
      <c r="N40" s="890">
        <f t="shared" si="4"/>
        <v>102410</v>
      </c>
      <c r="O40" s="890">
        <f t="shared" si="4"/>
        <v>0</v>
      </c>
      <c r="P40" s="890">
        <f t="shared" si="4"/>
        <v>0</v>
      </c>
      <c r="Q40" s="890">
        <f t="shared" si="4"/>
        <v>0</v>
      </c>
      <c r="R40" s="890">
        <f t="shared" si="4"/>
        <v>102410</v>
      </c>
      <c r="S40" s="890">
        <f t="shared" si="4"/>
        <v>102410</v>
      </c>
      <c r="T40" s="890">
        <f t="shared" si="4"/>
        <v>0</v>
      </c>
      <c r="U40" s="890">
        <f t="shared" si="4"/>
        <v>0</v>
      </c>
      <c r="V40" s="890">
        <f t="shared" si="4"/>
        <v>0</v>
      </c>
      <c r="W40" s="890">
        <f t="shared" si="4"/>
        <v>0</v>
      </c>
    </row>
    <row r="41" spans="1:23" s="558" customFormat="1" ht="14.25" hidden="1" customHeight="1">
      <c r="A41" s="903"/>
      <c r="B41" s="904"/>
      <c r="C41" s="915"/>
      <c r="D41" s="906"/>
      <c r="E41" s="904"/>
      <c r="F41" s="903"/>
      <c r="G41" s="557">
        <v>0</v>
      </c>
      <c r="H41" s="557">
        <v>0</v>
      </c>
      <c r="I41" s="902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1"/>
    </row>
    <row r="42" spans="1:23" s="558" customFormat="1" ht="14.25" hidden="1" customHeight="1">
      <c r="A42" s="903">
        <v>6</v>
      </c>
      <c r="B42" s="904" t="s">
        <v>941</v>
      </c>
      <c r="C42" s="913" t="s">
        <v>684</v>
      </c>
      <c r="D42" s="906" t="s">
        <v>359</v>
      </c>
      <c r="E42" s="904" t="s">
        <v>946</v>
      </c>
      <c r="F42" s="903" t="s">
        <v>948</v>
      </c>
      <c r="G42" s="557">
        <f>G44+G43+G45+G46</f>
        <v>22060033</v>
      </c>
      <c r="H42" s="557">
        <f>H43+H44+H45+H46</f>
        <v>2044921</v>
      </c>
      <c r="I42" s="901" t="s">
        <v>0</v>
      </c>
      <c r="J42" s="890">
        <f>K42+N42</f>
        <v>5003261</v>
      </c>
      <c r="K42" s="890">
        <f>L42+M42</f>
        <v>4108728</v>
      </c>
      <c r="L42" s="890">
        <v>4108728</v>
      </c>
      <c r="M42" s="890">
        <v>0</v>
      </c>
      <c r="N42" s="890">
        <f>O42+R42+U42</f>
        <v>894533</v>
      </c>
      <c r="O42" s="890">
        <f>P42+Q42</f>
        <v>0</v>
      </c>
      <c r="P42" s="890">
        <v>0</v>
      </c>
      <c r="Q42" s="890">
        <v>0</v>
      </c>
      <c r="R42" s="890">
        <f>S42+T42</f>
        <v>894533</v>
      </c>
      <c r="S42" s="890">
        <v>894533</v>
      </c>
      <c r="T42" s="890">
        <v>0</v>
      </c>
      <c r="U42" s="890">
        <f>V42+W42</f>
        <v>0</v>
      </c>
      <c r="V42" s="890">
        <f>W42+Z42</f>
        <v>0</v>
      </c>
      <c r="W42" s="890">
        <f>X42+AA42</f>
        <v>0</v>
      </c>
    </row>
    <row r="43" spans="1:23" s="558" customFormat="1" ht="14.25" hidden="1" customHeight="1">
      <c r="A43" s="903"/>
      <c r="B43" s="904"/>
      <c r="C43" s="914"/>
      <c r="D43" s="906"/>
      <c r="E43" s="904"/>
      <c r="F43" s="903"/>
      <c r="G43" s="557">
        <v>18006529</v>
      </c>
      <c r="H43" s="557">
        <v>1478564</v>
      </c>
      <c r="I43" s="902"/>
      <c r="J43" s="891"/>
      <c r="K43" s="891"/>
      <c r="L43" s="891"/>
      <c r="M43" s="891"/>
      <c r="N43" s="891"/>
      <c r="O43" s="891"/>
      <c r="P43" s="891"/>
      <c r="Q43" s="891"/>
      <c r="R43" s="891"/>
      <c r="S43" s="891"/>
      <c r="T43" s="891"/>
      <c r="U43" s="891"/>
      <c r="V43" s="891"/>
      <c r="W43" s="891"/>
    </row>
    <row r="44" spans="1:23" s="558" customFormat="1" ht="14.25" hidden="1" customHeight="1">
      <c r="A44" s="903"/>
      <c r="B44" s="904"/>
      <c r="C44" s="914"/>
      <c r="D44" s="906"/>
      <c r="E44" s="904"/>
      <c r="F44" s="903"/>
      <c r="G44" s="557">
        <v>0</v>
      </c>
      <c r="H44" s="557">
        <v>0</v>
      </c>
      <c r="I44" s="559" t="s">
        <v>1</v>
      </c>
      <c r="J44" s="560">
        <f>K44+N44</f>
        <v>0</v>
      </c>
      <c r="K44" s="560">
        <f>L44+M44</f>
        <v>0</v>
      </c>
      <c r="L44" s="561">
        <v>0</v>
      </c>
      <c r="M44" s="561">
        <v>0</v>
      </c>
      <c r="N44" s="560">
        <f>O44+R44+U44</f>
        <v>0</v>
      </c>
      <c r="O44" s="560">
        <f>P44+Q44</f>
        <v>0</v>
      </c>
      <c r="P44" s="561">
        <v>0</v>
      </c>
      <c r="Q44" s="561">
        <v>0</v>
      </c>
      <c r="R44" s="560">
        <f>T44+S44</f>
        <v>0</v>
      </c>
      <c r="S44" s="561">
        <v>0</v>
      </c>
      <c r="T44" s="561">
        <v>0</v>
      </c>
      <c r="U44" s="560">
        <f>V44+W44</f>
        <v>0</v>
      </c>
      <c r="V44" s="561">
        <v>0</v>
      </c>
      <c r="W44" s="561">
        <v>0</v>
      </c>
    </row>
    <row r="45" spans="1:23" s="558" customFormat="1" ht="14.25" hidden="1" customHeight="1">
      <c r="A45" s="903"/>
      <c r="B45" s="904"/>
      <c r="C45" s="914"/>
      <c r="D45" s="906"/>
      <c r="E45" s="904"/>
      <c r="F45" s="903"/>
      <c r="G45" s="557">
        <v>4053504</v>
      </c>
      <c r="H45" s="557">
        <v>566357</v>
      </c>
      <c r="I45" s="901" t="s">
        <v>2</v>
      </c>
      <c r="J45" s="890">
        <f t="shared" ref="J45:W45" si="5">J42+J44</f>
        <v>5003261</v>
      </c>
      <c r="K45" s="890">
        <f t="shared" si="5"/>
        <v>4108728</v>
      </c>
      <c r="L45" s="890">
        <f t="shared" si="5"/>
        <v>4108728</v>
      </c>
      <c r="M45" s="890">
        <f t="shared" si="5"/>
        <v>0</v>
      </c>
      <c r="N45" s="890">
        <f t="shared" si="5"/>
        <v>894533</v>
      </c>
      <c r="O45" s="890">
        <f t="shared" si="5"/>
        <v>0</v>
      </c>
      <c r="P45" s="890">
        <f t="shared" si="5"/>
        <v>0</v>
      </c>
      <c r="Q45" s="890">
        <f t="shared" si="5"/>
        <v>0</v>
      </c>
      <c r="R45" s="890">
        <f t="shared" si="5"/>
        <v>894533</v>
      </c>
      <c r="S45" s="890">
        <f t="shared" si="5"/>
        <v>894533</v>
      </c>
      <c r="T45" s="890">
        <f t="shared" si="5"/>
        <v>0</v>
      </c>
      <c r="U45" s="890">
        <f t="shared" si="5"/>
        <v>0</v>
      </c>
      <c r="V45" s="890">
        <f t="shared" si="5"/>
        <v>0</v>
      </c>
      <c r="W45" s="890">
        <f t="shared" si="5"/>
        <v>0</v>
      </c>
    </row>
    <row r="46" spans="1:23" s="558" customFormat="1" ht="14.25" hidden="1" customHeight="1">
      <c r="A46" s="903"/>
      <c r="B46" s="904"/>
      <c r="C46" s="915"/>
      <c r="D46" s="906"/>
      <c r="E46" s="904"/>
      <c r="F46" s="903"/>
      <c r="G46" s="557">
        <v>0</v>
      </c>
      <c r="H46" s="557">
        <v>0</v>
      </c>
      <c r="I46" s="902"/>
      <c r="J46" s="891"/>
      <c r="K46" s="891"/>
      <c r="L46" s="891"/>
      <c r="M46" s="891"/>
      <c r="N46" s="891"/>
      <c r="O46" s="891"/>
      <c r="P46" s="891"/>
      <c r="Q46" s="891"/>
      <c r="R46" s="891"/>
      <c r="S46" s="891"/>
      <c r="T46" s="891"/>
      <c r="U46" s="891"/>
      <c r="V46" s="891"/>
      <c r="W46" s="891"/>
    </row>
    <row r="47" spans="1:23" s="558" customFormat="1" ht="14.25" hidden="1" customHeight="1">
      <c r="A47" s="903">
        <v>7</v>
      </c>
      <c r="B47" s="904" t="s">
        <v>949</v>
      </c>
      <c r="C47" s="913" t="s">
        <v>950</v>
      </c>
      <c r="D47" s="906" t="s">
        <v>951</v>
      </c>
      <c r="E47" s="904" t="s">
        <v>952</v>
      </c>
      <c r="F47" s="903">
        <v>2025</v>
      </c>
      <c r="G47" s="557">
        <f>G48+G49+G50+G51</f>
        <v>1573772</v>
      </c>
      <c r="H47" s="557">
        <f>H48+H49+H50+H51</f>
        <v>0</v>
      </c>
      <c r="I47" s="901" t="s">
        <v>0</v>
      </c>
      <c r="J47" s="890">
        <f>K47+N47</f>
        <v>1573772</v>
      </c>
      <c r="K47" s="890">
        <f>L47+M47</f>
        <v>1337706</v>
      </c>
      <c r="L47" s="890">
        <v>38418</v>
      </c>
      <c r="M47" s="890">
        <v>1299288</v>
      </c>
      <c r="N47" s="890">
        <f>O47+R47+U47</f>
        <v>236066</v>
      </c>
      <c r="O47" s="890">
        <f>P47+Q47</f>
        <v>0</v>
      </c>
      <c r="P47" s="890">
        <v>0</v>
      </c>
      <c r="Q47" s="890">
        <v>0</v>
      </c>
      <c r="R47" s="890">
        <f>S47+T47</f>
        <v>236066</v>
      </c>
      <c r="S47" s="890">
        <v>6780</v>
      </c>
      <c r="T47" s="890">
        <v>229286</v>
      </c>
      <c r="U47" s="890">
        <f>V47+W47</f>
        <v>0</v>
      </c>
      <c r="V47" s="890">
        <f>W47+Z47</f>
        <v>0</v>
      </c>
      <c r="W47" s="890">
        <f>X47+AA47</f>
        <v>0</v>
      </c>
    </row>
    <row r="48" spans="1:23" s="558" customFormat="1" ht="14.25" hidden="1" customHeight="1">
      <c r="A48" s="903"/>
      <c r="B48" s="904"/>
      <c r="C48" s="914"/>
      <c r="D48" s="906"/>
      <c r="E48" s="904"/>
      <c r="F48" s="903"/>
      <c r="G48" s="557">
        <v>1337706</v>
      </c>
      <c r="H48" s="557">
        <v>0</v>
      </c>
      <c r="I48" s="902"/>
      <c r="J48" s="891"/>
      <c r="K48" s="891"/>
      <c r="L48" s="891"/>
      <c r="M48" s="891"/>
      <c r="N48" s="891"/>
      <c r="O48" s="891"/>
      <c r="P48" s="891"/>
      <c r="Q48" s="891"/>
      <c r="R48" s="891"/>
      <c r="S48" s="891"/>
      <c r="T48" s="891"/>
      <c r="U48" s="891"/>
      <c r="V48" s="891"/>
      <c r="W48" s="891"/>
    </row>
    <row r="49" spans="1:23" s="558" customFormat="1" ht="14.25" hidden="1" customHeight="1">
      <c r="A49" s="903"/>
      <c r="B49" s="904"/>
      <c r="C49" s="914"/>
      <c r="D49" s="906"/>
      <c r="E49" s="904"/>
      <c r="F49" s="903"/>
      <c r="G49" s="557">
        <v>0</v>
      </c>
      <c r="H49" s="557">
        <v>0</v>
      </c>
      <c r="I49" s="559" t="s">
        <v>1</v>
      </c>
      <c r="J49" s="560">
        <f>K49+N49</f>
        <v>0</v>
      </c>
      <c r="K49" s="560">
        <f>L49+M49</f>
        <v>0</v>
      </c>
      <c r="L49" s="561">
        <v>0</v>
      </c>
      <c r="M49" s="561">
        <v>0</v>
      </c>
      <c r="N49" s="560">
        <f>O49+R49+U49</f>
        <v>0</v>
      </c>
      <c r="O49" s="560">
        <f>P49+Q49</f>
        <v>0</v>
      </c>
      <c r="P49" s="561">
        <v>0</v>
      </c>
      <c r="Q49" s="561">
        <v>0</v>
      </c>
      <c r="R49" s="560">
        <f>T49+S49</f>
        <v>0</v>
      </c>
      <c r="S49" s="561">
        <v>0</v>
      </c>
      <c r="T49" s="561">
        <v>0</v>
      </c>
      <c r="U49" s="560">
        <f>V49+W49</f>
        <v>0</v>
      </c>
      <c r="V49" s="561">
        <v>0</v>
      </c>
      <c r="W49" s="561">
        <v>0</v>
      </c>
    </row>
    <row r="50" spans="1:23" s="558" customFormat="1" ht="14.25" hidden="1" customHeight="1">
      <c r="A50" s="903"/>
      <c r="B50" s="904"/>
      <c r="C50" s="914"/>
      <c r="D50" s="906"/>
      <c r="E50" s="904"/>
      <c r="F50" s="903"/>
      <c r="G50" s="557">
        <v>236066</v>
      </c>
      <c r="H50" s="557">
        <v>0</v>
      </c>
      <c r="I50" s="901" t="s">
        <v>2</v>
      </c>
      <c r="J50" s="890">
        <f t="shared" ref="J50:W50" si="6">J47+J49</f>
        <v>1573772</v>
      </c>
      <c r="K50" s="890">
        <f t="shared" si="6"/>
        <v>1337706</v>
      </c>
      <c r="L50" s="890">
        <f t="shared" si="6"/>
        <v>38418</v>
      </c>
      <c r="M50" s="890">
        <f t="shared" si="6"/>
        <v>1299288</v>
      </c>
      <c r="N50" s="890">
        <f t="shared" si="6"/>
        <v>236066</v>
      </c>
      <c r="O50" s="890">
        <f t="shared" si="6"/>
        <v>0</v>
      </c>
      <c r="P50" s="890">
        <f t="shared" si="6"/>
        <v>0</v>
      </c>
      <c r="Q50" s="890">
        <f t="shared" si="6"/>
        <v>0</v>
      </c>
      <c r="R50" s="890">
        <f t="shared" si="6"/>
        <v>236066</v>
      </c>
      <c r="S50" s="890">
        <f t="shared" si="6"/>
        <v>6780</v>
      </c>
      <c r="T50" s="890">
        <f t="shared" si="6"/>
        <v>229286</v>
      </c>
      <c r="U50" s="890">
        <f t="shared" si="6"/>
        <v>0</v>
      </c>
      <c r="V50" s="890">
        <f t="shared" si="6"/>
        <v>0</v>
      </c>
      <c r="W50" s="890">
        <f t="shared" si="6"/>
        <v>0</v>
      </c>
    </row>
    <row r="51" spans="1:23" s="558" customFormat="1" ht="14.25" hidden="1" customHeight="1">
      <c r="A51" s="903"/>
      <c r="B51" s="904"/>
      <c r="C51" s="915"/>
      <c r="D51" s="906"/>
      <c r="E51" s="904"/>
      <c r="F51" s="903"/>
      <c r="G51" s="557">
        <v>0</v>
      </c>
      <c r="H51" s="557">
        <v>0</v>
      </c>
      <c r="I51" s="902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1"/>
    </row>
    <row r="52" spans="1:23" s="558" customFormat="1" ht="14.25" hidden="1" customHeight="1">
      <c r="A52" s="903">
        <v>1</v>
      </c>
      <c r="B52" s="904" t="s">
        <v>953</v>
      </c>
      <c r="C52" s="913" t="s">
        <v>954</v>
      </c>
      <c r="D52" s="906" t="s">
        <v>955</v>
      </c>
      <c r="E52" s="904" t="s">
        <v>956</v>
      </c>
      <c r="F52" s="903" t="s">
        <v>947</v>
      </c>
      <c r="G52" s="557">
        <f>G54+G53+G55+G56</f>
        <v>8208530</v>
      </c>
      <c r="H52" s="557">
        <f>H53+H54+H55+H56</f>
        <v>76284</v>
      </c>
      <c r="I52" s="901" t="s">
        <v>0</v>
      </c>
      <c r="J52" s="890">
        <f>K52+N52</f>
        <v>2703432</v>
      </c>
      <c r="K52" s="890">
        <f>L52+M52</f>
        <v>2297918</v>
      </c>
      <c r="L52" s="890">
        <v>2297918</v>
      </c>
      <c r="M52" s="890">
        <v>0</v>
      </c>
      <c r="N52" s="890">
        <f>O52+R52+U52</f>
        <v>405514</v>
      </c>
      <c r="O52" s="890">
        <f>P52+Q52</f>
        <v>0</v>
      </c>
      <c r="P52" s="890">
        <v>0</v>
      </c>
      <c r="Q52" s="890">
        <v>0</v>
      </c>
      <c r="R52" s="890">
        <f>S52+T52</f>
        <v>127542</v>
      </c>
      <c r="S52" s="890">
        <v>127542</v>
      </c>
      <c r="T52" s="890">
        <v>0</v>
      </c>
      <c r="U52" s="890">
        <f>V52+W52</f>
        <v>277972</v>
      </c>
      <c r="V52" s="890">
        <v>277972</v>
      </c>
      <c r="W52" s="890">
        <f>X52+AA52</f>
        <v>0</v>
      </c>
    </row>
    <row r="53" spans="1:23" s="558" customFormat="1" ht="14.25" hidden="1" customHeight="1">
      <c r="A53" s="903"/>
      <c r="B53" s="904"/>
      <c r="C53" s="914"/>
      <c r="D53" s="906"/>
      <c r="E53" s="904"/>
      <c r="F53" s="903"/>
      <c r="G53" s="557">
        <v>6977251</v>
      </c>
      <c r="H53" s="557">
        <v>64841</v>
      </c>
      <c r="I53" s="902"/>
      <c r="J53" s="891"/>
      <c r="K53" s="891"/>
      <c r="L53" s="891"/>
      <c r="M53" s="891"/>
      <c r="N53" s="891"/>
      <c r="O53" s="891"/>
      <c r="P53" s="891"/>
      <c r="Q53" s="891"/>
      <c r="R53" s="891"/>
      <c r="S53" s="891"/>
      <c r="T53" s="891"/>
      <c r="U53" s="891"/>
      <c r="V53" s="891"/>
      <c r="W53" s="891"/>
    </row>
    <row r="54" spans="1:23" s="558" customFormat="1" ht="14.25" hidden="1" customHeight="1">
      <c r="A54" s="903"/>
      <c r="B54" s="904"/>
      <c r="C54" s="914"/>
      <c r="D54" s="906"/>
      <c r="E54" s="904"/>
      <c r="F54" s="903"/>
      <c r="G54" s="557">
        <v>0</v>
      </c>
      <c r="H54" s="557">
        <v>0</v>
      </c>
      <c r="I54" s="559" t="s">
        <v>1</v>
      </c>
      <c r="J54" s="560">
        <f>K54+N54</f>
        <v>0</v>
      </c>
      <c r="K54" s="560">
        <f>L54+M54</f>
        <v>0</v>
      </c>
      <c r="L54" s="561">
        <v>0</v>
      </c>
      <c r="M54" s="561">
        <v>0</v>
      </c>
      <c r="N54" s="560">
        <f>O54+R54+U54</f>
        <v>0</v>
      </c>
      <c r="O54" s="560">
        <f>P54+Q54</f>
        <v>0</v>
      </c>
      <c r="P54" s="561">
        <v>0</v>
      </c>
      <c r="Q54" s="561">
        <v>0</v>
      </c>
      <c r="R54" s="560">
        <f>T54+S54</f>
        <v>0</v>
      </c>
      <c r="S54" s="561">
        <v>0</v>
      </c>
      <c r="T54" s="561">
        <v>0</v>
      </c>
      <c r="U54" s="560">
        <f>V54+W54</f>
        <v>0</v>
      </c>
      <c r="V54" s="561">
        <v>0</v>
      </c>
      <c r="W54" s="561">
        <v>0</v>
      </c>
    </row>
    <row r="55" spans="1:23" s="558" customFormat="1" ht="14.25" hidden="1" customHeight="1">
      <c r="A55" s="903"/>
      <c r="B55" s="904"/>
      <c r="C55" s="914"/>
      <c r="D55" s="906"/>
      <c r="E55" s="904"/>
      <c r="F55" s="903"/>
      <c r="G55" s="557">
        <v>410426</v>
      </c>
      <c r="H55" s="557">
        <v>11443</v>
      </c>
      <c r="I55" s="901" t="s">
        <v>2</v>
      </c>
      <c r="J55" s="890">
        <f t="shared" ref="J55:W55" si="7">J52+J54</f>
        <v>2703432</v>
      </c>
      <c r="K55" s="890">
        <f t="shared" si="7"/>
        <v>2297918</v>
      </c>
      <c r="L55" s="890">
        <f t="shared" si="7"/>
        <v>2297918</v>
      </c>
      <c r="M55" s="890">
        <f t="shared" si="7"/>
        <v>0</v>
      </c>
      <c r="N55" s="890">
        <f t="shared" si="7"/>
        <v>405514</v>
      </c>
      <c r="O55" s="890">
        <f t="shared" si="7"/>
        <v>0</v>
      </c>
      <c r="P55" s="890">
        <f t="shared" si="7"/>
        <v>0</v>
      </c>
      <c r="Q55" s="890">
        <f t="shared" si="7"/>
        <v>0</v>
      </c>
      <c r="R55" s="890">
        <f t="shared" si="7"/>
        <v>127542</v>
      </c>
      <c r="S55" s="890">
        <f t="shared" si="7"/>
        <v>127542</v>
      </c>
      <c r="T55" s="890">
        <f t="shared" si="7"/>
        <v>0</v>
      </c>
      <c r="U55" s="890">
        <f t="shared" si="7"/>
        <v>277972</v>
      </c>
      <c r="V55" s="890">
        <f t="shared" si="7"/>
        <v>277972</v>
      </c>
      <c r="W55" s="890">
        <f t="shared" si="7"/>
        <v>0</v>
      </c>
    </row>
    <row r="56" spans="1:23" s="558" customFormat="1" ht="14.25" hidden="1" customHeight="1">
      <c r="A56" s="903"/>
      <c r="B56" s="904"/>
      <c r="C56" s="915"/>
      <c r="D56" s="906"/>
      <c r="E56" s="904"/>
      <c r="F56" s="903"/>
      <c r="G56" s="557">
        <v>820853</v>
      </c>
      <c r="H56" s="557">
        <v>0</v>
      </c>
      <c r="I56" s="902"/>
      <c r="J56" s="891"/>
      <c r="K56" s="891"/>
      <c r="L56" s="891"/>
      <c r="M56" s="891"/>
      <c r="N56" s="891"/>
      <c r="O56" s="891"/>
      <c r="P56" s="891"/>
      <c r="Q56" s="891"/>
      <c r="R56" s="891"/>
      <c r="S56" s="891"/>
      <c r="T56" s="891"/>
      <c r="U56" s="891"/>
      <c r="V56" s="891"/>
      <c r="W56" s="891"/>
    </row>
    <row r="57" spans="1:23" s="558" customFormat="1" ht="14.25" hidden="1" customHeight="1">
      <c r="A57" s="903">
        <v>9</v>
      </c>
      <c r="B57" s="904" t="s">
        <v>953</v>
      </c>
      <c r="C57" s="913" t="s">
        <v>957</v>
      </c>
      <c r="D57" s="906" t="s">
        <v>958</v>
      </c>
      <c r="E57" s="904" t="s">
        <v>956</v>
      </c>
      <c r="F57" s="903" t="s">
        <v>944</v>
      </c>
      <c r="G57" s="557">
        <f>G59+G58+G60+G61</f>
        <v>9115050</v>
      </c>
      <c r="H57" s="557">
        <f>H58+H59+H60+H61</f>
        <v>152610</v>
      </c>
      <c r="I57" s="901" t="s">
        <v>0</v>
      </c>
      <c r="J57" s="890">
        <f>K57+N57</f>
        <v>4267940</v>
      </c>
      <c r="K57" s="890">
        <f>L57+M57</f>
        <v>3627749</v>
      </c>
      <c r="L57" s="890">
        <v>435999</v>
      </c>
      <c r="M57" s="890">
        <v>3191750</v>
      </c>
      <c r="N57" s="890">
        <f>O57+R57+U57</f>
        <v>640191</v>
      </c>
      <c r="O57" s="890">
        <f>P57+Q57</f>
        <v>0</v>
      </c>
      <c r="P57" s="890">
        <v>0</v>
      </c>
      <c r="Q57" s="890">
        <v>0</v>
      </c>
      <c r="R57" s="890">
        <f>S57+T57</f>
        <v>640191</v>
      </c>
      <c r="S57" s="890">
        <v>76941</v>
      </c>
      <c r="T57" s="890">
        <v>563250</v>
      </c>
      <c r="U57" s="890">
        <f>V57+W57</f>
        <v>0</v>
      </c>
      <c r="V57" s="890">
        <f>W57+Z57</f>
        <v>0</v>
      </c>
      <c r="W57" s="890">
        <f>X57+AA57</f>
        <v>0</v>
      </c>
    </row>
    <row r="58" spans="1:23" s="558" customFormat="1" ht="14.25" hidden="1" customHeight="1">
      <c r="A58" s="903"/>
      <c r="B58" s="904"/>
      <c r="C58" s="914"/>
      <c r="D58" s="906"/>
      <c r="E58" s="904"/>
      <c r="F58" s="903"/>
      <c r="G58" s="557">
        <v>7747793</v>
      </c>
      <c r="H58" s="557">
        <v>129719</v>
      </c>
      <c r="I58" s="902"/>
      <c r="J58" s="891"/>
      <c r="K58" s="891"/>
      <c r="L58" s="891"/>
      <c r="M58" s="891"/>
      <c r="N58" s="891"/>
      <c r="O58" s="891"/>
      <c r="P58" s="891"/>
      <c r="Q58" s="891"/>
      <c r="R58" s="891"/>
      <c r="S58" s="891"/>
      <c r="T58" s="891"/>
      <c r="U58" s="891"/>
      <c r="V58" s="891"/>
      <c r="W58" s="891"/>
    </row>
    <row r="59" spans="1:23" s="558" customFormat="1" ht="14.25" hidden="1" customHeight="1">
      <c r="A59" s="903"/>
      <c r="B59" s="904"/>
      <c r="C59" s="914"/>
      <c r="D59" s="906"/>
      <c r="E59" s="904"/>
      <c r="F59" s="903"/>
      <c r="G59" s="557">
        <v>0</v>
      </c>
      <c r="H59" s="557">
        <v>0</v>
      </c>
      <c r="I59" s="559" t="s">
        <v>1</v>
      </c>
      <c r="J59" s="560">
        <f>K59+N59</f>
        <v>0</v>
      </c>
      <c r="K59" s="560">
        <f>L59+M59</f>
        <v>0</v>
      </c>
      <c r="L59" s="561">
        <v>0</v>
      </c>
      <c r="M59" s="561">
        <v>0</v>
      </c>
      <c r="N59" s="560">
        <f>O59+R59+U59</f>
        <v>0</v>
      </c>
      <c r="O59" s="560">
        <f>P59+Q59</f>
        <v>0</v>
      </c>
      <c r="P59" s="561">
        <v>0</v>
      </c>
      <c r="Q59" s="561">
        <v>0</v>
      </c>
      <c r="R59" s="560">
        <f>T59+S59</f>
        <v>0</v>
      </c>
      <c r="S59" s="561">
        <v>0</v>
      </c>
      <c r="T59" s="561">
        <v>0</v>
      </c>
      <c r="U59" s="560">
        <f>V59+W59</f>
        <v>0</v>
      </c>
      <c r="V59" s="561">
        <v>0</v>
      </c>
      <c r="W59" s="561">
        <v>0</v>
      </c>
    </row>
    <row r="60" spans="1:23" s="558" customFormat="1" ht="14.25" hidden="1" customHeight="1">
      <c r="A60" s="903"/>
      <c r="B60" s="904"/>
      <c r="C60" s="914"/>
      <c r="D60" s="906"/>
      <c r="E60" s="904"/>
      <c r="F60" s="903"/>
      <c r="G60" s="557">
        <v>1367257</v>
      </c>
      <c r="H60" s="557">
        <v>22891</v>
      </c>
      <c r="I60" s="901" t="s">
        <v>2</v>
      </c>
      <c r="J60" s="890">
        <f t="shared" ref="J60:W60" si="8">J57+J59</f>
        <v>4267940</v>
      </c>
      <c r="K60" s="890">
        <f t="shared" si="8"/>
        <v>3627749</v>
      </c>
      <c r="L60" s="890">
        <f t="shared" si="8"/>
        <v>435999</v>
      </c>
      <c r="M60" s="890">
        <f t="shared" si="8"/>
        <v>3191750</v>
      </c>
      <c r="N60" s="890">
        <f t="shared" si="8"/>
        <v>640191</v>
      </c>
      <c r="O60" s="890">
        <f t="shared" si="8"/>
        <v>0</v>
      </c>
      <c r="P60" s="890">
        <f t="shared" si="8"/>
        <v>0</v>
      </c>
      <c r="Q60" s="890">
        <f t="shared" si="8"/>
        <v>0</v>
      </c>
      <c r="R60" s="890">
        <f t="shared" si="8"/>
        <v>640191</v>
      </c>
      <c r="S60" s="890">
        <f t="shared" si="8"/>
        <v>76941</v>
      </c>
      <c r="T60" s="890">
        <f t="shared" si="8"/>
        <v>563250</v>
      </c>
      <c r="U60" s="890">
        <f t="shared" si="8"/>
        <v>0</v>
      </c>
      <c r="V60" s="890">
        <f t="shared" si="8"/>
        <v>0</v>
      </c>
      <c r="W60" s="890">
        <f t="shared" si="8"/>
        <v>0</v>
      </c>
    </row>
    <row r="61" spans="1:23" s="558" customFormat="1" ht="14.25" hidden="1" customHeight="1">
      <c r="A61" s="903"/>
      <c r="B61" s="904"/>
      <c r="C61" s="915"/>
      <c r="D61" s="906"/>
      <c r="E61" s="904"/>
      <c r="F61" s="903"/>
      <c r="G61" s="557">
        <v>0</v>
      </c>
      <c r="H61" s="557">
        <v>0</v>
      </c>
      <c r="I61" s="902"/>
      <c r="J61" s="891"/>
      <c r="K61" s="891"/>
      <c r="L61" s="891"/>
      <c r="M61" s="891"/>
      <c r="N61" s="891"/>
      <c r="O61" s="891"/>
      <c r="P61" s="891"/>
      <c r="Q61" s="891"/>
      <c r="R61" s="891"/>
      <c r="S61" s="891"/>
      <c r="T61" s="891"/>
      <c r="U61" s="891"/>
      <c r="V61" s="891"/>
      <c r="W61" s="891"/>
    </row>
    <row r="62" spans="1:23" s="558" customFormat="1" ht="14.25" customHeight="1">
      <c r="A62" s="903">
        <v>2</v>
      </c>
      <c r="B62" s="904" t="s">
        <v>953</v>
      </c>
      <c r="C62" s="913" t="s">
        <v>959</v>
      </c>
      <c r="D62" s="906" t="s">
        <v>960</v>
      </c>
      <c r="E62" s="904" t="s">
        <v>956</v>
      </c>
      <c r="F62" s="903" t="s">
        <v>948</v>
      </c>
      <c r="G62" s="557">
        <f>G64+G63+G65+G66</f>
        <v>8076180</v>
      </c>
      <c r="H62" s="557">
        <f>H63+H64+H65+H66</f>
        <v>19081</v>
      </c>
      <c r="I62" s="901" t="s">
        <v>0</v>
      </c>
      <c r="J62" s="890">
        <f>K62+N62</f>
        <v>2391700</v>
      </c>
      <c r="K62" s="890">
        <f>L62+M62</f>
        <v>2032945</v>
      </c>
      <c r="L62" s="890">
        <v>2032945</v>
      </c>
      <c r="M62" s="890">
        <v>0</v>
      </c>
      <c r="N62" s="890">
        <f>O62+R62+U62</f>
        <v>358755</v>
      </c>
      <c r="O62" s="890">
        <f>P62+Q62</f>
        <v>0</v>
      </c>
      <c r="P62" s="890">
        <v>0</v>
      </c>
      <c r="Q62" s="890">
        <v>0</v>
      </c>
      <c r="R62" s="890">
        <f>S62+T62</f>
        <v>358755</v>
      </c>
      <c r="S62" s="890">
        <v>358755</v>
      </c>
      <c r="T62" s="890">
        <v>0</v>
      </c>
      <c r="U62" s="890">
        <f>V62+W62</f>
        <v>0</v>
      </c>
      <c r="V62" s="890">
        <f>W62+Z62</f>
        <v>0</v>
      </c>
      <c r="W62" s="890">
        <f>X62+AA62</f>
        <v>0</v>
      </c>
    </row>
    <row r="63" spans="1:23" s="558" customFormat="1" ht="14.25" customHeight="1">
      <c r="A63" s="903"/>
      <c r="B63" s="904"/>
      <c r="C63" s="914"/>
      <c r="D63" s="906"/>
      <c r="E63" s="904"/>
      <c r="F63" s="903"/>
      <c r="G63" s="557">
        <v>6864753</v>
      </c>
      <c r="H63" s="557">
        <v>16219</v>
      </c>
      <c r="I63" s="902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91"/>
      <c r="W63" s="891"/>
    </row>
    <row r="64" spans="1:23" s="558" customFormat="1" ht="17.25" customHeight="1">
      <c r="A64" s="903"/>
      <c r="B64" s="904"/>
      <c r="C64" s="914"/>
      <c r="D64" s="906"/>
      <c r="E64" s="904"/>
      <c r="F64" s="903"/>
      <c r="G64" s="557">
        <v>0</v>
      </c>
      <c r="H64" s="557">
        <v>0</v>
      </c>
      <c r="I64" s="559" t="s">
        <v>1</v>
      </c>
      <c r="J64" s="560">
        <f>K64+N64</f>
        <v>33319</v>
      </c>
      <c r="K64" s="560">
        <f>L64+M64</f>
        <v>28321</v>
      </c>
      <c r="L64" s="561">
        <v>28321</v>
      </c>
      <c r="M64" s="561">
        <v>0</v>
      </c>
      <c r="N64" s="560">
        <f>O64+R64+U64</f>
        <v>4998</v>
      </c>
      <c r="O64" s="560">
        <f>P64+Q64</f>
        <v>0</v>
      </c>
      <c r="P64" s="561">
        <v>0</v>
      </c>
      <c r="Q64" s="561">
        <v>0</v>
      </c>
      <c r="R64" s="560">
        <f>T64+S64</f>
        <v>4998</v>
      </c>
      <c r="S64" s="561">
        <v>4998</v>
      </c>
      <c r="T64" s="561">
        <v>0</v>
      </c>
      <c r="U64" s="560">
        <f>V64+W64</f>
        <v>0</v>
      </c>
      <c r="V64" s="561">
        <v>0</v>
      </c>
      <c r="W64" s="561">
        <v>0</v>
      </c>
    </row>
    <row r="65" spans="1:23" s="558" customFormat="1" ht="14.25" customHeight="1">
      <c r="A65" s="903"/>
      <c r="B65" s="904"/>
      <c r="C65" s="914"/>
      <c r="D65" s="906"/>
      <c r="E65" s="904"/>
      <c r="F65" s="903"/>
      <c r="G65" s="557">
        <v>1211427</v>
      </c>
      <c r="H65" s="557">
        <v>2862</v>
      </c>
      <c r="I65" s="901" t="s">
        <v>2</v>
      </c>
      <c r="J65" s="890">
        <f t="shared" ref="J65:W65" si="9">J62+J64</f>
        <v>2425019</v>
      </c>
      <c r="K65" s="890">
        <f t="shared" si="9"/>
        <v>2061266</v>
      </c>
      <c r="L65" s="890">
        <f t="shared" si="9"/>
        <v>2061266</v>
      </c>
      <c r="M65" s="890">
        <f t="shared" si="9"/>
        <v>0</v>
      </c>
      <c r="N65" s="890">
        <f t="shared" si="9"/>
        <v>363753</v>
      </c>
      <c r="O65" s="890">
        <f t="shared" si="9"/>
        <v>0</v>
      </c>
      <c r="P65" s="890">
        <f t="shared" si="9"/>
        <v>0</v>
      </c>
      <c r="Q65" s="890">
        <f t="shared" si="9"/>
        <v>0</v>
      </c>
      <c r="R65" s="890">
        <f t="shared" si="9"/>
        <v>363753</v>
      </c>
      <c r="S65" s="890">
        <f t="shared" si="9"/>
        <v>363753</v>
      </c>
      <c r="T65" s="890">
        <f t="shared" si="9"/>
        <v>0</v>
      </c>
      <c r="U65" s="890">
        <f t="shared" si="9"/>
        <v>0</v>
      </c>
      <c r="V65" s="890">
        <f t="shared" si="9"/>
        <v>0</v>
      </c>
      <c r="W65" s="890">
        <f t="shared" si="9"/>
        <v>0</v>
      </c>
    </row>
    <row r="66" spans="1:23" s="558" customFormat="1" ht="14.25" customHeight="1">
      <c r="A66" s="903"/>
      <c r="B66" s="904"/>
      <c r="C66" s="915"/>
      <c r="D66" s="906"/>
      <c r="E66" s="904"/>
      <c r="F66" s="903"/>
      <c r="G66" s="557">
        <v>0</v>
      </c>
      <c r="H66" s="557">
        <v>0</v>
      </c>
      <c r="I66" s="902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</row>
    <row r="67" spans="1:23" s="558" customFormat="1" ht="14.25" hidden="1" customHeight="1">
      <c r="A67" s="903">
        <v>11</v>
      </c>
      <c r="B67" s="904" t="s">
        <v>961</v>
      </c>
      <c r="C67" s="913" t="s">
        <v>962</v>
      </c>
      <c r="D67" s="906" t="s">
        <v>951</v>
      </c>
      <c r="E67" s="904" t="s">
        <v>952</v>
      </c>
      <c r="F67" s="903" t="s">
        <v>963</v>
      </c>
      <c r="G67" s="557">
        <f>G69+G68+G70+G71</f>
        <v>20746877</v>
      </c>
      <c r="H67" s="557">
        <f>H69+H68+H70+H71</f>
        <v>5175303</v>
      </c>
      <c r="I67" s="901" t="s">
        <v>0</v>
      </c>
      <c r="J67" s="890">
        <f>K67+N67</f>
        <v>15571574</v>
      </c>
      <c r="K67" s="890">
        <f>L67+M67</f>
        <v>13235838</v>
      </c>
      <c r="L67" s="890">
        <v>122548</v>
      </c>
      <c r="M67" s="890">
        <v>13113290</v>
      </c>
      <c r="N67" s="890">
        <f>O67+R67+U67</f>
        <v>2335736</v>
      </c>
      <c r="O67" s="890">
        <f>P67+Q67</f>
        <v>1557157</v>
      </c>
      <c r="P67" s="890">
        <v>14417</v>
      </c>
      <c r="Q67" s="890">
        <v>1542740</v>
      </c>
      <c r="R67" s="890">
        <f>S67+T67</f>
        <v>778579</v>
      </c>
      <c r="S67" s="890">
        <v>7209</v>
      </c>
      <c r="T67" s="890">
        <v>771370</v>
      </c>
      <c r="U67" s="890">
        <f>V67+W67</f>
        <v>0</v>
      </c>
      <c r="V67" s="890">
        <f>W67+Z67</f>
        <v>0</v>
      </c>
      <c r="W67" s="890">
        <f>X67+AA67</f>
        <v>0</v>
      </c>
    </row>
    <row r="68" spans="1:23" s="558" customFormat="1" ht="14.25" hidden="1" customHeight="1">
      <c r="A68" s="903"/>
      <c r="B68" s="904"/>
      <c r="C68" s="914"/>
      <c r="D68" s="906"/>
      <c r="E68" s="904"/>
      <c r="F68" s="903"/>
      <c r="G68" s="557">
        <v>17634845</v>
      </c>
      <c r="H68" s="557">
        <v>4399007</v>
      </c>
      <c r="I68" s="902"/>
      <c r="J68" s="891"/>
      <c r="K68" s="891"/>
      <c r="L68" s="891"/>
      <c r="M68" s="891"/>
      <c r="N68" s="891"/>
      <c r="O68" s="891"/>
      <c r="P68" s="891"/>
      <c r="Q68" s="891"/>
      <c r="R68" s="891"/>
      <c r="S68" s="891"/>
      <c r="T68" s="891"/>
      <c r="U68" s="891"/>
      <c r="V68" s="891"/>
      <c r="W68" s="891"/>
    </row>
    <row r="69" spans="1:23" s="558" customFormat="1" ht="14.25" hidden="1" customHeight="1">
      <c r="A69" s="903"/>
      <c r="B69" s="904"/>
      <c r="C69" s="914"/>
      <c r="D69" s="906"/>
      <c r="E69" s="904"/>
      <c r="F69" s="903"/>
      <c r="G69" s="557">
        <v>2074687</v>
      </c>
      <c r="H69" s="557">
        <v>517530</v>
      </c>
      <c r="I69" s="559" t="s">
        <v>1</v>
      </c>
      <c r="J69" s="560">
        <f>K69+N69</f>
        <v>0</v>
      </c>
      <c r="K69" s="560">
        <f>L69+M69</f>
        <v>0</v>
      </c>
      <c r="L69" s="561">
        <v>0</v>
      </c>
      <c r="M69" s="561">
        <v>0</v>
      </c>
      <c r="N69" s="560">
        <f>O69+R69+U69</f>
        <v>0</v>
      </c>
      <c r="O69" s="560">
        <f>P69+Q69</f>
        <v>0</v>
      </c>
      <c r="P69" s="561">
        <v>0</v>
      </c>
      <c r="Q69" s="561">
        <v>0</v>
      </c>
      <c r="R69" s="560">
        <f>T69+S69</f>
        <v>0</v>
      </c>
      <c r="S69" s="561">
        <v>0</v>
      </c>
      <c r="T69" s="561">
        <v>0</v>
      </c>
      <c r="U69" s="560">
        <f>V69+W69</f>
        <v>0</v>
      </c>
      <c r="V69" s="561">
        <v>0</v>
      </c>
      <c r="W69" s="561">
        <v>0</v>
      </c>
    </row>
    <row r="70" spans="1:23" s="558" customFormat="1" ht="14.25" hidden="1" customHeight="1">
      <c r="A70" s="903"/>
      <c r="B70" s="904"/>
      <c r="C70" s="914"/>
      <c r="D70" s="906"/>
      <c r="E70" s="904"/>
      <c r="F70" s="903"/>
      <c r="G70" s="557">
        <v>1037345</v>
      </c>
      <c r="H70" s="557">
        <v>258766</v>
      </c>
      <c r="I70" s="901" t="s">
        <v>2</v>
      </c>
      <c r="J70" s="890">
        <f t="shared" ref="J70:W70" si="10">J67+J69</f>
        <v>15571574</v>
      </c>
      <c r="K70" s="890">
        <f t="shared" si="10"/>
        <v>13235838</v>
      </c>
      <c r="L70" s="890">
        <f t="shared" si="10"/>
        <v>122548</v>
      </c>
      <c r="M70" s="890">
        <f t="shared" si="10"/>
        <v>13113290</v>
      </c>
      <c r="N70" s="890">
        <f t="shared" si="10"/>
        <v>2335736</v>
      </c>
      <c r="O70" s="890">
        <f t="shared" si="10"/>
        <v>1557157</v>
      </c>
      <c r="P70" s="890">
        <f t="shared" si="10"/>
        <v>14417</v>
      </c>
      <c r="Q70" s="890">
        <f t="shared" si="10"/>
        <v>1542740</v>
      </c>
      <c r="R70" s="890">
        <f t="shared" si="10"/>
        <v>778579</v>
      </c>
      <c r="S70" s="890">
        <f t="shared" si="10"/>
        <v>7209</v>
      </c>
      <c r="T70" s="890">
        <f t="shared" si="10"/>
        <v>771370</v>
      </c>
      <c r="U70" s="890">
        <f t="shared" si="10"/>
        <v>0</v>
      </c>
      <c r="V70" s="890">
        <f t="shared" si="10"/>
        <v>0</v>
      </c>
      <c r="W70" s="890">
        <f t="shared" si="10"/>
        <v>0</v>
      </c>
    </row>
    <row r="71" spans="1:23" s="558" customFormat="1" ht="14.25" hidden="1" customHeight="1">
      <c r="A71" s="903"/>
      <c r="B71" s="904"/>
      <c r="C71" s="915"/>
      <c r="D71" s="906"/>
      <c r="E71" s="904"/>
      <c r="F71" s="903"/>
      <c r="G71" s="557">
        <v>0</v>
      </c>
      <c r="H71" s="557">
        <v>0</v>
      </c>
      <c r="I71" s="902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1"/>
    </row>
    <row r="72" spans="1:23" s="558" customFormat="1" ht="14.25" hidden="1" customHeight="1">
      <c r="A72" s="903">
        <v>12</v>
      </c>
      <c r="B72" s="904" t="s">
        <v>961</v>
      </c>
      <c r="C72" s="913" t="s">
        <v>964</v>
      </c>
      <c r="D72" s="906" t="s">
        <v>951</v>
      </c>
      <c r="E72" s="904" t="s">
        <v>952</v>
      </c>
      <c r="F72" s="903" t="s">
        <v>944</v>
      </c>
      <c r="G72" s="557">
        <f>G74+G73+G75+G76</f>
        <v>86689140</v>
      </c>
      <c r="H72" s="557">
        <f>H73+H74+H75+H76</f>
        <v>3701385</v>
      </c>
      <c r="I72" s="901" t="s">
        <v>0</v>
      </c>
      <c r="J72" s="890">
        <f>K72+N72</f>
        <v>57712797</v>
      </c>
      <c r="K72" s="890">
        <f>L72+M72</f>
        <v>48766113</v>
      </c>
      <c r="L72" s="890">
        <v>908962</v>
      </c>
      <c r="M72" s="890">
        <v>47857151</v>
      </c>
      <c r="N72" s="890">
        <f>O72+R72+U72</f>
        <v>8946684</v>
      </c>
      <c r="O72" s="890">
        <f>P72+Q72</f>
        <v>5737189</v>
      </c>
      <c r="P72" s="890">
        <v>106937</v>
      </c>
      <c r="Q72" s="890">
        <v>5630252</v>
      </c>
      <c r="R72" s="890">
        <f>S72+T72</f>
        <v>3209495</v>
      </c>
      <c r="S72" s="890">
        <v>53468</v>
      </c>
      <c r="T72" s="890">
        <v>3156027</v>
      </c>
      <c r="U72" s="890">
        <f>V72+W72</f>
        <v>0</v>
      </c>
      <c r="V72" s="890">
        <f>W72+Z72</f>
        <v>0</v>
      </c>
      <c r="W72" s="890">
        <f>X72+AA72</f>
        <v>0</v>
      </c>
    </row>
    <row r="73" spans="1:23" s="558" customFormat="1" ht="14.25" hidden="1" customHeight="1">
      <c r="A73" s="903"/>
      <c r="B73" s="904"/>
      <c r="C73" s="914"/>
      <c r="D73" s="906"/>
      <c r="E73" s="904"/>
      <c r="F73" s="903"/>
      <c r="G73" s="557">
        <v>73396004</v>
      </c>
      <c r="H73" s="557">
        <v>3146177</v>
      </c>
      <c r="I73" s="902"/>
      <c r="J73" s="891"/>
      <c r="K73" s="891"/>
      <c r="L73" s="891"/>
      <c r="M73" s="891"/>
      <c r="N73" s="891"/>
      <c r="O73" s="891"/>
      <c r="P73" s="891"/>
      <c r="Q73" s="891"/>
      <c r="R73" s="891"/>
      <c r="S73" s="891"/>
      <c r="T73" s="891"/>
      <c r="U73" s="891"/>
      <c r="V73" s="891"/>
      <c r="W73" s="891"/>
    </row>
    <row r="74" spans="1:23" s="558" customFormat="1" ht="14.25" hidden="1" customHeight="1">
      <c r="A74" s="903"/>
      <c r="B74" s="904"/>
      <c r="C74" s="914"/>
      <c r="D74" s="906"/>
      <c r="E74" s="904"/>
      <c r="F74" s="903"/>
      <c r="G74" s="557">
        <v>8634824</v>
      </c>
      <c r="H74" s="557">
        <v>370139</v>
      </c>
      <c r="I74" s="559" t="s">
        <v>1</v>
      </c>
      <c r="J74" s="560">
        <f>K74+N74</f>
        <v>0</v>
      </c>
      <c r="K74" s="560">
        <f>L74+M74</f>
        <v>0</v>
      </c>
      <c r="L74" s="561">
        <v>0</v>
      </c>
      <c r="M74" s="561">
        <v>0</v>
      </c>
      <c r="N74" s="560">
        <f>O74+R74+U74</f>
        <v>0</v>
      </c>
      <c r="O74" s="560">
        <f>P74+Q74</f>
        <v>0</v>
      </c>
      <c r="P74" s="561">
        <v>0</v>
      </c>
      <c r="Q74" s="561">
        <v>0</v>
      </c>
      <c r="R74" s="560">
        <f>T74+S74</f>
        <v>0</v>
      </c>
      <c r="S74" s="561">
        <v>0</v>
      </c>
      <c r="T74" s="561">
        <v>0</v>
      </c>
      <c r="U74" s="560">
        <f>V74+W74</f>
        <v>0</v>
      </c>
      <c r="V74" s="561">
        <v>0</v>
      </c>
      <c r="W74" s="561">
        <v>0</v>
      </c>
    </row>
    <row r="75" spans="1:23" s="558" customFormat="1" ht="14.25" hidden="1" customHeight="1">
      <c r="A75" s="903"/>
      <c r="B75" s="904"/>
      <c r="C75" s="914"/>
      <c r="D75" s="906"/>
      <c r="E75" s="904"/>
      <c r="F75" s="903"/>
      <c r="G75" s="557">
        <v>4658312</v>
      </c>
      <c r="H75" s="557">
        <v>185069</v>
      </c>
      <c r="I75" s="901" t="s">
        <v>2</v>
      </c>
      <c r="J75" s="890">
        <f t="shared" ref="J75:W75" si="11">J72+J74</f>
        <v>57712797</v>
      </c>
      <c r="K75" s="890">
        <f t="shared" si="11"/>
        <v>48766113</v>
      </c>
      <c r="L75" s="890">
        <f t="shared" si="11"/>
        <v>908962</v>
      </c>
      <c r="M75" s="890">
        <f t="shared" si="11"/>
        <v>47857151</v>
      </c>
      <c r="N75" s="890">
        <f t="shared" si="11"/>
        <v>8946684</v>
      </c>
      <c r="O75" s="890">
        <f t="shared" si="11"/>
        <v>5737189</v>
      </c>
      <c r="P75" s="890">
        <f t="shared" si="11"/>
        <v>106937</v>
      </c>
      <c r="Q75" s="890">
        <f t="shared" si="11"/>
        <v>5630252</v>
      </c>
      <c r="R75" s="890">
        <f t="shared" si="11"/>
        <v>3209495</v>
      </c>
      <c r="S75" s="890">
        <f t="shared" si="11"/>
        <v>53468</v>
      </c>
      <c r="T75" s="890">
        <f t="shared" si="11"/>
        <v>3156027</v>
      </c>
      <c r="U75" s="890">
        <f t="shared" si="11"/>
        <v>0</v>
      </c>
      <c r="V75" s="890">
        <f t="shared" si="11"/>
        <v>0</v>
      </c>
      <c r="W75" s="890">
        <f t="shared" si="11"/>
        <v>0</v>
      </c>
    </row>
    <row r="76" spans="1:23" s="558" customFormat="1" ht="14.25" hidden="1" customHeight="1">
      <c r="A76" s="903"/>
      <c r="B76" s="904"/>
      <c r="C76" s="915"/>
      <c r="D76" s="906"/>
      <c r="E76" s="904"/>
      <c r="F76" s="903"/>
      <c r="G76" s="557">
        <v>0</v>
      </c>
      <c r="H76" s="557">
        <v>0</v>
      </c>
      <c r="I76" s="902"/>
      <c r="J76" s="891"/>
      <c r="K76" s="891"/>
      <c r="L76" s="891"/>
      <c r="M76" s="891"/>
      <c r="N76" s="891"/>
      <c r="O76" s="891"/>
      <c r="P76" s="891"/>
      <c r="Q76" s="891"/>
      <c r="R76" s="891"/>
      <c r="S76" s="891"/>
      <c r="T76" s="891"/>
      <c r="U76" s="891"/>
      <c r="V76" s="891"/>
      <c r="W76" s="891"/>
    </row>
    <row r="77" spans="1:23" s="558" customFormat="1" ht="14.25" customHeight="1">
      <c r="A77" s="903">
        <v>3</v>
      </c>
      <c r="B77" s="904" t="s">
        <v>965</v>
      </c>
      <c r="C77" s="913" t="s">
        <v>966</v>
      </c>
      <c r="D77" s="906" t="s">
        <v>400</v>
      </c>
      <c r="E77" s="904" t="s">
        <v>967</v>
      </c>
      <c r="F77" s="903" t="s">
        <v>968</v>
      </c>
      <c r="G77" s="557">
        <f>G79+G78+G80+G81</f>
        <v>22096708</v>
      </c>
      <c r="H77" s="557">
        <f>H78+H79+H80+H81</f>
        <v>13189217</v>
      </c>
      <c r="I77" s="901" t="s">
        <v>0</v>
      </c>
      <c r="J77" s="890">
        <f>K77+N77</f>
        <v>8782291</v>
      </c>
      <c r="K77" s="890">
        <f>L77+M77</f>
        <v>7749576</v>
      </c>
      <c r="L77" s="890">
        <v>35708</v>
      </c>
      <c r="M77" s="890">
        <v>7713868</v>
      </c>
      <c r="N77" s="890">
        <f>O77+R77+U77</f>
        <v>1032715</v>
      </c>
      <c r="O77" s="890">
        <f>P77+Q77</f>
        <v>911715</v>
      </c>
      <c r="P77" s="890">
        <v>4201</v>
      </c>
      <c r="Q77" s="890">
        <v>907514</v>
      </c>
      <c r="R77" s="890">
        <f>S77+T77</f>
        <v>121000</v>
      </c>
      <c r="S77" s="890">
        <v>0</v>
      </c>
      <c r="T77" s="890">
        <v>121000</v>
      </c>
      <c r="U77" s="890">
        <f>V77+W77</f>
        <v>0</v>
      </c>
      <c r="V77" s="890">
        <f>W77+Z77</f>
        <v>0</v>
      </c>
      <c r="W77" s="890">
        <f>X77+AA77</f>
        <v>0</v>
      </c>
    </row>
    <row r="78" spans="1:23" s="558" customFormat="1" ht="14.25" customHeight="1">
      <c r="A78" s="903"/>
      <c r="B78" s="904"/>
      <c r="C78" s="914"/>
      <c r="D78" s="906"/>
      <c r="E78" s="904"/>
      <c r="F78" s="903"/>
      <c r="G78" s="557">
        <v>18732982</v>
      </c>
      <c r="H78" s="557">
        <v>10983406</v>
      </c>
      <c r="I78" s="902"/>
      <c r="J78" s="891"/>
      <c r="K78" s="891"/>
      <c r="L78" s="891"/>
      <c r="M78" s="891"/>
      <c r="N78" s="891"/>
      <c r="O78" s="891"/>
      <c r="P78" s="891"/>
      <c r="Q78" s="891"/>
      <c r="R78" s="891"/>
      <c r="S78" s="891"/>
      <c r="T78" s="891"/>
      <c r="U78" s="891"/>
      <c r="V78" s="891"/>
      <c r="W78" s="891"/>
    </row>
    <row r="79" spans="1:23" s="558" customFormat="1" ht="21" customHeight="1">
      <c r="A79" s="903"/>
      <c r="B79" s="904"/>
      <c r="C79" s="914"/>
      <c r="D79" s="906"/>
      <c r="E79" s="904"/>
      <c r="F79" s="903"/>
      <c r="G79" s="557">
        <v>2203880</v>
      </c>
      <c r="H79" s="557">
        <v>1292165</v>
      </c>
      <c r="I79" s="559" t="s">
        <v>1</v>
      </c>
      <c r="J79" s="560">
        <f>K79+N79</f>
        <v>125200</v>
      </c>
      <c r="K79" s="560">
        <f>L79+M79</f>
        <v>0</v>
      </c>
      <c r="L79" s="561">
        <v>0</v>
      </c>
      <c r="M79" s="561">
        <v>0</v>
      </c>
      <c r="N79" s="560">
        <f>O79+R79+U79</f>
        <v>125200</v>
      </c>
      <c r="O79" s="560">
        <f>P79+Q79</f>
        <v>0</v>
      </c>
      <c r="P79" s="561">
        <v>0</v>
      </c>
      <c r="Q79" s="561">
        <v>0</v>
      </c>
      <c r="R79" s="560">
        <f>S79+T79</f>
        <v>125200</v>
      </c>
      <c r="S79" s="561">
        <v>0</v>
      </c>
      <c r="T79" s="561">
        <v>125200</v>
      </c>
      <c r="U79" s="560">
        <f>V79+W79</f>
        <v>0</v>
      </c>
      <c r="V79" s="561">
        <v>0</v>
      </c>
      <c r="W79" s="561">
        <v>0</v>
      </c>
    </row>
    <row r="80" spans="1:23" s="558" customFormat="1" ht="14.25" customHeight="1">
      <c r="A80" s="903"/>
      <c r="B80" s="904"/>
      <c r="C80" s="914"/>
      <c r="D80" s="906"/>
      <c r="E80" s="904"/>
      <c r="F80" s="903"/>
      <c r="G80" s="557">
        <v>1159846</v>
      </c>
      <c r="H80" s="557">
        <v>913646</v>
      </c>
      <c r="I80" s="901" t="s">
        <v>2</v>
      </c>
      <c r="J80" s="890">
        <f t="shared" ref="J80:W80" si="12">J77+J79</f>
        <v>8907491</v>
      </c>
      <c r="K80" s="890">
        <f t="shared" si="12"/>
        <v>7749576</v>
      </c>
      <c r="L80" s="890">
        <f t="shared" si="12"/>
        <v>35708</v>
      </c>
      <c r="M80" s="890">
        <f t="shared" si="12"/>
        <v>7713868</v>
      </c>
      <c r="N80" s="890">
        <f t="shared" si="12"/>
        <v>1157915</v>
      </c>
      <c r="O80" s="890">
        <f t="shared" si="12"/>
        <v>911715</v>
      </c>
      <c r="P80" s="890">
        <f t="shared" si="12"/>
        <v>4201</v>
      </c>
      <c r="Q80" s="890">
        <f t="shared" si="12"/>
        <v>907514</v>
      </c>
      <c r="R80" s="890">
        <f t="shared" si="12"/>
        <v>246200</v>
      </c>
      <c r="S80" s="890">
        <f t="shared" si="12"/>
        <v>0</v>
      </c>
      <c r="T80" s="890">
        <f t="shared" si="12"/>
        <v>246200</v>
      </c>
      <c r="U80" s="890">
        <f t="shared" si="12"/>
        <v>0</v>
      </c>
      <c r="V80" s="890">
        <f t="shared" si="12"/>
        <v>0</v>
      </c>
      <c r="W80" s="890">
        <f t="shared" si="12"/>
        <v>0</v>
      </c>
    </row>
    <row r="81" spans="1:23" s="558" customFormat="1" ht="14.25" customHeight="1">
      <c r="A81" s="903"/>
      <c r="B81" s="904"/>
      <c r="C81" s="915"/>
      <c r="D81" s="906"/>
      <c r="E81" s="904"/>
      <c r="F81" s="903"/>
      <c r="G81" s="557">
        <v>0</v>
      </c>
      <c r="H81" s="557">
        <v>0</v>
      </c>
      <c r="I81" s="902"/>
      <c r="J81" s="891"/>
      <c r="K81" s="891"/>
      <c r="L81" s="891"/>
      <c r="M81" s="891"/>
      <c r="N81" s="891"/>
      <c r="O81" s="891"/>
      <c r="P81" s="891"/>
      <c r="Q81" s="891"/>
      <c r="R81" s="891"/>
      <c r="S81" s="891"/>
      <c r="T81" s="891"/>
      <c r="U81" s="891"/>
      <c r="V81" s="891"/>
      <c r="W81" s="891"/>
    </row>
    <row r="82" spans="1:23" s="558" customFormat="1" ht="14.25" hidden="1" customHeight="1">
      <c r="A82" s="903">
        <v>3</v>
      </c>
      <c r="B82" s="904" t="s">
        <v>969</v>
      </c>
      <c r="C82" s="913" t="s">
        <v>726</v>
      </c>
      <c r="D82" s="906" t="s">
        <v>359</v>
      </c>
      <c r="E82" s="904" t="s">
        <v>970</v>
      </c>
      <c r="F82" s="903" t="s">
        <v>971</v>
      </c>
      <c r="G82" s="557">
        <f>G84+G83+G85+G86</f>
        <v>14505916</v>
      </c>
      <c r="H82" s="557">
        <f>H83+H84+H85+H86</f>
        <v>12885429</v>
      </c>
      <c r="I82" s="901" t="s">
        <v>0</v>
      </c>
      <c r="J82" s="890">
        <f>K82+N82</f>
        <v>1620487</v>
      </c>
      <c r="K82" s="890">
        <f>L82+M82</f>
        <v>1539110</v>
      </c>
      <c r="L82" s="890">
        <v>1539110</v>
      </c>
      <c r="M82" s="890">
        <v>0</v>
      </c>
      <c r="N82" s="890">
        <f>O82+R82+U82</f>
        <v>81377</v>
      </c>
      <c r="O82" s="890">
        <f>P82+Q82</f>
        <v>0</v>
      </c>
      <c r="P82" s="890">
        <v>0</v>
      </c>
      <c r="Q82" s="890">
        <v>0</v>
      </c>
      <c r="R82" s="890">
        <f>S82+T82</f>
        <v>81377</v>
      </c>
      <c r="S82" s="890">
        <v>81377</v>
      </c>
      <c r="T82" s="890">
        <v>0</v>
      </c>
      <c r="U82" s="890">
        <f>V82+W82</f>
        <v>0</v>
      </c>
      <c r="V82" s="890">
        <f>W82+Z82</f>
        <v>0</v>
      </c>
      <c r="W82" s="890">
        <f>X82+AA82</f>
        <v>0</v>
      </c>
    </row>
    <row r="83" spans="1:23" s="558" customFormat="1" ht="14.25" hidden="1" customHeight="1">
      <c r="A83" s="903"/>
      <c r="B83" s="904"/>
      <c r="C83" s="914"/>
      <c r="D83" s="906"/>
      <c r="E83" s="904"/>
      <c r="F83" s="903"/>
      <c r="G83" s="557">
        <v>14212508</v>
      </c>
      <c r="H83" s="557">
        <v>12673398</v>
      </c>
      <c r="I83" s="902"/>
      <c r="J83" s="891"/>
      <c r="K83" s="891"/>
      <c r="L83" s="891"/>
      <c r="M83" s="891"/>
      <c r="N83" s="891"/>
      <c r="O83" s="891"/>
      <c r="P83" s="891"/>
      <c r="Q83" s="891"/>
      <c r="R83" s="891"/>
      <c r="S83" s="891"/>
      <c r="T83" s="891"/>
      <c r="U83" s="891"/>
      <c r="V83" s="891"/>
      <c r="W83" s="891"/>
    </row>
    <row r="84" spans="1:23" s="558" customFormat="1" ht="14.25" hidden="1" customHeight="1">
      <c r="A84" s="903"/>
      <c r="B84" s="904"/>
      <c r="C84" s="914"/>
      <c r="D84" s="906"/>
      <c r="E84" s="904"/>
      <c r="F84" s="903"/>
      <c r="G84" s="557">
        <v>0</v>
      </c>
      <c r="H84" s="557">
        <v>0</v>
      </c>
      <c r="I84" s="559" t="s">
        <v>1</v>
      </c>
      <c r="J84" s="560">
        <f>K84+N84</f>
        <v>0</v>
      </c>
      <c r="K84" s="560">
        <f>L84+M84</f>
        <v>0</v>
      </c>
      <c r="L84" s="561">
        <v>0</v>
      </c>
      <c r="M84" s="561">
        <v>0</v>
      </c>
      <c r="N84" s="560">
        <f>O84+R84+U84</f>
        <v>0</v>
      </c>
      <c r="O84" s="560">
        <f>P84+Q84</f>
        <v>0</v>
      </c>
      <c r="P84" s="561">
        <v>0</v>
      </c>
      <c r="Q84" s="561">
        <v>0</v>
      </c>
      <c r="R84" s="560">
        <f>T84+S84</f>
        <v>0</v>
      </c>
      <c r="S84" s="561">
        <v>0</v>
      </c>
      <c r="T84" s="561">
        <v>0</v>
      </c>
      <c r="U84" s="560">
        <f>V84+W84</f>
        <v>0</v>
      </c>
      <c r="V84" s="561">
        <v>0</v>
      </c>
      <c r="W84" s="561">
        <v>0</v>
      </c>
    </row>
    <row r="85" spans="1:23" s="558" customFormat="1" ht="14.25" hidden="1" customHeight="1">
      <c r="A85" s="903"/>
      <c r="B85" s="904"/>
      <c r="C85" s="914"/>
      <c r="D85" s="906"/>
      <c r="E85" s="904"/>
      <c r="F85" s="903"/>
      <c r="G85" s="557">
        <v>293408</v>
      </c>
      <c r="H85" s="557">
        <v>212031</v>
      </c>
      <c r="I85" s="901" t="s">
        <v>2</v>
      </c>
      <c r="J85" s="890">
        <f t="shared" ref="J85:W85" si="13">J82+J84</f>
        <v>1620487</v>
      </c>
      <c r="K85" s="890">
        <f t="shared" si="13"/>
        <v>1539110</v>
      </c>
      <c r="L85" s="890">
        <f t="shared" si="13"/>
        <v>1539110</v>
      </c>
      <c r="M85" s="890">
        <f t="shared" si="13"/>
        <v>0</v>
      </c>
      <c r="N85" s="890">
        <f t="shared" si="13"/>
        <v>81377</v>
      </c>
      <c r="O85" s="890">
        <f t="shared" si="13"/>
        <v>0</v>
      </c>
      <c r="P85" s="890">
        <f t="shared" si="13"/>
        <v>0</v>
      </c>
      <c r="Q85" s="890">
        <f t="shared" si="13"/>
        <v>0</v>
      </c>
      <c r="R85" s="890">
        <f t="shared" si="13"/>
        <v>81377</v>
      </c>
      <c r="S85" s="890">
        <f t="shared" si="13"/>
        <v>81377</v>
      </c>
      <c r="T85" s="890">
        <f t="shared" si="13"/>
        <v>0</v>
      </c>
      <c r="U85" s="890">
        <f t="shared" si="13"/>
        <v>0</v>
      </c>
      <c r="V85" s="890">
        <f t="shared" si="13"/>
        <v>0</v>
      </c>
      <c r="W85" s="890">
        <f t="shared" si="13"/>
        <v>0</v>
      </c>
    </row>
    <row r="86" spans="1:23" s="558" customFormat="1" ht="14.25" hidden="1" customHeight="1">
      <c r="A86" s="903"/>
      <c r="B86" s="904"/>
      <c r="C86" s="915"/>
      <c r="D86" s="906"/>
      <c r="E86" s="904"/>
      <c r="F86" s="903"/>
      <c r="G86" s="557">
        <v>0</v>
      </c>
      <c r="H86" s="557">
        <v>0</v>
      </c>
      <c r="I86" s="902"/>
      <c r="J86" s="891"/>
      <c r="K86" s="891"/>
      <c r="L86" s="891"/>
      <c r="M86" s="891"/>
      <c r="N86" s="891"/>
      <c r="O86" s="891"/>
      <c r="P86" s="891"/>
      <c r="Q86" s="891"/>
      <c r="R86" s="891"/>
      <c r="S86" s="891"/>
      <c r="T86" s="891"/>
      <c r="U86" s="891"/>
      <c r="V86" s="891"/>
      <c r="W86" s="891"/>
    </row>
    <row r="87" spans="1:23" s="558" customFormat="1" ht="14.25" hidden="1" customHeight="1">
      <c r="A87" s="903">
        <v>14</v>
      </c>
      <c r="B87" s="904" t="s">
        <v>972</v>
      </c>
      <c r="C87" s="913" t="s">
        <v>973</v>
      </c>
      <c r="D87" s="906" t="s">
        <v>359</v>
      </c>
      <c r="E87" s="904" t="s">
        <v>974</v>
      </c>
      <c r="F87" s="903" t="s">
        <v>963</v>
      </c>
      <c r="G87" s="557">
        <f>G89+G88+G90+G91</f>
        <v>337500</v>
      </c>
      <c r="H87" s="557">
        <f>H88+H89+H90+H91</f>
        <v>0</v>
      </c>
      <c r="I87" s="901" t="s">
        <v>0</v>
      </c>
      <c r="J87" s="890">
        <f>K87+N87</f>
        <v>337500</v>
      </c>
      <c r="K87" s="890">
        <f>L87+M87</f>
        <v>286875</v>
      </c>
      <c r="L87" s="890">
        <v>286875</v>
      </c>
      <c r="M87" s="890">
        <v>0</v>
      </c>
      <c r="N87" s="890">
        <f>O87+R87+U87</f>
        <v>50625</v>
      </c>
      <c r="O87" s="890">
        <f>P87+Q87</f>
        <v>16875</v>
      </c>
      <c r="P87" s="890">
        <v>16875</v>
      </c>
      <c r="Q87" s="890">
        <v>0</v>
      </c>
      <c r="R87" s="890">
        <f>S87+T87</f>
        <v>33750</v>
      </c>
      <c r="S87" s="890">
        <v>33750</v>
      </c>
      <c r="T87" s="890">
        <v>0</v>
      </c>
      <c r="U87" s="890">
        <f>V87+W87</f>
        <v>0</v>
      </c>
      <c r="V87" s="890">
        <f>W87+Z87</f>
        <v>0</v>
      </c>
      <c r="W87" s="890">
        <f>X87+AA87</f>
        <v>0</v>
      </c>
    </row>
    <row r="88" spans="1:23" s="558" customFormat="1" ht="14.25" hidden="1" customHeight="1">
      <c r="A88" s="903"/>
      <c r="B88" s="904"/>
      <c r="C88" s="914"/>
      <c r="D88" s="906"/>
      <c r="E88" s="904"/>
      <c r="F88" s="903"/>
      <c r="G88" s="557">
        <v>286875</v>
      </c>
      <c r="H88" s="557">
        <v>0</v>
      </c>
      <c r="I88" s="902"/>
      <c r="J88" s="891"/>
      <c r="K88" s="891"/>
      <c r="L88" s="891"/>
      <c r="M88" s="891"/>
      <c r="N88" s="891"/>
      <c r="O88" s="891"/>
      <c r="P88" s="891"/>
      <c r="Q88" s="891"/>
      <c r="R88" s="891"/>
      <c r="S88" s="891"/>
      <c r="T88" s="891"/>
      <c r="U88" s="891"/>
      <c r="V88" s="891"/>
      <c r="W88" s="891"/>
    </row>
    <row r="89" spans="1:23" s="558" customFormat="1" ht="14.25" hidden="1" customHeight="1">
      <c r="A89" s="903"/>
      <c r="B89" s="904"/>
      <c r="C89" s="914"/>
      <c r="D89" s="906"/>
      <c r="E89" s="904"/>
      <c r="F89" s="903"/>
      <c r="G89" s="557">
        <v>16875</v>
      </c>
      <c r="H89" s="557">
        <v>0</v>
      </c>
      <c r="I89" s="559" t="s">
        <v>1</v>
      </c>
      <c r="J89" s="560">
        <f>K89+N89</f>
        <v>0</v>
      </c>
      <c r="K89" s="560">
        <f>L89+M89</f>
        <v>0</v>
      </c>
      <c r="L89" s="561">
        <v>0</v>
      </c>
      <c r="M89" s="561">
        <v>0</v>
      </c>
      <c r="N89" s="560">
        <f>O89+R89+U89</f>
        <v>0</v>
      </c>
      <c r="O89" s="560">
        <f>P89+Q89</f>
        <v>0</v>
      </c>
      <c r="P89" s="561">
        <v>0</v>
      </c>
      <c r="Q89" s="561">
        <v>0</v>
      </c>
      <c r="R89" s="560">
        <f>T89+S89</f>
        <v>0</v>
      </c>
      <c r="S89" s="561">
        <v>0</v>
      </c>
      <c r="T89" s="561">
        <v>0</v>
      </c>
      <c r="U89" s="560">
        <f>V89+W89</f>
        <v>0</v>
      </c>
      <c r="V89" s="561">
        <v>0</v>
      </c>
      <c r="W89" s="561">
        <v>0</v>
      </c>
    </row>
    <row r="90" spans="1:23" s="558" customFormat="1" ht="14.25" hidden="1" customHeight="1">
      <c r="A90" s="903"/>
      <c r="B90" s="904"/>
      <c r="C90" s="914"/>
      <c r="D90" s="906"/>
      <c r="E90" s="904"/>
      <c r="F90" s="903"/>
      <c r="G90" s="557">
        <v>33750</v>
      </c>
      <c r="H90" s="557">
        <v>0</v>
      </c>
      <c r="I90" s="901" t="s">
        <v>2</v>
      </c>
      <c r="J90" s="890">
        <f t="shared" ref="J90:W90" si="14">J87+J89</f>
        <v>337500</v>
      </c>
      <c r="K90" s="890">
        <f t="shared" si="14"/>
        <v>286875</v>
      </c>
      <c r="L90" s="890">
        <f t="shared" si="14"/>
        <v>286875</v>
      </c>
      <c r="M90" s="890">
        <f t="shared" si="14"/>
        <v>0</v>
      </c>
      <c r="N90" s="890">
        <f t="shared" si="14"/>
        <v>50625</v>
      </c>
      <c r="O90" s="890">
        <f t="shared" si="14"/>
        <v>16875</v>
      </c>
      <c r="P90" s="890">
        <f t="shared" si="14"/>
        <v>16875</v>
      </c>
      <c r="Q90" s="890">
        <f t="shared" si="14"/>
        <v>0</v>
      </c>
      <c r="R90" s="890">
        <f t="shared" si="14"/>
        <v>33750</v>
      </c>
      <c r="S90" s="890">
        <f t="shared" si="14"/>
        <v>33750</v>
      </c>
      <c r="T90" s="890">
        <f t="shared" si="14"/>
        <v>0</v>
      </c>
      <c r="U90" s="890">
        <f t="shared" si="14"/>
        <v>0</v>
      </c>
      <c r="V90" s="890">
        <f t="shared" si="14"/>
        <v>0</v>
      </c>
      <c r="W90" s="890">
        <f t="shared" si="14"/>
        <v>0</v>
      </c>
    </row>
    <row r="91" spans="1:23" s="558" customFormat="1" ht="14.25" hidden="1" customHeight="1">
      <c r="A91" s="903"/>
      <c r="B91" s="904"/>
      <c r="C91" s="915"/>
      <c r="D91" s="906"/>
      <c r="E91" s="904"/>
      <c r="F91" s="903"/>
      <c r="G91" s="557">
        <v>0</v>
      </c>
      <c r="H91" s="557">
        <v>0</v>
      </c>
      <c r="I91" s="902"/>
      <c r="J91" s="891"/>
      <c r="K91" s="891"/>
      <c r="L91" s="891"/>
      <c r="M91" s="891"/>
      <c r="N91" s="891"/>
      <c r="O91" s="891"/>
      <c r="P91" s="891"/>
      <c r="Q91" s="891"/>
      <c r="R91" s="891"/>
      <c r="S91" s="891"/>
      <c r="T91" s="891"/>
      <c r="U91" s="891"/>
      <c r="V91" s="891"/>
      <c r="W91" s="891"/>
    </row>
    <row r="92" spans="1:23" s="558" customFormat="1" ht="14.25" customHeight="1">
      <c r="A92" s="903">
        <v>4</v>
      </c>
      <c r="B92" s="904" t="s">
        <v>972</v>
      </c>
      <c r="C92" s="913" t="s">
        <v>975</v>
      </c>
      <c r="D92" s="906" t="s">
        <v>359</v>
      </c>
      <c r="E92" s="904" t="s">
        <v>976</v>
      </c>
      <c r="F92" s="903" t="s">
        <v>971</v>
      </c>
      <c r="G92" s="557">
        <f>G94+G93+G95+G96</f>
        <v>3444447</v>
      </c>
      <c r="H92" s="557">
        <f>H93+H94+H95+H96</f>
        <v>0</v>
      </c>
      <c r="I92" s="901" t="s">
        <v>0</v>
      </c>
      <c r="J92" s="890">
        <f>K92+N92</f>
        <v>2412290</v>
      </c>
      <c r="K92" s="890">
        <f>L92+M92</f>
        <v>2050446</v>
      </c>
      <c r="L92" s="890">
        <v>2050446</v>
      </c>
      <c r="M92" s="890">
        <v>0</v>
      </c>
      <c r="N92" s="890">
        <f>O92+R92+U92</f>
        <v>361844</v>
      </c>
      <c r="O92" s="890">
        <f>P92+Q92</f>
        <v>120615</v>
      </c>
      <c r="P92" s="890">
        <v>120615</v>
      </c>
      <c r="Q92" s="890">
        <v>0</v>
      </c>
      <c r="R92" s="890">
        <f>S92+T92</f>
        <v>241229</v>
      </c>
      <c r="S92" s="890">
        <v>241229</v>
      </c>
      <c r="T92" s="890">
        <v>0</v>
      </c>
      <c r="U92" s="890">
        <f>V92+W92</f>
        <v>0</v>
      </c>
      <c r="V92" s="890">
        <f>W92+Z92</f>
        <v>0</v>
      </c>
      <c r="W92" s="890">
        <f>X92+AA92</f>
        <v>0</v>
      </c>
    </row>
    <row r="93" spans="1:23" s="558" customFormat="1" ht="14.25" customHeight="1">
      <c r="A93" s="903"/>
      <c r="B93" s="904"/>
      <c r="C93" s="914"/>
      <c r="D93" s="906"/>
      <c r="E93" s="904"/>
      <c r="F93" s="903"/>
      <c r="G93" s="557">
        <v>2927779</v>
      </c>
      <c r="H93" s="557">
        <v>0</v>
      </c>
      <c r="I93" s="902"/>
      <c r="J93" s="891"/>
      <c r="K93" s="891"/>
      <c r="L93" s="891"/>
      <c r="M93" s="891"/>
      <c r="N93" s="891"/>
      <c r="O93" s="891"/>
      <c r="P93" s="891"/>
      <c r="Q93" s="891"/>
      <c r="R93" s="891"/>
      <c r="S93" s="891"/>
      <c r="T93" s="891"/>
      <c r="U93" s="891"/>
      <c r="V93" s="891"/>
      <c r="W93" s="891"/>
    </row>
    <row r="94" spans="1:23" s="558" customFormat="1" ht="18.75" customHeight="1">
      <c r="A94" s="903"/>
      <c r="B94" s="904"/>
      <c r="C94" s="914"/>
      <c r="D94" s="906"/>
      <c r="E94" s="904"/>
      <c r="F94" s="903"/>
      <c r="G94" s="557">
        <v>172223</v>
      </c>
      <c r="H94" s="557">
        <v>0</v>
      </c>
      <c r="I94" s="559" t="s">
        <v>1</v>
      </c>
      <c r="J94" s="560">
        <f>K94+N94</f>
        <v>1032157</v>
      </c>
      <c r="K94" s="560">
        <f>L94+M94</f>
        <v>877333</v>
      </c>
      <c r="L94" s="561">
        <v>877333</v>
      </c>
      <c r="M94" s="561">
        <v>0</v>
      </c>
      <c r="N94" s="560">
        <f>O94+R94+U94</f>
        <v>154824</v>
      </c>
      <c r="O94" s="560">
        <f>P94+Q94</f>
        <v>51608</v>
      </c>
      <c r="P94" s="561">
        <v>51608</v>
      </c>
      <c r="Q94" s="561">
        <v>0</v>
      </c>
      <c r="R94" s="560">
        <f>T94+S94</f>
        <v>103216</v>
      </c>
      <c r="S94" s="561">
        <v>103216</v>
      </c>
      <c r="T94" s="561">
        <v>0</v>
      </c>
      <c r="U94" s="560">
        <f>V94+W94</f>
        <v>0</v>
      </c>
      <c r="V94" s="561">
        <v>0</v>
      </c>
      <c r="W94" s="561">
        <v>0</v>
      </c>
    </row>
    <row r="95" spans="1:23" s="558" customFormat="1" ht="14.25" customHeight="1">
      <c r="A95" s="903"/>
      <c r="B95" s="904"/>
      <c r="C95" s="914"/>
      <c r="D95" s="906"/>
      <c r="E95" s="904"/>
      <c r="F95" s="903"/>
      <c r="G95" s="557">
        <v>344445</v>
      </c>
      <c r="H95" s="557">
        <v>0</v>
      </c>
      <c r="I95" s="901" t="s">
        <v>2</v>
      </c>
      <c r="J95" s="890">
        <f t="shared" ref="J95:W95" si="15">J92+J94</f>
        <v>3444447</v>
      </c>
      <c r="K95" s="890">
        <f t="shared" si="15"/>
        <v>2927779</v>
      </c>
      <c r="L95" s="890">
        <f t="shared" si="15"/>
        <v>2927779</v>
      </c>
      <c r="M95" s="890">
        <f t="shared" si="15"/>
        <v>0</v>
      </c>
      <c r="N95" s="890">
        <f t="shared" si="15"/>
        <v>516668</v>
      </c>
      <c r="O95" s="890">
        <f t="shared" si="15"/>
        <v>172223</v>
      </c>
      <c r="P95" s="890">
        <f t="shared" si="15"/>
        <v>172223</v>
      </c>
      <c r="Q95" s="890">
        <f t="shared" si="15"/>
        <v>0</v>
      </c>
      <c r="R95" s="890">
        <f t="shared" si="15"/>
        <v>344445</v>
      </c>
      <c r="S95" s="890">
        <f t="shared" si="15"/>
        <v>344445</v>
      </c>
      <c r="T95" s="890">
        <f t="shared" si="15"/>
        <v>0</v>
      </c>
      <c r="U95" s="890">
        <f t="shared" si="15"/>
        <v>0</v>
      </c>
      <c r="V95" s="890">
        <f t="shared" si="15"/>
        <v>0</v>
      </c>
      <c r="W95" s="890">
        <f t="shared" si="15"/>
        <v>0</v>
      </c>
    </row>
    <row r="96" spans="1:23" s="558" customFormat="1" ht="14.25" customHeight="1">
      <c r="A96" s="903"/>
      <c r="B96" s="904"/>
      <c r="C96" s="915"/>
      <c r="D96" s="906"/>
      <c r="E96" s="904"/>
      <c r="F96" s="903"/>
      <c r="G96" s="557">
        <v>0</v>
      </c>
      <c r="H96" s="557">
        <v>0</v>
      </c>
      <c r="I96" s="902"/>
      <c r="J96" s="891"/>
      <c r="K96" s="891"/>
      <c r="L96" s="891"/>
      <c r="M96" s="891"/>
      <c r="N96" s="891"/>
      <c r="O96" s="891"/>
      <c r="P96" s="891"/>
      <c r="Q96" s="891"/>
      <c r="R96" s="891"/>
      <c r="S96" s="891"/>
      <c r="T96" s="891"/>
      <c r="U96" s="891"/>
      <c r="V96" s="891"/>
      <c r="W96" s="891"/>
    </row>
    <row r="97" spans="1:23" s="558" customFormat="1" ht="14.25" customHeight="1">
      <c r="A97" s="903">
        <v>5</v>
      </c>
      <c r="B97" s="904" t="s">
        <v>972</v>
      </c>
      <c r="C97" s="913" t="s">
        <v>977</v>
      </c>
      <c r="D97" s="906" t="s">
        <v>978</v>
      </c>
      <c r="E97" s="904" t="s">
        <v>979</v>
      </c>
      <c r="F97" s="903" t="s">
        <v>971</v>
      </c>
      <c r="G97" s="557">
        <f>G99+G98+G100+G101</f>
        <v>533250</v>
      </c>
      <c r="H97" s="557">
        <f>H98+H99+H100+H101</f>
        <v>164460</v>
      </c>
      <c r="I97" s="901" t="s">
        <v>0</v>
      </c>
      <c r="J97" s="890">
        <f>K97+N97</f>
        <v>64350</v>
      </c>
      <c r="K97" s="890">
        <f>L97+M97</f>
        <v>60775</v>
      </c>
      <c r="L97" s="890">
        <v>60775</v>
      </c>
      <c r="M97" s="890">
        <v>0</v>
      </c>
      <c r="N97" s="890">
        <f>O97+R97+U97</f>
        <v>3575</v>
      </c>
      <c r="O97" s="890">
        <f>P97+Q97</f>
        <v>3575</v>
      </c>
      <c r="P97" s="890">
        <v>3575</v>
      </c>
      <c r="Q97" s="890">
        <v>0</v>
      </c>
      <c r="R97" s="890">
        <f>S97+T97</f>
        <v>0</v>
      </c>
      <c r="S97" s="890">
        <v>0</v>
      </c>
      <c r="T97" s="890">
        <v>0</v>
      </c>
      <c r="U97" s="890">
        <f>V97+W97</f>
        <v>0</v>
      </c>
      <c r="V97" s="890">
        <f>W97+Z97</f>
        <v>0</v>
      </c>
      <c r="W97" s="890">
        <f>X97+AA97</f>
        <v>0</v>
      </c>
    </row>
    <row r="98" spans="1:23" s="558" customFormat="1" ht="14.25" customHeight="1">
      <c r="A98" s="903"/>
      <c r="B98" s="904"/>
      <c r="C98" s="914"/>
      <c r="D98" s="906"/>
      <c r="E98" s="904"/>
      <c r="F98" s="903"/>
      <c r="G98" s="557">
        <v>503625</v>
      </c>
      <c r="H98" s="557">
        <v>155323</v>
      </c>
      <c r="I98" s="902"/>
      <c r="J98" s="891"/>
      <c r="K98" s="891"/>
      <c r="L98" s="891"/>
      <c r="M98" s="891"/>
      <c r="N98" s="891"/>
      <c r="O98" s="891"/>
      <c r="P98" s="891"/>
      <c r="Q98" s="891"/>
      <c r="R98" s="891"/>
      <c r="S98" s="891"/>
      <c r="T98" s="891"/>
      <c r="U98" s="891"/>
      <c r="V98" s="891"/>
      <c r="W98" s="891"/>
    </row>
    <row r="99" spans="1:23" s="558" customFormat="1" ht="21.75" customHeight="1">
      <c r="A99" s="903"/>
      <c r="B99" s="904"/>
      <c r="C99" s="914"/>
      <c r="D99" s="906"/>
      <c r="E99" s="904"/>
      <c r="F99" s="903"/>
      <c r="G99" s="557">
        <v>29625</v>
      </c>
      <c r="H99" s="557">
        <v>9137</v>
      </c>
      <c r="I99" s="559" t="s">
        <v>1</v>
      </c>
      <c r="J99" s="560">
        <f>K99+N99</f>
        <v>304440</v>
      </c>
      <c r="K99" s="560">
        <f>L99+M99</f>
        <v>287527</v>
      </c>
      <c r="L99" s="561">
        <v>287527</v>
      </c>
      <c r="M99" s="561">
        <v>0</v>
      </c>
      <c r="N99" s="560">
        <f>O99+R99+U99</f>
        <v>16913</v>
      </c>
      <c r="O99" s="560">
        <f>P99+Q99</f>
        <v>16913</v>
      </c>
      <c r="P99" s="561">
        <v>16913</v>
      </c>
      <c r="Q99" s="561">
        <v>0</v>
      </c>
      <c r="R99" s="560">
        <f>T99+S99</f>
        <v>0</v>
      </c>
      <c r="S99" s="561">
        <v>0</v>
      </c>
      <c r="T99" s="561">
        <v>0</v>
      </c>
      <c r="U99" s="560">
        <f>V99+W99</f>
        <v>0</v>
      </c>
      <c r="V99" s="561">
        <v>0</v>
      </c>
      <c r="W99" s="561">
        <v>0</v>
      </c>
    </row>
    <row r="100" spans="1:23" s="558" customFormat="1" ht="14.25" customHeight="1">
      <c r="A100" s="903"/>
      <c r="B100" s="904"/>
      <c r="C100" s="914"/>
      <c r="D100" s="906"/>
      <c r="E100" s="904"/>
      <c r="F100" s="903"/>
      <c r="G100" s="557">
        <v>0</v>
      </c>
      <c r="H100" s="557">
        <v>0</v>
      </c>
      <c r="I100" s="901" t="s">
        <v>2</v>
      </c>
      <c r="J100" s="890">
        <f t="shared" ref="J100:W100" si="16">J97+J99</f>
        <v>368790</v>
      </c>
      <c r="K100" s="890">
        <f t="shared" si="16"/>
        <v>348302</v>
      </c>
      <c r="L100" s="890">
        <f t="shared" si="16"/>
        <v>348302</v>
      </c>
      <c r="M100" s="890">
        <f t="shared" si="16"/>
        <v>0</v>
      </c>
      <c r="N100" s="890">
        <f t="shared" si="16"/>
        <v>20488</v>
      </c>
      <c r="O100" s="890">
        <f t="shared" si="16"/>
        <v>20488</v>
      </c>
      <c r="P100" s="890">
        <f t="shared" si="16"/>
        <v>20488</v>
      </c>
      <c r="Q100" s="890">
        <f t="shared" si="16"/>
        <v>0</v>
      </c>
      <c r="R100" s="890">
        <f t="shared" si="16"/>
        <v>0</v>
      </c>
      <c r="S100" s="890">
        <f t="shared" si="16"/>
        <v>0</v>
      </c>
      <c r="T100" s="890">
        <f t="shared" si="16"/>
        <v>0</v>
      </c>
      <c r="U100" s="890">
        <f t="shared" si="16"/>
        <v>0</v>
      </c>
      <c r="V100" s="890">
        <f t="shared" si="16"/>
        <v>0</v>
      </c>
      <c r="W100" s="890">
        <f t="shared" si="16"/>
        <v>0</v>
      </c>
    </row>
    <row r="101" spans="1:23" s="558" customFormat="1" ht="14.25" customHeight="1">
      <c r="A101" s="903"/>
      <c r="B101" s="904"/>
      <c r="C101" s="915"/>
      <c r="D101" s="906"/>
      <c r="E101" s="904"/>
      <c r="F101" s="903"/>
      <c r="G101" s="557">
        <v>0</v>
      </c>
      <c r="H101" s="557">
        <v>0</v>
      </c>
      <c r="I101" s="902"/>
      <c r="J101" s="891"/>
      <c r="K101" s="891"/>
      <c r="L101" s="891"/>
      <c r="M101" s="891"/>
      <c r="N101" s="891"/>
      <c r="O101" s="891"/>
      <c r="P101" s="891"/>
      <c r="Q101" s="891"/>
      <c r="R101" s="891"/>
      <c r="S101" s="891"/>
      <c r="T101" s="891"/>
      <c r="U101" s="891"/>
      <c r="V101" s="891"/>
      <c r="W101" s="891"/>
    </row>
    <row r="102" spans="1:23" s="558" customFormat="1" ht="14.25" hidden="1" customHeight="1">
      <c r="A102" s="903">
        <v>4</v>
      </c>
      <c r="B102" s="904" t="s">
        <v>972</v>
      </c>
      <c r="C102" s="913" t="s">
        <v>980</v>
      </c>
      <c r="D102" s="906" t="s">
        <v>400</v>
      </c>
      <c r="E102" s="904" t="s">
        <v>981</v>
      </c>
      <c r="F102" s="903" t="s">
        <v>971</v>
      </c>
      <c r="G102" s="557">
        <f>G104+G103+G105+G106</f>
        <v>246714</v>
      </c>
      <c r="H102" s="557">
        <f>H103+H104+H105+H106</f>
        <v>141102</v>
      </c>
      <c r="I102" s="901" t="s">
        <v>0</v>
      </c>
      <c r="J102" s="890">
        <f>K102+N102</f>
        <v>105612</v>
      </c>
      <c r="K102" s="890">
        <f>L102+M102</f>
        <v>99744</v>
      </c>
      <c r="L102" s="890">
        <v>99744</v>
      </c>
      <c r="M102" s="890">
        <v>0</v>
      </c>
      <c r="N102" s="890">
        <f>O102+R102+U102</f>
        <v>5868</v>
      </c>
      <c r="O102" s="890">
        <f>P102+Q102</f>
        <v>5868</v>
      </c>
      <c r="P102" s="890">
        <v>5868</v>
      </c>
      <c r="Q102" s="890">
        <v>0</v>
      </c>
      <c r="R102" s="890">
        <f>S102+T102</f>
        <v>0</v>
      </c>
      <c r="S102" s="890">
        <v>0</v>
      </c>
      <c r="T102" s="890">
        <v>0</v>
      </c>
      <c r="U102" s="890">
        <f>V102+W102</f>
        <v>0</v>
      </c>
      <c r="V102" s="890">
        <f>W102+Z102</f>
        <v>0</v>
      </c>
      <c r="W102" s="890">
        <f>X102+AA102</f>
        <v>0</v>
      </c>
    </row>
    <row r="103" spans="1:23" s="558" customFormat="1" ht="14.25" hidden="1" customHeight="1">
      <c r="A103" s="903"/>
      <c r="B103" s="904"/>
      <c r="C103" s="914"/>
      <c r="D103" s="906"/>
      <c r="E103" s="904"/>
      <c r="F103" s="903"/>
      <c r="G103" s="557">
        <v>233007</v>
      </c>
      <c r="H103" s="557">
        <v>133263</v>
      </c>
      <c r="I103" s="902"/>
      <c r="J103" s="891"/>
      <c r="K103" s="891"/>
      <c r="L103" s="891"/>
      <c r="M103" s="891"/>
      <c r="N103" s="891"/>
      <c r="O103" s="891"/>
      <c r="P103" s="891"/>
      <c r="Q103" s="891"/>
      <c r="R103" s="891"/>
      <c r="S103" s="891"/>
      <c r="T103" s="891"/>
      <c r="U103" s="891"/>
      <c r="V103" s="891"/>
      <c r="W103" s="891"/>
    </row>
    <row r="104" spans="1:23" s="558" customFormat="1" ht="14.25" hidden="1" customHeight="1">
      <c r="A104" s="903"/>
      <c r="B104" s="904"/>
      <c r="C104" s="914"/>
      <c r="D104" s="906"/>
      <c r="E104" s="904"/>
      <c r="F104" s="903"/>
      <c r="G104" s="557">
        <v>13707</v>
      </c>
      <c r="H104" s="557">
        <v>7839</v>
      </c>
      <c r="I104" s="559" t="s">
        <v>1</v>
      </c>
      <c r="J104" s="560">
        <f>K104+N104</f>
        <v>0</v>
      </c>
      <c r="K104" s="560">
        <f>L104+M104</f>
        <v>0</v>
      </c>
      <c r="L104" s="561">
        <v>0</v>
      </c>
      <c r="M104" s="561">
        <v>0</v>
      </c>
      <c r="N104" s="560">
        <f>O104+R104+U104</f>
        <v>0</v>
      </c>
      <c r="O104" s="560">
        <f>P104+Q104</f>
        <v>0</v>
      </c>
      <c r="P104" s="561">
        <v>0</v>
      </c>
      <c r="Q104" s="561">
        <v>0</v>
      </c>
      <c r="R104" s="560">
        <f>T104+S104</f>
        <v>0</v>
      </c>
      <c r="S104" s="561">
        <v>0</v>
      </c>
      <c r="T104" s="561">
        <v>0</v>
      </c>
      <c r="U104" s="560">
        <f>V104+W104</f>
        <v>0</v>
      </c>
      <c r="V104" s="561">
        <v>0</v>
      </c>
      <c r="W104" s="561">
        <v>0</v>
      </c>
    </row>
    <row r="105" spans="1:23" s="558" customFormat="1" ht="14.25" hidden="1" customHeight="1">
      <c r="A105" s="903"/>
      <c r="B105" s="904"/>
      <c r="C105" s="914"/>
      <c r="D105" s="906"/>
      <c r="E105" s="904"/>
      <c r="F105" s="903"/>
      <c r="G105" s="557">
        <v>0</v>
      </c>
      <c r="H105" s="557">
        <v>0</v>
      </c>
      <c r="I105" s="901" t="s">
        <v>2</v>
      </c>
      <c r="J105" s="890">
        <f t="shared" ref="J105:W105" si="17">J102+J104</f>
        <v>105612</v>
      </c>
      <c r="K105" s="890">
        <f t="shared" si="17"/>
        <v>99744</v>
      </c>
      <c r="L105" s="890">
        <f t="shared" si="17"/>
        <v>99744</v>
      </c>
      <c r="M105" s="890">
        <f t="shared" si="17"/>
        <v>0</v>
      </c>
      <c r="N105" s="890">
        <f t="shared" si="17"/>
        <v>5868</v>
      </c>
      <c r="O105" s="890">
        <f t="shared" si="17"/>
        <v>5868</v>
      </c>
      <c r="P105" s="890">
        <f t="shared" si="17"/>
        <v>5868</v>
      </c>
      <c r="Q105" s="890">
        <f t="shared" si="17"/>
        <v>0</v>
      </c>
      <c r="R105" s="890">
        <f t="shared" si="17"/>
        <v>0</v>
      </c>
      <c r="S105" s="890">
        <f t="shared" si="17"/>
        <v>0</v>
      </c>
      <c r="T105" s="890">
        <f t="shared" si="17"/>
        <v>0</v>
      </c>
      <c r="U105" s="890">
        <f t="shared" si="17"/>
        <v>0</v>
      </c>
      <c r="V105" s="890">
        <f t="shared" si="17"/>
        <v>0</v>
      </c>
      <c r="W105" s="890">
        <f t="shared" si="17"/>
        <v>0</v>
      </c>
    </row>
    <row r="106" spans="1:23" s="558" customFormat="1" ht="14.25" hidden="1" customHeight="1">
      <c r="A106" s="903"/>
      <c r="B106" s="904"/>
      <c r="C106" s="915"/>
      <c r="D106" s="906"/>
      <c r="E106" s="904"/>
      <c r="F106" s="903"/>
      <c r="G106" s="557">
        <v>0</v>
      </c>
      <c r="H106" s="557">
        <v>0</v>
      </c>
      <c r="I106" s="902"/>
      <c r="J106" s="891"/>
      <c r="K106" s="891"/>
      <c r="L106" s="891"/>
      <c r="M106" s="891"/>
      <c r="N106" s="891"/>
      <c r="O106" s="891"/>
      <c r="P106" s="891"/>
      <c r="Q106" s="891"/>
      <c r="R106" s="891"/>
      <c r="S106" s="891"/>
      <c r="T106" s="891"/>
      <c r="U106" s="891"/>
      <c r="V106" s="891"/>
      <c r="W106" s="891"/>
    </row>
    <row r="107" spans="1:23" s="558" customFormat="1" ht="14.25" customHeight="1">
      <c r="A107" s="903">
        <v>6</v>
      </c>
      <c r="B107" s="904" t="s">
        <v>982</v>
      </c>
      <c r="C107" s="913" t="s">
        <v>705</v>
      </c>
      <c r="D107" s="906" t="s">
        <v>983</v>
      </c>
      <c r="E107" s="904" t="s">
        <v>984</v>
      </c>
      <c r="F107" s="903" t="s">
        <v>985</v>
      </c>
      <c r="G107" s="557">
        <f>G109+G108+G110+G111</f>
        <v>4709250</v>
      </c>
      <c r="H107" s="557">
        <f>H108+H109+H110+H111</f>
        <v>2737635</v>
      </c>
      <c r="I107" s="901" t="s">
        <v>0</v>
      </c>
      <c r="J107" s="890">
        <f>K107+N107</f>
        <v>931008</v>
      </c>
      <c r="K107" s="890">
        <f>L107+M107</f>
        <v>879285</v>
      </c>
      <c r="L107" s="890">
        <v>879285</v>
      </c>
      <c r="M107" s="890">
        <v>0</v>
      </c>
      <c r="N107" s="890">
        <f>O107+R107+U107</f>
        <v>51723</v>
      </c>
      <c r="O107" s="890">
        <f>P107+Q107</f>
        <v>51723</v>
      </c>
      <c r="P107" s="890">
        <v>51723</v>
      </c>
      <c r="Q107" s="890">
        <v>0</v>
      </c>
      <c r="R107" s="890">
        <f>S107+T107</f>
        <v>0</v>
      </c>
      <c r="S107" s="890">
        <v>0</v>
      </c>
      <c r="T107" s="890">
        <v>0</v>
      </c>
      <c r="U107" s="890">
        <f>V107+W107</f>
        <v>0</v>
      </c>
      <c r="V107" s="890">
        <f>W107+Z107</f>
        <v>0</v>
      </c>
      <c r="W107" s="890">
        <f>X107+AA107</f>
        <v>0</v>
      </c>
    </row>
    <row r="108" spans="1:23" s="558" customFormat="1" ht="14.25" customHeight="1">
      <c r="A108" s="903"/>
      <c r="B108" s="904"/>
      <c r="C108" s="914"/>
      <c r="D108" s="906"/>
      <c r="E108" s="904"/>
      <c r="F108" s="903"/>
      <c r="G108" s="557">
        <v>4447625</v>
      </c>
      <c r="H108" s="557">
        <v>2585544</v>
      </c>
      <c r="I108" s="902"/>
      <c r="J108" s="891"/>
      <c r="K108" s="891"/>
      <c r="L108" s="891"/>
      <c r="M108" s="891"/>
      <c r="N108" s="891"/>
      <c r="O108" s="891"/>
      <c r="P108" s="891"/>
      <c r="Q108" s="891"/>
      <c r="R108" s="891"/>
      <c r="S108" s="891"/>
      <c r="T108" s="891"/>
      <c r="U108" s="891"/>
      <c r="V108" s="891"/>
      <c r="W108" s="891"/>
    </row>
    <row r="109" spans="1:23" s="558" customFormat="1" ht="21" customHeight="1">
      <c r="A109" s="903"/>
      <c r="B109" s="904"/>
      <c r="C109" s="914"/>
      <c r="D109" s="906"/>
      <c r="E109" s="904"/>
      <c r="F109" s="903"/>
      <c r="G109" s="557">
        <v>261625</v>
      </c>
      <c r="H109" s="557">
        <v>152091</v>
      </c>
      <c r="I109" s="559" t="s">
        <v>1</v>
      </c>
      <c r="J109" s="560">
        <f>K109+N109</f>
        <v>709916</v>
      </c>
      <c r="K109" s="560">
        <f>L109+M109</f>
        <v>670476</v>
      </c>
      <c r="L109" s="561">
        <v>670476</v>
      </c>
      <c r="M109" s="561">
        <v>0</v>
      </c>
      <c r="N109" s="560">
        <f>O109+R109+U109</f>
        <v>39440</v>
      </c>
      <c r="O109" s="560">
        <f>P109+Q109</f>
        <v>39440</v>
      </c>
      <c r="P109" s="561">
        <v>39440</v>
      </c>
      <c r="Q109" s="561">
        <v>0</v>
      </c>
      <c r="R109" s="560">
        <f>T109+S109</f>
        <v>0</v>
      </c>
      <c r="S109" s="561">
        <v>0</v>
      </c>
      <c r="T109" s="561">
        <v>0</v>
      </c>
      <c r="U109" s="560">
        <f>V109+W109</f>
        <v>0</v>
      </c>
      <c r="V109" s="561">
        <v>0</v>
      </c>
      <c r="W109" s="561">
        <v>0</v>
      </c>
    </row>
    <row r="110" spans="1:23" s="558" customFormat="1" ht="14.25" customHeight="1">
      <c r="A110" s="903"/>
      <c r="B110" s="904"/>
      <c r="C110" s="914"/>
      <c r="D110" s="906"/>
      <c r="E110" s="904"/>
      <c r="F110" s="903"/>
      <c r="G110" s="557">
        <v>0</v>
      </c>
      <c r="H110" s="557">
        <v>0</v>
      </c>
      <c r="I110" s="901" t="s">
        <v>2</v>
      </c>
      <c r="J110" s="890">
        <f t="shared" ref="J110:W110" si="18">J107+J109</f>
        <v>1640924</v>
      </c>
      <c r="K110" s="890">
        <f t="shared" si="18"/>
        <v>1549761</v>
      </c>
      <c r="L110" s="890">
        <f t="shared" si="18"/>
        <v>1549761</v>
      </c>
      <c r="M110" s="890">
        <f t="shared" si="18"/>
        <v>0</v>
      </c>
      <c r="N110" s="890">
        <f t="shared" si="18"/>
        <v>91163</v>
      </c>
      <c r="O110" s="890">
        <f t="shared" si="18"/>
        <v>91163</v>
      </c>
      <c r="P110" s="890">
        <f t="shared" si="18"/>
        <v>91163</v>
      </c>
      <c r="Q110" s="890">
        <f t="shared" si="18"/>
        <v>0</v>
      </c>
      <c r="R110" s="890">
        <f t="shared" si="18"/>
        <v>0</v>
      </c>
      <c r="S110" s="890">
        <f t="shared" si="18"/>
        <v>0</v>
      </c>
      <c r="T110" s="890">
        <f t="shared" si="18"/>
        <v>0</v>
      </c>
      <c r="U110" s="890">
        <f t="shared" si="18"/>
        <v>0</v>
      </c>
      <c r="V110" s="890">
        <f t="shared" si="18"/>
        <v>0</v>
      </c>
      <c r="W110" s="890">
        <f t="shared" si="18"/>
        <v>0</v>
      </c>
    </row>
    <row r="111" spans="1:23" s="558" customFormat="1" ht="14.25" customHeight="1">
      <c r="A111" s="903"/>
      <c r="B111" s="904"/>
      <c r="C111" s="915"/>
      <c r="D111" s="906"/>
      <c r="E111" s="904"/>
      <c r="F111" s="903"/>
      <c r="G111" s="557">
        <v>0</v>
      </c>
      <c r="H111" s="557">
        <v>0</v>
      </c>
      <c r="I111" s="902"/>
      <c r="J111" s="891"/>
      <c r="K111" s="891"/>
      <c r="L111" s="891"/>
      <c r="M111" s="891"/>
      <c r="N111" s="891"/>
      <c r="O111" s="891"/>
      <c r="P111" s="891"/>
      <c r="Q111" s="891"/>
      <c r="R111" s="891"/>
      <c r="S111" s="891"/>
      <c r="T111" s="891"/>
      <c r="U111" s="891"/>
      <c r="V111" s="891"/>
      <c r="W111" s="891"/>
    </row>
    <row r="112" spans="1:23" s="558" customFormat="1" ht="16.5" customHeight="1">
      <c r="A112" s="903">
        <v>7</v>
      </c>
      <c r="B112" s="904" t="s">
        <v>986</v>
      </c>
      <c r="C112" s="913" t="s">
        <v>708</v>
      </c>
      <c r="D112" s="906" t="s">
        <v>987</v>
      </c>
      <c r="E112" s="904" t="s">
        <v>988</v>
      </c>
      <c r="F112" s="903" t="s">
        <v>985</v>
      </c>
      <c r="G112" s="557">
        <f>G114+G113+G115+G116</f>
        <v>5291172</v>
      </c>
      <c r="H112" s="557">
        <f>H113+H114+H115+H116</f>
        <v>63781</v>
      </c>
      <c r="I112" s="901" t="s">
        <v>0</v>
      </c>
      <c r="J112" s="890">
        <f>K112+N112</f>
        <v>2777266</v>
      </c>
      <c r="K112" s="890">
        <f>L112+M112</f>
        <v>2622973</v>
      </c>
      <c r="L112" s="890">
        <v>2622973</v>
      </c>
      <c r="M112" s="890">
        <v>0</v>
      </c>
      <c r="N112" s="890">
        <f>O112+R112+U112</f>
        <v>154293</v>
      </c>
      <c r="O112" s="890">
        <f>P112+Q112</f>
        <v>154293</v>
      </c>
      <c r="P112" s="890">
        <v>154293</v>
      </c>
      <c r="Q112" s="890">
        <v>0</v>
      </c>
      <c r="R112" s="890">
        <f>S112+T112</f>
        <v>0</v>
      </c>
      <c r="S112" s="890">
        <v>0</v>
      </c>
      <c r="T112" s="890">
        <v>0</v>
      </c>
      <c r="U112" s="890">
        <f>V112+W112</f>
        <v>0</v>
      </c>
      <c r="V112" s="890">
        <f>W112+Z112</f>
        <v>0</v>
      </c>
      <c r="W112" s="890">
        <f>X112+AA112</f>
        <v>0</v>
      </c>
    </row>
    <row r="113" spans="1:23" s="558" customFormat="1" ht="16.5" customHeight="1">
      <c r="A113" s="903"/>
      <c r="B113" s="904"/>
      <c r="C113" s="914"/>
      <c r="D113" s="906"/>
      <c r="E113" s="904"/>
      <c r="F113" s="903"/>
      <c r="G113" s="557">
        <v>4997218</v>
      </c>
      <c r="H113" s="557">
        <v>60237</v>
      </c>
      <c r="I113" s="902"/>
      <c r="J113" s="891"/>
      <c r="K113" s="891"/>
      <c r="L113" s="891"/>
      <c r="M113" s="891"/>
      <c r="N113" s="891"/>
      <c r="O113" s="891"/>
      <c r="P113" s="891"/>
      <c r="Q113" s="891"/>
      <c r="R113" s="891"/>
      <c r="S113" s="891"/>
      <c r="T113" s="891"/>
      <c r="U113" s="891"/>
      <c r="V113" s="891"/>
      <c r="W113" s="891"/>
    </row>
    <row r="114" spans="1:23" s="558" customFormat="1" ht="15.75" customHeight="1">
      <c r="A114" s="903"/>
      <c r="B114" s="904"/>
      <c r="C114" s="914"/>
      <c r="D114" s="906"/>
      <c r="E114" s="904"/>
      <c r="F114" s="903"/>
      <c r="G114" s="557">
        <v>293954</v>
      </c>
      <c r="H114" s="557">
        <v>3544</v>
      </c>
      <c r="I114" s="559" t="s">
        <v>1</v>
      </c>
      <c r="J114" s="560">
        <f>K114+N114</f>
        <v>737004</v>
      </c>
      <c r="K114" s="560">
        <f>L114+M114</f>
        <v>696060</v>
      </c>
      <c r="L114" s="561">
        <v>696060</v>
      </c>
      <c r="M114" s="561">
        <v>0</v>
      </c>
      <c r="N114" s="560">
        <f>O114+R114+U114</f>
        <v>40944</v>
      </c>
      <c r="O114" s="560">
        <f>P114+Q114</f>
        <v>40944</v>
      </c>
      <c r="P114" s="561">
        <v>40944</v>
      </c>
      <c r="Q114" s="561">
        <v>0</v>
      </c>
      <c r="R114" s="560">
        <f>T114+S114</f>
        <v>0</v>
      </c>
      <c r="S114" s="561">
        <v>0</v>
      </c>
      <c r="T114" s="561">
        <v>0</v>
      </c>
      <c r="U114" s="560">
        <f>V114+W114</f>
        <v>0</v>
      </c>
      <c r="V114" s="561">
        <v>0</v>
      </c>
      <c r="W114" s="561">
        <v>0</v>
      </c>
    </row>
    <row r="115" spans="1:23" s="558" customFormat="1" ht="12.75" customHeight="1">
      <c r="A115" s="903"/>
      <c r="B115" s="904"/>
      <c r="C115" s="914"/>
      <c r="D115" s="906"/>
      <c r="E115" s="904"/>
      <c r="F115" s="903"/>
      <c r="G115" s="557">
        <v>0</v>
      </c>
      <c r="H115" s="557">
        <v>0</v>
      </c>
      <c r="I115" s="901" t="s">
        <v>2</v>
      </c>
      <c r="J115" s="890">
        <f t="shared" ref="J115:W115" si="19">J112+J114</f>
        <v>3514270</v>
      </c>
      <c r="K115" s="890">
        <f t="shared" si="19"/>
        <v>3319033</v>
      </c>
      <c r="L115" s="890">
        <f t="shared" si="19"/>
        <v>3319033</v>
      </c>
      <c r="M115" s="890">
        <f t="shared" si="19"/>
        <v>0</v>
      </c>
      <c r="N115" s="890">
        <f t="shared" si="19"/>
        <v>195237</v>
      </c>
      <c r="O115" s="890">
        <f t="shared" si="19"/>
        <v>195237</v>
      </c>
      <c r="P115" s="890">
        <f t="shared" si="19"/>
        <v>195237</v>
      </c>
      <c r="Q115" s="890">
        <f t="shared" si="19"/>
        <v>0</v>
      </c>
      <c r="R115" s="890">
        <f t="shared" si="19"/>
        <v>0</v>
      </c>
      <c r="S115" s="890">
        <f t="shared" si="19"/>
        <v>0</v>
      </c>
      <c r="T115" s="890">
        <f t="shared" si="19"/>
        <v>0</v>
      </c>
      <c r="U115" s="890">
        <f t="shared" si="19"/>
        <v>0</v>
      </c>
      <c r="V115" s="890">
        <f t="shared" si="19"/>
        <v>0</v>
      </c>
      <c r="W115" s="890">
        <f t="shared" si="19"/>
        <v>0</v>
      </c>
    </row>
    <row r="116" spans="1:23" s="558" customFormat="1" ht="12.75" customHeight="1">
      <c r="A116" s="903"/>
      <c r="B116" s="904"/>
      <c r="C116" s="915"/>
      <c r="D116" s="906"/>
      <c r="E116" s="904"/>
      <c r="F116" s="903"/>
      <c r="G116" s="557">
        <v>0</v>
      </c>
      <c r="H116" s="557">
        <v>0</v>
      </c>
      <c r="I116" s="902"/>
      <c r="J116" s="891"/>
      <c r="K116" s="891"/>
      <c r="L116" s="891"/>
      <c r="M116" s="891"/>
      <c r="N116" s="891"/>
      <c r="O116" s="891"/>
      <c r="P116" s="891"/>
      <c r="Q116" s="891"/>
      <c r="R116" s="891"/>
      <c r="S116" s="891"/>
      <c r="T116" s="891"/>
      <c r="U116" s="891"/>
      <c r="V116" s="891"/>
      <c r="W116" s="891"/>
    </row>
    <row r="117" spans="1:23" s="558" customFormat="1" ht="14.25" hidden="1" customHeight="1">
      <c r="A117" s="903">
        <v>19</v>
      </c>
      <c r="B117" s="904" t="s">
        <v>986</v>
      </c>
      <c r="C117" s="913" t="s">
        <v>989</v>
      </c>
      <c r="D117" s="906" t="s">
        <v>990</v>
      </c>
      <c r="E117" s="904" t="s">
        <v>988</v>
      </c>
      <c r="F117" s="903" t="s">
        <v>991</v>
      </c>
      <c r="G117" s="557">
        <f>G119+G118+G120+G121</f>
        <v>5966721</v>
      </c>
      <c r="H117" s="557">
        <f>H118+H119+H120+H121</f>
        <v>0</v>
      </c>
      <c r="I117" s="901" t="s">
        <v>0</v>
      </c>
      <c r="J117" s="890">
        <f>K117+N117</f>
        <v>2693759</v>
      </c>
      <c r="K117" s="890">
        <f>L117+M117</f>
        <v>2543986</v>
      </c>
      <c r="L117" s="890">
        <v>2543986</v>
      </c>
      <c r="M117" s="890">
        <v>0</v>
      </c>
      <c r="N117" s="890">
        <f>O117+R117+U117</f>
        <v>149773</v>
      </c>
      <c r="O117" s="890">
        <f>P117+Q117</f>
        <v>149773</v>
      </c>
      <c r="P117" s="890">
        <v>149773</v>
      </c>
      <c r="Q117" s="890">
        <v>0</v>
      </c>
      <c r="R117" s="890">
        <f>S117+T117</f>
        <v>0</v>
      </c>
      <c r="S117" s="890">
        <v>0</v>
      </c>
      <c r="T117" s="890">
        <v>0</v>
      </c>
      <c r="U117" s="890">
        <f>V117+W117</f>
        <v>0</v>
      </c>
      <c r="V117" s="890">
        <f>W117+Z117</f>
        <v>0</v>
      </c>
      <c r="W117" s="890">
        <f>X117+AA117</f>
        <v>0</v>
      </c>
    </row>
    <row r="118" spans="1:23" s="558" customFormat="1" ht="14.25" hidden="1" customHeight="1">
      <c r="A118" s="903"/>
      <c r="B118" s="904"/>
      <c r="C118" s="914"/>
      <c r="D118" s="906"/>
      <c r="E118" s="904"/>
      <c r="F118" s="903"/>
      <c r="G118" s="557">
        <v>5635236</v>
      </c>
      <c r="H118" s="557">
        <v>0</v>
      </c>
      <c r="I118" s="902"/>
      <c r="J118" s="891"/>
      <c r="K118" s="891"/>
      <c r="L118" s="891"/>
      <c r="M118" s="891"/>
      <c r="N118" s="891"/>
      <c r="O118" s="891"/>
      <c r="P118" s="891"/>
      <c r="Q118" s="891"/>
      <c r="R118" s="891"/>
      <c r="S118" s="891"/>
      <c r="T118" s="891"/>
      <c r="U118" s="891"/>
      <c r="V118" s="891"/>
      <c r="W118" s="891"/>
    </row>
    <row r="119" spans="1:23" s="558" customFormat="1" ht="14.25" hidden="1" customHeight="1">
      <c r="A119" s="903"/>
      <c r="B119" s="904"/>
      <c r="C119" s="914"/>
      <c r="D119" s="906"/>
      <c r="E119" s="904"/>
      <c r="F119" s="903"/>
      <c r="G119" s="557">
        <v>331485</v>
      </c>
      <c r="H119" s="557">
        <v>0</v>
      </c>
      <c r="I119" s="559" t="s">
        <v>1</v>
      </c>
      <c r="J119" s="560">
        <f>K119+N119</f>
        <v>0</v>
      </c>
      <c r="K119" s="560">
        <f>L119+M119</f>
        <v>0</v>
      </c>
      <c r="L119" s="561">
        <v>0</v>
      </c>
      <c r="M119" s="561">
        <v>0</v>
      </c>
      <c r="N119" s="560">
        <f>O119+R119+U119</f>
        <v>0</v>
      </c>
      <c r="O119" s="560">
        <f>P119+Q119</f>
        <v>0</v>
      </c>
      <c r="P119" s="561">
        <v>0</v>
      </c>
      <c r="Q119" s="561">
        <v>0</v>
      </c>
      <c r="R119" s="560">
        <f>T119+S119</f>
        <v>0</v>
      </c>
      <c r="S119" s="561">
        <v>0</v>
      </c>
      <c r="T119" s="561">
        <v>0</v>
      </c>
      <c r="U119" s="560">
        <f>V119+W119</f>
        <v>0</v>
      </c>
      <c r="V119" s="561">
        <v>0</v>
      </c>
      <c r="W119" s="561">
        <v>0</v>
      </c>
    </row>
    <row r="120" spans="1:23" s="558" customFormat="1" ht="14.25" hidden="1" customHeight="1">
      <c r="A120" s="903"/>
      <c r="B120" s="904"/>
      <c r="C120" s="914"/>
      <c r="D120" s="906"/>
      <c r="E120" s="904"/>
      <c r="F120" s="903"/>
      <c r="G120" s="557">
        <v>0</v>
      </c>
      <c r="H120" s="557">
        <v>0</v>
      </c>
      <c r="I120" s="901" t="s">
        <v>2</v>
      </c>
      <c r="J120" s="890">
        <f t="shared" ref="J120:W120" si="20">J117+J119</f>
        <v>2693759</v>
      </c>
      <c r="K120" s="890">
        <f t="shared" si="20"/>
        <v>2543986</v>
      </c>
      <c r="L120" s="890">
        <f t="shared" si="20"/>
        <v>2543986</v>
      </c>
      <c r="M120" s="890">
        <f t="shared" si="20"/>
        <v>0</v>
      </c>
      <c r="N120" s="890">
        <f t="shared" si="20"/>
        <v>149773</v>
      </c>
      <c r="O120" s="890">
        <f t="shared" si="20"/>
        <v>149773</v>
      </c>
      <c r="P120" s="890">
        <f t="shared" si="20"/>
        <v>149773</v>
      </c>
      <c r="Q120" s="890">
        <f t="shared" si="20"/>
        <v>0</v>
      </c>
      <c r="R120" s="890">
        <f t="shared" si="20"/>
        <v>0</v>
      </c>
      <c r="S120" s="890">
        <f t="shared" si="20"/>
        <v>0</v>
      </c>
      <c r="T120" s="890">
        <f t="shared" si="20"/>
        <v>0</v>
      </c>
      <c r="U120" s="890">
        <f t="shared" si="20"/>
        <v>0</v>
      </c>
      <c r="V120" s="890">
        <f t="shared" si="20"/>
        <v>0</v>
      </c>
      <c r="W120" s="890">
        <f t="shared" si="20"/>
        <v>0</v>
      </c>
    </row>
    <row r="121" spans="1:23" s="558" customFormat="1" ht="14.25" hidden="1" customHeight="1">
      <c r="A121" s="903"/>
      <c r="B121" s="904"/>
      <c r="C121" s="915"/>
      <c r="D121" s="906"/>
      <c r="E121" s="904"/>
      <c r="F121" s="903"/>
      <c r="G121" s="557">
        <v>0</v>
      </c>
      <c r="H121" s="557">
        <v>0</v>
      </c>
      <c r="I121" s="902"/>
      <c r="J121" s="891"/>
      <c r="K121" s="891"/>
      <c r="L121" s="891"/>
      <c r="M121" s="891"/>
      <c r="N121" s="891"/>
      <c r="O121" s="891"/>
      <c r="P121" s="891"/>
      <c r="Q121" s="891"/>
      <c r="R121" s="891"/>
      <c r="S121" s="891"/>
      <c r="T121" s="891"/>
      <c r="U121" s="891"/>
      <c r="V121" s="891"/>
      <c r="W121" s="891"/>
    </row>
    <row r="122" spans="1:23" s="558" customFormat="1" ht="14.25" customHeight="1">
      <c r="A122" s="903">
        <v>8</v>
      </c>
      <c r="B122" s="904" t="s">
        <v>992</v>
      </c>
      <c r="C122" s="913" t="s">
        <v>993</v>
      </c>
      <c r="D122" s="906" t="s">
        <v>359</v>
      </c>
      <c r="E122" s="904" t="s">
        <v>994</v>
      </c>
      <c r="F122" s="903" t="s">
        <v>944</v>
      </c>
      <c r="G122" s="557">
        <f>G124+G123+G125+G126</f>
        <v>13464000</v>
      </c>
      <c r="H122" s="557">
        <f>H123+H124+H125+H126</f>
        <v>2714132</v>
      </c>
      <c r="I122" s="901" t="s">
        <v>0</v>
      </c>
      <c r="J122" s="890">
        <f>K122+N122</f>
        <v>5295480</v>
      </c>
      <c r="K122" s="890">
        <f>L122+M122</f>
        <v>4501158</v>
      </c>
      <c r="L122" s="890">
        <v>4501158</v>
      </c>
      <c r="M122" s="890">
        <v>0</v>
      </c>
      <c r="N122" s="890">
        <f>O122+R122+U122</f>
        <v>794322</v>
      </c>
      <c r="O122" s="890">
        <f>P122+Q122</f>
        <v>264774</v>
      </c>
      <c r="P122" s="890">
        <v>264774</v>
      </c>
      <c r="Q122" s="890">
        <v>0</v>
      </c>
      <c r="R122" s="890">
        <f>S122+T122</f>
        <v>529548</v>
      </c>
      <c r="S122" s="890">
        <v>529548</v>
      </c>
      <c r="T122" s="890">
        <v>0</v>
      </c>
      <c r="U122" s="890">
        <f>V122+W122</f>
        <v>0</v>
      </c>
      <c r="V122" s="890">
        <f>W122+Z122</f>
        <v>0</v>
      </c>
      <c r="W122" s="890">
        <f>X122+AA122</f>
        <v>0</v>
      </c>
    </row>
    <row r="123" spans="1:23" s="558" customFormat="1" ht="14.25" customHeight="1">
      <c r="A123" s="903"/>
      <c r="B123" s="904"/>
      <c r="C123" s="914"/>
      <c r="D123" s="906"/>
      <c r="E123" s="904"/>
      <c r="F123" s="903"/>
      <c r="G123" s="557">
        <v>11444400</v>
      </c>
      <c r="H123" s="557">
        <v>2307012</v>
      </c>
      <c r="I123" s="902"/>
      <c r="J123" s="891"/>
      <c r="K123" s="891"/>
      <c r="L123" s="891"/>
      <c r="M123" s="891"/>
      <c r="N123" s="891"/>
      <c r="O123" s="891"/>
      <c r="P123" s="891"/>
      <c r="Q123" s="891"/>
      <c r="R123" s="891"/>
      <c r="S123" s="891"/>
      <c r="T123" s="891"/>
      <c r="U123" s="891"/>
      <c r="V123" s="891"/>
      <c r="W123" s="891"/>
    </row>
    <row r="124" spans="1:23" s="558" customFormat="1" ht="14.25" customHeight="1">
      <c r="A124" s="903"/>
      <c r="B124" s="904"/>
      <c r="C124" s="914"/>
      <c r="D124" s="906"/>
      <c r="E124" s="904"/>
      <c r="F124" s="903"/>
      <c r="G124" s="557">
        <v>673200</v>
      </c>
      <c r="H124" s="557">
        <v>135707</v>
      </c>
      <c r="I124" s="559" t="s">
        <v>1</v>
      </c>
      <c r="J124" s="560">
        <f>K124+N124</f>
        <v>119448</v>
      </c>
      <c r="K124" s="560">
        <f>L124+M124</f>
        <v>101531</v>
      </c>
      <c r="L124" s="561">
        <v>101531</v>
      </c>
      <c r="M124" s="561">
        <v>0</v>
      </c>
      <c r="N124" s="560">
        <f>O124+R124+U124</f>
        <v>17917</v>
      </c>
      <c r="O124" s="560">
        <f>P124+Q124</f>
        <v>5972</v>
      </c>
      <c r="P124" s="561">
        <v>5972</v>
      </c>
      <c r="Q124" s="561">
        <v>0</v>
      </c>
      <c r="R124" s="560">
        <f>T124+S124</f>
        <v>11945</v>
      </c>
      <c r="S124" s="561">
        <v>11945</v>
      </c>
      <c r="T124" s="561">
        <v>0</v>
      </c>
      <c r="U124" s="560">
        <f>V124+W124</f>
        <v>0</v>
      </c>
      <c r="V124" s="561">
        <v>0</v>
      </c>
      <c r="W124" s="561">
        <v>0</v>
      </c>
    </row>
    <row r="125" spans="1:23" s="558" customFormat="1" ht="14.25" customHeight="1">
      <c r="A125" s="903"/>
      <c r="B125" s="904"/>
      <c r="C125" s="914"/>
      <c r="D125" s="906"/>
      <c r="E125" s="904"/>
      <c r="F125" s="903"/>
      <c r="G125" s="557">
        <v>1346400</v>
      </c>
      <c r="H125" s="557">
        <v>271413</v>
      </c>
      <c r="I125" s="901" t="s">
        <v>2</v>
      </c>
      <c r="J125" s="890">
        <f t="shared" ref="J125:W125" si="21">J122+J124</f>
        <v>5414928</v>
      </c>
      <c r="K125" s="890">
        <f t="shared" si="21"/>
        <v>4602689</v>
      </c>
      <c r="L125" s="890">
        <f t="shared" si="21"/>
        <v>4602689</v>
      </c>
      <c r="M125" s="890">
        <f t="shared" si="21"/>
        <v>0</v>
      </c>
      <c r="N125" s="890">
        <f t="shared" si="21"/>
        <v>812239</v>
      </c>
      <c r="O125" s="890">
        <f t="shared" si="21"/>
        <v>270746</v>
      </c>
      <c r="P125" s="890">
        <f t="shared" si="21"/>
        <v>270746</v>
      </c>
      <c r="Q125" s="890">
        <f t="shared" si="21"/>
        <v>0</v>
      </c>
      <c r="R125" s="890">
        <f t="shared" si="21"/>
        <v>541493</v>
      </c>
      <c r="S125" s="890">
        <f t="shared" si="21"/>
        <v>541493</v>
      </c>
      <c r="T125" s="890">
        <f t="shared" si="21"/>
        <v>0</v>
      </c>
      <c r="U125" s="890">
        <f t="shared" si="21"/>
        <v>0</v>
      </c>
      <c r="V125" s="890">
        <f t="shared" si="21"/>
        <v>0</v>
      </c>
      <c r="W125" s="890">
        <f t="shared" si="21"/>
        <v>0</v>
      </c>
    </row>
    <row r="126" spans="1:23" s="558" customFormat="1" ht="14.25" customHeight="1">
      <c r="A126" s="903"/>
      <c r="B126" s="904"/>
      <c r="C126" s="915"/>
      <c r="D126" s="906"/>
      <c r="E126" s="904"/>
      <c r="F126" s="903"/>
      <c r="G126" s="557">
        <v>0</v>
      </c>
      <c r="H126" s="557">
        <v>0</v>
      </c>
      <c r="I126" s="902"/>
      <c r="J126" s="891"/>
      <c r="K126" s="891"/>
      <c r="L126" s="891"/>
      <c r="M126" s="891"/>
      <c r="N126" s="891"/>
      <c r="O126" s="891"/>
      <c r="P126" s="891"/>
      <c r="Q126" s="891"/>
      <c r="R126" s="891"/>
      <c r="S126" s="891"/>
      <c r="T126" s="891"/>
      <c r="U126" s="891"/>
      <c r="V126" s="891"/>
      <c r="W126" s="891"/>
    </row>
    <row r="127" spans="1:23" s="558" customFormat="1" ht="14.25" customHeight="1">
      <c r="A127" s="903">
        <v>9</v>
      </c>
      <c r="B127" s="904" t="s">
        <v>992</v>
      </c>
      <c r="C127" s="913" t="s">
        <v>995</v>
      </c>
      <c r="D127" s="906" t="s">
        <v>359</v>
      </c>
      <c r="E127" s="904" t="s">
        <v>994</v>
      </c>
      <c r="F127" s="903" t="s">
        <v>944</v>
      </c>
      <c r="G127" s="557">
        <f>G129+G128+G130+G131</f>
        <v>5209500</v>
      </c>
      <c r="H127" s="557">
        <f>H128+H129+H130+H131</f>
        <v>1671405</v>
      </c>
      <c r="I127" s="901" t="s">
        <v>0</v>
      </c>
      <c r="J127" s="890">
        <f>K127+N127</f>
        <v>1728800</v>
      </c>
      <c r="K127" s="890">
        <f>L127+M127</f>
        <v>1469480</v>
      </c>
      <c r="L127" s="890">
        <v>1469480</v>
      </c>
      <c r="M127" s="890">
        <v>0</v>
      </c>
      <c r="N127" s="890">
        <f>O127+R127+U127</f>
        <v>259320</v>
      </c>
      <c r="O127" s="890">
        <f>P127+Q127</f>
        <v>86440</v>
      </c>
      <c r="P127" s="890">
        <v>86440</v>
      </c>
      <c r="Q127" s="890">
        <v>0</v>
      </c>
      <c r="R127" s="890">
        <f>S127+T127</f>
        <v>172880</v>
      </c>
      <c r="S127" s="890">
        <v>172880</v>
      </c>
      <c r="T127" s="890">
        <v>0</v>
      </c>
      <c r="U127" s="890">
        <f>V127+W127</f>
        <v>0</v>
      </c>
      <c r="V127" s="890">
        <f>W127+Z127</f>
        <v>0</v>
      </c>
      <c r="W127" s="890">
        <f>X127+AA127</f>
        <v>0</v>
      </c>
    </row>
    <row r="128" spans="1:23" s="558" customFormat="1" ht="14.25" customHeight="1">
      <c r="A128" s="903"/>
      <c r="B128" s="904"/>
      <c r="C128" s="914"/>
      <c r="D128" s="906"/>
      <c r="E128" s="904"/>
      <c r="F128" s="903"/>
      <c r="G128" s="557">
        <v>4428075</v>
      </c>
      <c r="H128" s="557">
        <v>1420694</v>
      </c>
      <c r="I128" s="902"/>
      <c r="J128" s="891"/>
      <c r="K128" s="891"/>
      <c r="L128" s="891"/>
      <c r="M128" s="891"/>
      <c r="N128" s="891"/>
      <c r="O128" s="891"/>
      <c r="P128" s="891"/>
      <c r="Q128" s="891"/>
      <c r="R128" s="891"/>
      <c r="S128" s="891"/>
      <c r="T128" s="891"/>
      <c r="U128" s="891"/>
      <c r="V128" s="891"/>
      <c r="W128" s="891"/>
    </row>
    <row r="129" spans="1:23" s="558" customFormat="1" ht="14.25" customHeight="1">
      <c r="A129" s="903"/>
      <c r="B129" s="904"/>
      <c r="C129" s="914"/>
      <c r="D129" s="906"/>
      <c r="E129" s="904"/>
      <c r="F129" s="903"/>
      <c r="G129" s="557">
        <v>260475</v>
      </c>
      <c r="H129" s="557">
        <v>83571</v>
      </c>
      <c r="I129" s="559" t="s">
        <v>1</v>
      </c>
      <c r="J129" s="560">
        <f>K129+N129</f>
        <v>68495</v>
      </c>
      <c r="K129" s="560">
        <f>L129+M129</f>
        <v>58221</v>
      </c>
      <c r="L129" s="561">
        <v>58221</v>
      </c>
      <c r="M129" s="561">
        <v>0</v>
      </c>
      <c r="N129" s="560">
        <f>O129+R129+U129</f>
        <v>10274</v>
      </c>
      <c r="O129" s="560">
        <f>P129+Q129</f>
        <v>3424</v>
      </c>
      <c r="P129" s="561">
        <v>3424</v>
      </c>
      <c r="Q129" s="561">
        <v>0</v>
      </c>
      <c r="R129" s="560">
        <f>T129+S129</f>
        <v>6850</v>
      </c>
      <c r="S129" s="561">
        <v>6850</v>
      </c>
      <c r="T129" s="561">
        <v>0</v>
      </c>
      <c r="U129" s="560">
        <f>V129+W129</f>
        <v>0</v>
      </c>
      <c r="V129" s="561">
        <v>0</v>
      </c>
      <c r="W129" s="561">
        <v>0</v>
      </c>
    </row>
    <row r="130" spans="1:23" s="558" customFormat="1" ht="14.25" customHeight="1">
      <c r="A130" s="903"/>
      <c r="B130" s="904"/>
      <c r="C130" s="914"/>
      <c r="D130" s="906"/>
      <c r="E130" s="904"/>
      <c r="F130" s="903"/>
      <c r="G130" s="557">
        <v>520950</v>
      </c>
      <c r="H130" s="557">
        <v>167140</v>
      </c>
      <c r="I130" s="901" t="s">
        <v>2</v>
      </c>
      <c r="J130" s="890">
        <f t="shared" ref="J130:W130" si="22">J127+J129</f>
        <v>1797295</v>
      </c>
      <c r="K130" s="890">
        <f t="shared" si="22"/>
        <v>1527701</v>
      </c>
      <c r="L130" s="890">
        <f t="shared" si="22"/>
        <v>1527701</v>
      </c>
      <c r="M130" s="890">
        <f t="shared" si="22"/>
        <v>0</v>
      </c>
      <c r="N130" s="890">
        <f t="shared" si="22"/>
        <v>269594</v>
      </c>
      <c r="O130" s="890">
        <f t="shared" si="22"/>
        <v>89864</v>
      </c>
      <c r="P130" s="890">
        <f t="shared" si="22"/>
        <v>89864</v>
      </c>
      <c r="Q130" s="890">
        <f t="shared" si="22"/>
        <v>0</v>
      </c>
      <c r="R130" s="890">
        <f t="shared" si="22"/>
        <v>179730</v>
      </c>
      <c r="S130" s="890">
        <f t="shared" si="22"/>
        <v>179730</v>
      </c>
      <c r="T130" s="890">
        <f t="shared" si="22"/>
        <v>0</v>
      </c>
      <c r="U130" s="890">
        <f t="shared" si="22"/>
        <v>0</v>
      </c>
      <c r="V130" s="890">
        <f t="shared" si="22"/>
        <v>0</v>
      </c>
      <c r="W130" s="890">
        <f t="shared" si="22"/>
        <v>0</v>
      </c>
    </row>
    <row r="131" spans="1:23" s="558" customFormat="1" ht="14.25" customHeight="1">
      <c r="A131" s="903"/>
      <c r="B131" s="904"/>
      <c r="C131" s="915"/>
      <c r="D131" s="906"/>
      <c r="E131" s="904"/>
      <c r="F131" s="903"/>
      <c r="G131" s="557">
        <v>0</v>
      </c>
      <c r="H131" s="557">
        <v>0</v>
      </c>
      <c r="I131" s="902"/>
      <c r="J131" s="891"/>
      <c r="K131" s="891"/>
      <c r="L131" s="891"/>
      <c r="M131" s="891"/>
      <c r="N131" s="891"/>
      <c r="O131" s="891"/>
      <c r="P131" s="891"/>
      <c r="Q131" s="891"/>
      <c r="R131" s="891"/>
      <c r="S131" s="891"/>
      <c r="T131" s="891"/>
      <c r="U131" s="891"/>
      <c r="V131" s="891"/>
      <c r="W131" s="891"/>
    </row>
    <row r="132" spans="1:23" s="558" customFormat="1" ht="14.25" hidden="1" customHeight="1">
      <c r="A132" s="903">
        <v>22</v>
      </c>
      <c r="B132" s="904" t="s">
        <v>996</v>
      </c>
      <c r="C132" s="913" t="s">
        <v>997</v>
      </c>
      <c r="D132" s="906" t="s">
        <v>990</v>
      </c>
      <c r="E132" s="904" t="s">
        <v>998</v>
      </c>
      <c r="F132" s="903" t="s">
        <v>944</v>
      </c>
      <c r="G132" s="557">
        <f>G134+G133+G135+G136</f>
        <v>39280838</v>
      </c>
      <c r="H132" s="557">
        <f>H133+H134+H135+H136</f>
        <v>9205899</v>
      </c>
      <c r="I132" s="901" t="s">
        <v>0</v>
      </c>
      <c r="J132" s="890">
        <f>K132+N132</f>
        <v>22840419</v>
      </c>
      <c r="K132" s="890">
        <f>L132+M132</f>
        <v>20435324</v>
      </c>
      <c r="L132" s="890">
        <v>20435324</v>
      </c>
      <c r="M132" s="890">
        <v>0</v>
      </c>
      <c r="N132" s="890">
        <f>O132+R132+U132</f>
        <v>2405095</v>
      </c>
      <c r="O132" s="890">
        <f>P132+Q132</f>
        <v>2405095</v>
      </c>
      <c r="P132" s="890">
        <v>2405095</v>
      </c>
      <c r="Q132" s="890">
        <v>0</v>
      </c>
      <c r="R132" s="890">
        <f>S132+T132</f>
        <v>0</v>
      </c>
      <c r="S132" s="890">
        <v>0</v>
      </c>
      <c r="T132" s="890">
        <v>0</v>
      </c>
      <c r="U132" s="890">
        <f>V132+W132</f>
        <v>0</v>
      </c>
      <c r="V132" s="890">
        <f>W132+Z132</f>
        <v>0</v>
      </c>
      <c r="W132" s="890">
        <f>X132+AA132</f>
        <v>0</v>
      </c>
    </row>
    <row r="133" spans="1:23" s="558" customFormat="1" ht="14.25" hidden="1" customHeight="1">
      <c r="A133" s="903"/>
      <c r="B133" s="904"/>
      <c r="C133" s="914"/>
      <c r="D133" s="906"/>
      <c r="E133" s="904"/>
      <c r="F133" s="903"/>
      <c r="G133" s="557">
        <v>35146013</v>
      </c>
      <c r="H133" s="557">
        <v>8305395</v>
      </c>
      <c r="I133" s="902"/>
      <c r="J133" s="891"/>
      <c r="K133" s="891"/>
      <c r="L133" s="891"/>
      <c r="M133" s="891"/>
      <c r="N133" s="891"/>
      <c r="O133" s="891"/>
      <c r="P133" s="891"/>
      <c r="Q133" s="891"/>
      <c r="R133" s="891"/>
      <c r="S133" s="891"/>
      <c r="T133" s="891"/>
      <c r="U133" s="891"/>
      <c r="V133" s="891"/>
      <c r="W133" s="891"/>
    </row>
    <row r="134" spans="1:23" s="558" customFormat="1" ht="14.25" hidden="1" customHeight="1">
      <c r="A134" s="903"/>
      <c r="B134" s="904"/>
      <c r="C134" s="914"/>
      <c r="D134" s="906"/>
      <c r="E134" s="904"/>
      <c r="F134" s="903"/>
      <c r="G134" s="557">
        <v>4134825</v>
      </c>
      <c r="H134" s="557">
        <v>900504</v>
      </c>
      <c r="I134" s="559" t="s">
        <v>1</v>
      </c>
      <c r="J134" s="560">
        <f>K134+N134</f>
        <v>0</v>
      </c>
      <c r="K134" s="560">
        <f>L134+M134</f>
        <v>0</v>
      </c>
      <c r="L134" s="561">
        <v>0</v>
      </c>
      <c r="M134" s="561">
        <v>0</v>
      </c>
      <c r="N134" s="560">
        <f>O134+R134+U134</f>
        <v>0</v>
      </c>
      <c r="O134" s="560">
        <f>P134+Q134</f>
        <v>0</v>
      </c>
      <c r="P134" s="561">
        <v>0</v>
      </c>
      <c r="Q134" s="561">
        <v>0</v>
      </c>
      <c r="R134" s="560">
        <f>T134+S134</f>
        <v>0</v>
      </c>
      <c r="S134" s="561">
        <v>0</v>
      </c>
      <c r="T134" s="561">
        <v>0</v>
      </c>
      <c r="U134" s="560">
        <f>V134+W134</f>
        <v>0</v>
      </c>
      <c r="V134" s="561">
        <v>0</v>
      </c>
      <c r="W134" s="561">
        <v>0</v>
      </c>
    </row>
    <row r="135" spans="1:23" s="558" customFormat="1" ht="14.25" hidden="1" customHeight="1">
      <c r="A135" s="903"/>
      <c r="B135" s="904"/>
      <c r="C135" s="914"/>
      <c r="D135" s="906"/>
      <c r="E135" s="904"/>
      <c r="F135" s="903"/>
      <c r="G135" s="557">
        <v>0</v>
      </c>
      <c r="H135" s="557">
        <v>0</v>
      </c>
      <c r="I135" s="901" t="s">
        <v>2</v>
      </c>
      <c r="J135" s="890">
        <f t="shared" ref="J135:W135" si="23">J132+J134</f>
        <v>22840419</v>
      </c>
      <c r="K135" s="890">
        <f t="shared" si="23"/>
        <v>20435324</v>
      </c>
      <c r="L135" s="890">
        <f t="shared" si="23"/>
        <v>20435324</v>
      </c>
      <c r="M135" s="890">
        <f t="shared" si="23"/>
        <v>0</v>
      </c>
      <c r="N135" s="890">
        <f t="shared" si="23"/>
        <v>2405095</v>
      </c>
      <c r="O135" s="890">
        <f t="shared" si="23"/>
        <v>2405095</v>
      </c>
      <c r="P135" s="890">
        <f t="shared" si="23"/>
        <v>2405095</v>
      </c>
      <c r="Q135" s="890">
        <f t="shared" si="23"/>
        <v>0</v>
      </c>
      <c r="R135" s="890">
        <f t="shared" si="23"/>
        <v>0</v>
      </c>
      <c r="S135" s="890">
        <f t="shared" si="23"/>
        <v>0</v>
      </c>
      <c r="T135" s="890">
        <f t="shared" si="23"/>
        <v>0</v>
      </c>
      <c r="U135" s="890">
        <f t="shared" si="23"/>
        <v>0</v>
      </c>
      <c r="V135" s="890">
        <f t="shared" si="23"/>
        <v>0</v>
      </c>
      <c r="W135" s="890">
        <f t="shared" si="23"/>
        <v>0</v>
      </c>
    </row>
    <row r="136" spans="1:23" s="558" customFormat="1" ht="14.25" hidden="1" customHeight="1">
      <c r="A136" s="903"/>
      <c r="B136" s="904"/>
      <c r="C136" s="915"/>
      <c r="D136" s="906"/>
      <c r="E136" s="904"/>
      <c r="F136" s="903"/>
      <c r="G136" s="557">
        <v>0</v>
      </c>
      <c r="H136" s="557">
        <v>0</v>
      </c>
      <c r="I136" s="902"/>
      <c r="J136" s="891"/>
      <c r="K136" s="891"/>
      <c r="L136" s="891"/>
      <c r="M136" s="891"/>
      <c r="N136" s="891"/>
      <c r="O136" s="891"/>
      <c r="P136" s="891"/>
      <c r="Q136" s="891"/>
      <c r="R136" s="891"/>
      <c r="S136" s="891"/>
      <c r="T136" s="891"/>
      <c r="U136" s="891"/>
      <c r="V136" s="891"/>
      <c r="W136" s="891"/>
    </row>
    <row r="137" spans="1:23" s="558" customFormat="1" ht="14.25" hidden="1" customHeight="1">
      <c r="A137" s="903">
        <v>23</v>
      </c>
      <c r="B137" s="904" t="s">
        <v>999</v>
      </c>
      <c r="C137" s="913" t="s">
        <v>718</v>
      </c>
      <c r="D137" s="906" t="s">
        <v>359</v>
      </c>
      <c r="E137" s="904" t="s">
        <v>1000</v>
      </c>
      <c r="F137" s="903" t="s">
        <v>985</v>
      </c>
      <c r="G137" s="557">
        <f>G139+G138+G140+G141</f>
        <v>3661264</v>
      </c>
      <c r="H137" s="557">
        <f>H138+H139+H140+H141</f>
        <v>1276532</v>
      </c>
      <c r="I137" s="901" t="s">
        <v>0</v>
      </c>
      <c r="J137" s="890">
        <f>K137+N137</f>
        <v>1440407</v>
      </c>
      <c r="K137" s="890">
        <f>L137+M137</f>
        <v>1288864</v>
      </c>
      <c r="L137" s="890">
        <v>1288864</v>
      </c>
      <c r="M137" s="890">
        <v>0</v>
      </c>
      <c r="N137" s="890">
        <f>O137+R137+U137</f>
        <v>151543</v>
      </c>
      <c r="O137" s="890">
        <f>P137+Q137</f>
        <v>151543</v>
      </c>
      <c r="P137" s="890">
        <v>151543</v>
      </c>
      <c r="Q137" s="890">
        <v>0</v>
      </c>
      <c r="R137" s="890">
        <f>S137+T137</f>
        <v>0</v>
      </c>
      <c r="S137" s="890">
        <v>0</v>
      </c>
      <c r="T137" s="890">
        <v>0</v>
      </c>
      <c r="U137" s="890">
        <f>V137+W137</f>
        <v>0</v>
      </c>
      <c r="V137" s="890">
        <f>W137+Z137</f>
        <v>0</v>
      </c>
      <c r="W137" s="890">
        <f>X137+AA137</f>
        <v>0</v>
      </c>
    </row>
    <row r="138" spans="1:23" s="558" customFormat="1" ht="14.25" hidden="1" customHeight="1">
      <c r="A138" s="903"/>
      <c r="B138" s="904"/>
      <c r="C138" s="914"/>
      <c r="D138" s="906"/>
      <c r="E138" s="904"/>
      <c r="F138" s="903"/>
      <c r="G138" s="557">
        <v>3276067</v>
      </c>
      <c r="H138" s="557">
        <v>1142229</v>
      </c>
      <c r="I138" s="902"/>
      <c r="J138" s="891"/>
      <c r="K138" s="891"/>
      <c r="L138" s="891"/>
      <c r="M138" s="891"/>
      <c r="N138" s="891"/>
      <c r="O138" s="891"/>
      <c r="P138" s="891"/>
      <c r="Q138" s="891"/>
      <c r="R138" s="891"/>
      <c r="S138" s="891"/>
      <c r="T138" s="891"/>
      <c r="U138" s="891"/>
      <c r="V138" s="891"/>
      <c r="W138" s="891"/>
    </row>
    <row r="139" spans="1:23" s="558" customFormat="1" ht="14.25" hidden="1" customHeight="1">
      <c r="A139" s="903"/>
      <c r="B139" s="904"/>
      <c r="C139" s="914"/>
      <c r="D139" s="906"/>
      <c r="E139" s="904"/>
      <c r="F139" s="903"/>
      <c r="G139" s="557">
        <v>385197</v>
      </c>
      <c r="H139" s="557">
        <v>134303</v>
      </c>
      <c r="I139" s="559" t="s">
        <v>1</v>
      </c>
      <c r="J139" s="560">
        <f>K139+N139</f>
        <v>0</v>
      </c>
      <c r="K139" s="560">
        <f>L139+M139</f>
        <v>0</v>
      </c>
      <c r="L139" s="561">
        <v>0</v>
      </c>
      <c r="M139" s="561">
        <v>0</v>
      </c>
      <c r="N139" s="560">
        <f>O139+R139+U139</f>
        <v>0</v>
      </c>
      <c r="O139" s="560">
        <f>P139+Q139</f>
        <v>0</v>
      </c>
      <c r="P139" s="561">
        <v>0</v>
      </c>
      <c r="Q139" s="561">
        <v>0</v>
      </c>
      <c r="R139" s="560">
        <f>T139+S139</f>
        <v>0</v>
      </c>
      <c r="S139" s="561">
        <v>0</v>
      </c>
      <c r="T139" s="561">
        <v>0</v>
      </c>
      <c r="U139" s="560">
        <f>V139+W139</f>
        <v>0</v>
      </c>
      <c r="V139" s="561">
        <v>0</v>
      </c>
      <c r="W139" s="561">
        <v>0</v>
      </c>
    </row>
    <row r="140" spans="1:23" s="558" customFormat="1" ht="14.25" hidden="1" customHeight="1">
      <c r="A140" s="903"/>
      <c r="B140" s="904"/>
      <c r="C140" s="914"/>
      <c r="D140" s="906"/>
      <c r="E140" s="904"/>
      <c r="F140" s="903"/>
      <c r="G140" s="557">
        <v>0</v>
      </c>
      <c r="H140" s="557">
        <v>0</v>
      </c>
      <c r="I140" s="901" t="s">
        <v>2</v>
      </c>
      <c r="J140" s="890">
        <f t="shared" ref="J140:W140" si="24">J137+J139</f>
        <v>1440407</v>
      </c>
      <c r="K140" s="890">
        <f t="shared" si="24"/>
        <v>1288864</v>
      </c>
      <c r="L140" s="890">
        <f t="shared" si="24"/>
        <v>1288864</v>
      </c>
      <c r="M140" s="890">
        <f t="shared" si="24"/>
        <v>0</v>
      </c>
      <c r="N140" s="890">
        <f t="shared" si="24"/>
        <v>151543</v>
      </c>
      <c r="O140" s="890">
        <f t="shared" si="24"/>
        <v>151543</v>
      </c>
      <c r="P140" s="890">
        <f t="shared" si="24"/>
        <v>151543</v>
      </c>
      <c r="Q140" s="890">
        <f t="shared" si="24"/>
        <v>0</v>
      </c>
      <c r="R140" s="890">
        <f t="shared" si="24"/>
        <v>0</v>
      </c>
      <c r="S140" s="890">
        <f t="shared" si="24"/>
        <v>0</v>
      </c>
      <c r="T140" s="890">
        <f t="shared" si="24"/>
        <v>0</v>
      </c>
      <c r="U140" s="890">
        <f t="shared" si="24"/>
        <v>0</v>
      </c>
      <c r="V140" s="890">
        <f t="shared" si="24"/>
        <v>0</v>
      </c>
      <c r="W140" s="890">
        <f t="shared" si="24"/>
        <v>0</v>
      </c>
    </row>
    <row r="141" spans="1:23" s="558" customFormat="1" ht="14.25" hidden="1" customHeight="1">
      <c r="A141" s="903"/>
      <c r="B141" s="904"/>
      <c r="C141" s="915"/>
      <c r="D141" s="906"/>
      <c r="E141" s="904"/>
      <c r="F141" s="903"/>
      <c r="G141" s="557">
        <v>0</v>
      </c>
      <c r="H141" s="557">
        <v>0</v>
      </c>
      <c r="I141" s="902"/>
      <c r="J141" s="891"/>
      <c r="K141" s="891"/>
      <c r="L141" s="891"/>
      <c r="M141" s="891"/>
      <c r="N141" s="891"/>
      <c r="O141" s="891"/>
      <c r="P141" s="891"/>
      <c r="Q141" s="891"/>
      <c r="R141" s="891"/>
      <c r="S141" s="891"/>
      <c r="T141" s="891"/>
      <c r="U141" s="891"/>
      <c r="V141" s="891"/>
      <c r="W141" s="891"/>
    </row>
    <row r="142" spans="1:23" s="558" customFormat="1" ht="14.25" hidden="1" customHeight="1">
      <c r="A142" s="903">
        <v>24</v>
      </c>
      <c r="B142" s="904" t="s">
        <v>1001</v>
      </c>
      <c r="C142" s="913" t="s">
        <v>1002</v>
      </c>
      <c r="D142" s="906" t="s">
        <v>978</v>
      </c>
      <c r="E142" s="904" t="s">
        <v>1000</v>
      </c>
      <c r="F142" s="903" t="s">
        <v>944</v>
      </c>
      <c r="G142" s="557">
        <f>G144+G143+G145+G146</f>
        <v>4876581</v>
      </c>
      <c r="H142" s="557">
        <f>H143+H144+H145+H146</f>
        <v>1482691</v>
      </c>
      <c r="I142" s="901" t="s">
        <v>0</v>
      </c>
      <c r="J142" s="890">
        <f>K142+N142</f>
        <v>2456557</v>
      </c>
      <c r="K142" s="890">
        <f>L142+M142</f>
        <v>2197883</v>
      </c>
      <c r="L142" s="890">
        <v>2197883</v>
      </c>
      <c r="M142" s="890">
        <v>0</v>
      </c>
      <c r="N142" s="890">
        <f>O142+R142+U142</f>
        <v>258674</v>
      </c>
      <c r="O142" s="890">
        <f>P142+Q142</f>
        <v>258674</v>
      </c>
      <c r="P142" s="890">
        <v>258674</v>
      </c>
      <c r="Q142" s="890">
        <v>0</v>
      </c>
      <c r="R142" s="890">
        <f>S142+T142</f>
        <v>0</v>
      </c>
      <c r="S142" s="890">
        <v>0</v>
      </c>
      <c r="T142" s="890">
        <v>0</v>
      </c>
      <c r="U142" s="890">
        <f>V142+W142</f>
        <v>0</v>
      </c>
      <c r="V142" s="890">
        <f>W142+Z142</f>
        <v>0</v>
      </c>
      <c r="W142" s="890">
        <f>X142+AA142</f>
        <v>0</v>
      </c>
    </row>
    <row r="143" spans="1:23" s="558" customFormat="1" ht="14.25" hidden="1" customHeight="1">
      <c r="A143" s="903"/>
      <c r="B143" s="904"/>
      <c r="C143" s="914"/>
      <c r="D143" s="906"/>
      <c r="E143" s="904"/>
      <c r="F143" s="903"/>
      <c r="G143" s="557">
        <v>4363257</v>
      </c>
      <c r="H143" s="557">
        <v>1326564</v>
      </c>
      <c r="I143" s="902"/>
      <c r="J143" s="891"/>
      <c r="K143" s="891"/>
      <c r="L143" s="891"/>
      <c r="M143" s="891"/>
      <c r="N143" s="891"/>
      <c r="O143" s="891"/>
      <c r="P143" s="891"/>
      <c r="Q143" s="891"/>
      <c r="R143" s="891"/>
      <c r="S143" s="891"/>
      <c r="T143" s="891"/>
      <c r="U143" s="891"/>
      <c r="V143" s="891"/>
      <c r="W143" s="891"/>
    </row>
    <row r="144" spans="1:23" s="558" customFormat="1" ht="14.25" hidden="1" customHeight="1">
      <c r="A144" s="903"/>
      <c r="B144" s="904"/>
      <c r="C144" s="914"/>
      <c r="D144" s="906"/>
      <c r="E144" s="904"/>
      <c r="F144" s="903"/>
      <c r="G144" s="557">
        <v>513324</v>
      </c>
      <c r="H144" s="557">
        <v>156127</v>
      </c>
      <c r="I144" s="559" t="s">
        <v>1</v>
      </c>
      <c r="J144" s="560">
        <f>K144+N144</f>
        <v>0</v>
      </c>
      <c r="K144" s="560">
        <f>L144+M144</f>
        <v>0</v>
      </c>
      <c r="L144" s="561">
        <v>0</v>
      </c>
      <c r="M144" s="561">
        <v>0</v>
      </c>
      <c r="N144" s="560">
        <f>O144+R144+U144</f>
        <v>0</v>
      </c>
      <c r="O144" s="560">
        <f>P144+Q144</f>
        <v>0</v>
      </c>
      <c r="P144" s="561">
        <v>0</v>
      </c>
      <c r="Q144" s="561">
        <v>0</v>
      </c>
      <c r="R144" s="560">
        <f>T144+S144</f>
        <v>0</v>
      </c>
      <c r="S144" s="561">
        <v>0</v>
      </c>
      <c r="T144" s="561">
        <v>0</v>
      </c>
      <c r="U144" s="560">
        <f>V144+W144</f>
        <v>0</v>
      </c>
      <c r="V144" s="561">
        <v>0</v>
      </c>
      <c r="W144" s="561">
        <v>0</v>
      </c>
    </row>
    <row r="145" spans="1:23" s="558" customFormat="1" ht="14.25" hidden="1" customHeight="1">
      <c r="A145" s="903"/>
      <c r="B145" s="904"/>
      <c r="C145" s="914"/>
      <c r="D145" s="906"/>
      <c r="E145" s="904"/>
      <c r="F145" s="903"/>
      <c r="G145" s="557">
        <v>0</v>
      </c>
      <c r="H145" s="557">
        <v>0</v>
      </c>
      <c r="I145" s="901" t="s">
        <v>2</v>
      </c>
      <c r="J145" s="890">
        <f t="shared" ref="J145:W145" si="25">J142+J144</f>
        <v>2456557</v>
      </c>
      <c r="K145" s="890">
        <f t="shared" si="25"/>
        <v>2197883</v>
      </c>
      <c r="L145" s="890">
        <f t="shared" si="25"/>
        <v>2197883</v>
      </c>
      <c r="M145" s="890">
        <f t="shared" si="25"/>
        <v>0</v>
      </c>
      <c r="N145" s="890">
        <f t="shared" si="25"/>
        <v>258674</v>
      </c>
      <c r="O145" s="890">
        <f t="shared" si="25"/>
        <v>258674</v>
      </c>
      <c r="P145" s="890">
        <f t="shared" si="25"/>
        <v>258674</v>
      </c>
      <c r="Q145" s="890">
        <f t="shared" si="25"/>
        <v>0</v>
      </c>
      <c r="R145" s="890">
        <f t="shared" si="25"/>
        <v>0</v>
      </c>
      <c r="S145" s="890">
        <f t="shared" si="25"/>
        <v>0</v>
      </c>
      <c r="T145" s="890">
        <f t="shared" si="25"/>
        <v>0</v>
      </c>
      <c r="U145" s="890">
        <f t="shared" si="25"/>
        <v>0</v>
      </c>
      <c r="V145" s="890">
        <f t="shared" si="25"/>
        <v>0</v>
      </c>
      <c r="W145" s="890">
        <f t="shared" si="25"/>
        <v>0</v>
      </c>
    </row>
    <row r="146" spans="1:23" s="558" customFormat="1" ht="14.25" hidden="1" customHeight="1">
      <c r="A146" s="903"/>
      <c r="B146" s="904"/>
      <c r="C146" s="915"/>
      <c r="D146" s="906"/>
      <c r="E146" s="904"/>
      <c r="F146" s="903"/>
      <c r="G146" s="557">
        <v>0</v>
      </c>
      <c r="H146" s="557">
        <v>0</v>
      </c>
      <c r="I146" s="902"/>
      <c r="J146" s="891"/>
      <c r="K146" s="891"/>
      <c r="L146" s="891"/>
      <c r="M146" s="891"/>
      <c r="N146" s="891"/>
      <c r="O146" s="891"/>
      <c r="P146" s="891"/>
      <c r="Q146" s="891"/>
      <c r="R146" s="891"/>
      <c r="S146" s="891"/>
      <c r="T146" s="891"/>
      <c r="U146" s="891"/>
      <c r="V146" s="891"/>
      <c r="W146" s="891"/>
    </row>
    <row r="147" spans="1:23" s="558" customFormat="1" ht="14.25" hidden="1" customHeight="1">
      <c r="A147" s="903">
        <v>25</v>
      </c>
      <c r="B147" s="904" t="s">
        <v>1003</v>
      </c>
      <c r="C147" s="913" t="s">
        <v>1004</v>
      </c>
      <c r="D147" s="906" t="s">
        <v>359</v>
      </c>
      <c r="E147" s="904" t="s">
        <v>974</v>
      </c>
      <c r="F147" s="903" t="s">
        <v>963</v>
      </c>
      <c r="G147" s="557">
        <f>G149+G148+G150+G151</f>
        <v>405625</v>
      </c>
      <c r="H147" s="557">
        <f>H148+H149+H150+H151</f>
        <v>0</v>
      </c>
      <c r="I147" s="901" t="s">
        <v>0</v>
      </c>
      <c r="J147" s="890">
        <f>K147+N147</f>
        <v>405625</v>
      </c>
      <c r="K147" s="890">
        <f>L147+M147</f>
        <v>344781</v>
      </c>
      <c r="L147" s="890">
        <v>344781</v>
      </c>
      <c r="M147" s="890">
        <v>0</v>
      </c>
      <c r="N147" s="890">
        <f>O147+R147+U147</f>
        <v>60844</v>
      </c>
      <c r="O147" s="890">
        <f>P147+Q147</f>
        <v>40563</v>
      </c>
      <c r="P147" s="890">
        <v>40563</v>
      </c>
      <c r="Q147" s="890">
        <v>0</v>
      </c>
      <c r="R147" s="890">
        <f>S147+T147</f>
        <v>20281</v>
      </c>
      <c r="S147" s="890">
        <v>20281</v>
      </c>
      <c r="T147" s="890">
        <v>0</v>
      </c>
      <c r="U147" s="890">
        <f>V147+W147</f>
        <v>0</v>
      </c>
      <c r="V147" s="890">
        <f>W147+Z147</f>
        <v>0</v>
      </c>
      <c r="W147" s="890">
        <f>X147+AA147</f>
        <v>0</v>
      </c>
    </row>
    <row r="148" spans="1:23" s="558" customFormat="1" ht="14.25" hidden="1" customHeight="1">
      <c r="A148" s="903"/>
      <c r="B148" s="904"/>
      <c r="C148" s="914"/>
      <c r="D148" s="906"/>
      <c r="E148" s="904"/>
      <c r="F148" s="903"/>
      <c r="G148" s="557">
        <v>344781</v>
      </c>
      <c r="H148" s="557">
        <v>0</v>
      </c>
      <c r="I148" s="902"/>
      <c r="J148" s="891"/>
      <c r="K148" s="891"/>
      <c r="L148" s="891"/>
      <c r="M148" s="891"/>
      <c r="N148" s="891"/>
      <c r="O148" s="891"/>
      <c r="P148" s="891"/>
      <c r="Q148" s="891"/>
      <c r="R148" s="891"/>
      <c r="S148" s="891"/>
      <c r="T148" s="891"/>
      <c r="U148" s="891"/>
      <c r="V148" s="891"/>
      <c r="W148" s="891"/>
    </row>
    <row r="149" spans="1:23" s="558" customFormat="1" ht="14.25" hidden="1" customHeight="1">
      <c r="A149" s="903"/>
      <c r="B149" s="904"/>
      <c r="C149" s="914"/>
      <c r="D149" s="906"/>
      <c r="E149" s="904"/>
      <c r="F149" s="903"/>
      <c r="G149" s="557">
        <v>40563</v>
      </c>
      <c r="H149" s="557">
        <v>0</v>
      </c>
      <c r="I149" s="559" t="s">
        <v>1</v>
      </c>
      <c r="J149" s="560">
        <f>K149+N149</f>
        <v>0</v>
      </c>
      <c r="K149" s="560">
        <f>L149+M149</f>
        <v>0</v>
      </c>
      <c r="L149" s="561">
        <v>0</v>
      </c>
      <c r="M149" s="561">
        <v>0</v>
      </c>
      <c r="N149" s="560">
        <f>O149+R149+U149</f>
        <v>0</v>
      </c>
      <c r="O149" s="560">
        <f>P149+Q149</f>
        <v>0</v>
      </c>
      <c r="P149" s="561">
        <v>0</v>
      </c>
      <c r="Q149" s="561">
        <v>0</v>
      </c>
      <c r="R149" s="560">
        <f>T149+S149</f>
        <v>0</v>
      </c>
      <c r="S149" s="561">
        <v>0</v>
      </c>
      <c r="T149" s="561">
        <v>0</v>
      </c>
      <c r="U149" s="560">
        <f>V149+W149</f>
        <v>0</v>
      </c>
      <c r="V149" s="561">
        <v>0</v>
      </c>
      <c r="W149" s="561">
        <v>0</v>
      </c>
    </row>
    <row r="150" spans="1:23" s="558" customFormat="1" ht="14.25" hidden="1" customHeight="1">
      <c r="A150" s="903"/>
      <c r="B150" s="904"/>
      <c r="C150" s="914"/>
      <c r="D150" s="906"/>
      <c r="E150" s="904"/>
      <c r="F150" s="903"/>
      <c r="G150" s="557">
        <v>20281</v>
      </c>
      <c r="H150" s="557">
        <v>0</v>
      </c>
      <c r="I150" s="901" t="s">
        <v>2</v>
      </c>
      <c r="J150" s="890">
        <f t="shared" ref="J150:W150" si="26">J147+J149</f>
        <v>405625</v>
      </c>
      <c r="K150" s="890">
        <f t="shared" si="26"/>
        <v>344781</v>
      </c>
      <c r="L150" s="890">
        <f t="shared" si="26"/>
        <v>344781</v>
      </c>
      <c r="M150" s="890">
        <f t="shared" si="26"/>
        <v>0</v>
      </c>
      <c r="N150" s="890">
        <f t="shared" si="26"/>
        <v>60844</v>
      </c>
      <c r="O150" s="890">
        <f t="shared" si="26"/>
        <v>40563</v>
      </c>
      <c r="P150" s="890">
        <f t="shared" si="26"/>
        <v>40563</v>
      </c>
      <c r="Q150" s="890">
        <f t="shared" si="26"/>
        <v>0</v>
      </c>
      <c r="R150" s="890">
        <f t="shared" si="26"/>
        <v>20281</v>
      </c>
      <c r="S150" s="890">
        <f t="shared" si="26"/>
        <v>20281</v>
      </c>
      <c r="T150" s="890">
        <f t="shared" si="26"/>
        <v>0</v>
      </c>
      <c r="U150" s="890">
        <f t="shared" si="26"/>
        <v>0</v>
      </c>
      <c r="V150" s="890">
        <f t="shared" si="26"/>
        <v>0</v>
      </c>
      <c r="W150" s="890">
        <f t="shared" si="26"/>
        <v>0</v>
      </c>
    </row>
    <row r="151" spans="1:23" s="558" customFormat="1" ht="14.25" hidden="1" customHeight="1">
      <c r="A151" s="903"/>
      <c r="B151" s="904"/>
      <c r="C151" s="915"/>
      <c r="D151" s="906"/>
      <c r="E151" s="904"/>
      <c r="F151" s="903"/>
      <c r="G151" s="557">
        <v>0</v>
      </c>
      <c r="H151" s="557">
        <v>0</v>
      </c>
      <c r="I151" s="902"/>
      <c r="J151" s="891"/>
      <c r="K151" s="891"/>
      <c r="L151" s="891"/>
      <c r="M151" s="891"/>
      <c r="N151" s="891"/>
      <c r="O151" s="891"/>
      <c r="P151" s="891"/>
      <c r="Q151" s="891"/>
      <c r="R151" s="891"/>
      <c r="S151" s="891"/>
      <c r="T151" s="891"/>
      <c r="U151" s="891"/>
      <c r="V151" s="891"/>
      <c r="W151" s="891"/>
    </row>
    <row r="152" spans="1:23" s="558" customFormat="1" ht="14.25" customHeight="1">
      <c r="A152" s="903">
        <v>10</v>
      </c>
      <c r="B152" s="904" t="s">
        <v>1003</v>
      </c>
      <c r="C152" s="913" t="s">
        <v>1005</v>
      </c>
      <c r="D152" s="906" t="s">
        <v>1006</v>
      </c>
      <c r="E152" s="904" t="s">
        <v>967</v>
      </c>
      <c r="F152" s="903" t="s">
        <v>948</v>
      </c>
      <c r="G152" s="557">
        <f>G154+G153+G155+G156</f>
        <v>18688978</v>
      </c>
      <c r="H152" s="557">
        <f>H153+H154+H155+H156</f>
        <v>383626</v>
      </c>
      <c r="I152" s="901" t="s">
        <v>0</v>
      </c>
      <c r="J152" s="890">
        <f>K152+N152</f>
        <v>4840591</v>
      </c>
      <c r="K152" s="890">
        <f>L152+M152</f>
        <v>4331054</v>
      </c>
      <c r="L152" s="890">
        <v>3373686</v>
      </c>
      <c r="M152" s="890">
        <v>957368</v>
      </c>
      <c r="N152" s="890">
        <f>O152+R152+U152</f>
        <v>509537</v>
      </c>
      <c r="O152" s="890">
        <f>P152+Q152</f>
        <v>509537</v>
      </c>
      <c r="P152" s="890">
        <v>396905</v>
      </c>
      <c r="Q152" s="890">
        <v>112632</v>
      </c>
      <c r="R152" s="890">
        <f>S152+T152</f>
        <v>0</v>
      </c>
      <c r="S152" s="890">
        <v>0</v>
      </c>
      <c r="T152" s="890">
        <v>0</v>
      </c>
      <c r="U152" s="890">
        <f>V152+W152</f>
        <v>0</v>
      </c>
      <c r="V152" s="890">
        <f>W152+Z152</f>
        <v>0</v>
      </c>
      <c r="W152" s="890">
        <f>X152+AA152</f>
        <v>0</v>
      </c>
    </row>
    <row r="153" spans="1:23" s="558" customFormat="1" ht="14.25" customHeight="1">
      <c r="A153" s="903"/>
      <c r="B153" s="904"/>
      <c r="C153" s="914"/>
      <c r="D153" s="906"/>
      <c r="E153" s="904"/>
      <c r="F153" s="903"/>
      <c r="G153" s="557">
        <v>16721716</v>
      </c>
      <c r="H153" s="557">
        <v>343249</v>
      </c>
      <c r="I153" s="902"/>
      <c r="J153" s="891"/>
      <c r="K153" s="891"/>
      <c r="L153" s="891"/>
      <c r="M153" s="891"/>
      <c r="N153" s="891"/>
      <c r="O153" s="891"/>
      <c r="P153" s="891"/>
      <c r="Q153" s="891"/>
      <c r="R153" s="891"/>
      <c r="S153" s="891"/>
      <c r="T153" s="891"/>
      <c r="U153" s="891"/>
      <c r="V153" s="891"/>
      <c r="W153" s="891"/>
    </row>
    <row r="154" spans="1:23" s="558" customFormat="1" ht="15" customHeight="1">
      <c r="A154" s="903"/>
      <c r="B154" s="904"/>
      <c r="C154" s="914"/>
      <c r="D154" s="906"/>
      <c r="E154" s="904"/>
      <c r="F154" s="903"/>
      <c r="G154" s="557">
        <v>1967262</v>
      </c>
      <c r="H154" s="557">
        <v>40377</v>
      </c>
      <c r="I154" s="559" t="s">
        <v>1</v>
      </c>
      <c r="J154" s="560">
        <f>K154+N154</f>
        <v>-900000</v>
      </c>
      <c r="K154" s="560">
        <f>L154+M154</f>
        <v>-805263</v>
      </c>
      <c r="L154" s="561">
        <v>0</v>
      </c>
      <c r="M154" s="561">
        <v>-805263</v>
      </c>
      <c r="N154" s="560">
        <f>O154+R154+U154</f>
        <v>-94737</v>
      </c>
      <c r="O154" s="560">
        <f>P154+Q154</f>
        <v>-94737</v>
      </c>
      <c r="P154" s="561">
        <v>0</v>
      </c>
      <c r="Q154" s="561">
        <v>-94737</v>
      </c>
      <c r="R154" s="560">
        <f>T154+S154</f>
        <v>0</v>
      </c>
      <c r="S154" s="561">
        <v>0</v>
      </c>
      <c r="T154" s="561">
        <v>0</v>
      </c>
      <c r="U154" s="560">
        <f>V154+W154</f>
        <v>0</v>
      </c>
      <c r="V154" s="561">
        <v>0</v>
      </c>
      <c r="W154" s="561">
        <v>0</v>
      </c>
    </row>
    <row r="155" spans="1:23" s="558" customFormat="1" ht="14.25" customHeight="1">
      <c r="A155" s="903"/>
      <c r="B155" s="904"/>
      <c r="C155" s="914"/>
      <c r="D155" s="906"/>
      <c r="E155" s="904"/>
      <c r="F155" s="903"/>
      <c r="G155" s="557">
        <v>0</v>
      </c>
      <c r="H155" s="557">
        <v>0</v>
      </c>
      <c r="I155" s="901" t="s">
        <v>2</v>
      </c>
      <c r="J155" s="890">
        <f t="shared" ref="J155:W155" si="27">J152+J154</f>
        <v>3940591</v>
      </c>
      <c r="K155" s="890">
        <f t="shared" si="27"/>
        <v>3525791</v>
      </c>
      <c r="L155" s="890">
        <f t="shared" si="27"/>
        <v>3373686</v>
      </c>
      <c r="M155" s="890">
        <f t="shared" si="27"/>
        <v>152105</v>
      </c>
      <c r="N155" s="890">
        <f t="shared" si="27"/>
        <v>414800</v>
      </c>
      <c r="O155" s="890">
        <f t="shared" si="27"/>
        <v>414800</v>
      </c>
      <c r="P155" s="890">
        <f t="shared" si="27"/>
        <v>396905</v>
      </c>
      <c r="Q155" s="890">
        <f t="shared" si="27"/>
        <v>17895</v>
      </c>
      <c r="R155" s="890">
        <f t="shared" si="27"/>
        <v>0</v>
      </c>
      <c r="S155" s="890">
        <f t="shared" si="27"/>
        <v>0</v>
      </c>
      <c r="T155" s="890">
        <f t="shared" si="27"/>
        <v>0</v>
      </c>
      <c r="U155" s="890">
        <f t="shared" si="27"/>
        <v>0</v>
      </c>
      <c r="V155" s="890">
        <f t="shared" si="27"/>
        <v>0</v>
      </c>
      <c r="W155" s="890">
        <f t="shared" si="27"/>
        <v>0</v>
      </c>
    </row>
    <row r="156" spans="1:23" s="558" customFormat="1" ht="14.25" customHeight="1">
      <c r="A156" s="903"/>
      <c r="B156" s="904"/>
      <c r="C156" s="915"/>
      <c r="D156" s="906"/>
      <c r="E156" s="904"/>
      <c r="F156" s="903"/>
      <c r="G156" s="557">
        <v>0</v>
      </c>
      <c r="H156" s="557">
        <v>0</v>
      </c>
      <c r="I156" s="902"/>
      <c r="J156" s="891"/>
      <c r="K156" s="891"/>
      <c r="L156" s="891"/>
      <c r="M156" s="891"/>
      <c r="N156" s="891"/>
      <c r="O156" s="891"/>
      <c r="P156" s="891"/>
      <c r="Q156" s="891"/>
      <c r="R156" s="891"/>
      <c r="S156" s="891"/>
      <c r="T156" s="891"/>
      <c r="U156" s="891"/>
      <c r="V156" s="891"/>
      <c r="W156" s="891"/>
    </row>
    <row r="157" spans="1:23" s="558" customFormat="1" ht="14.25" customHeight="1">
      <c r="A157" s="903">
        <v>11</v>
      </c>
      <c r="B157" s="904" t="s">
        <v>1003</v>
      </c>
      <c r="C157" s="913" t="s">
        <v>710</v>
      </c>
      <c r="D157" s="906" t="s">
        <v>1006</v>
      </c>
      <c r="E157" s="904" t="s">
        <v>967</v>
      </c>
      <c r="F157" s="903" t="s">
        <v>985</v>
      </c>
      <c r="G157" s="557">
        <f>G159+G158+G160+G161</f>
        <v>31650489</v>
      </c>
      <c r="H157" s="557">
        <f>H158+H159+H160+H161</f>
        <v>5268402</v>
      </c>
      <c r="I157" s="901" t="s">
        <v>0</v>
      </c>
      <c r="J157" s="890">
        <f>K157+N157</f>
        <v>14053221</v>
      </c>
      <c r="K157" s="890">
        <f>L157+M157</f>
        <v>12573935</v>
      </c>
      <c r="L157" s="890">
        <v>12573935</v>
      </c>
      <c r="M157" s="890">
        <v>0</v>
      </c>
      <c r="N157" s="890">
        <f>O157+R157+U157</f>
        <v>1479286</v>
      </c>
      <c r="O157" s="890">
        <f>P157+Q157</f>
        <v>1479286</v>
      </c>
      <c r="P157" s="890">
        <v>1479286</v>
      </c>
      <c r="Q157" s="890">
        <v>0</v>
      </c>
      <c r="R157" s="890">
        <f>S157+T157</f>
        <v>0</v>
      </c>
      <c r="S157" s="890">
        <v>0</v>
      </c>
      <c r="T157" s="890">
        <v>0</v>
      </c>
      <c r="U157" s="890">
        <f>V157+W157</f>
        <v>0</v>
      </c>
      <c r="V157" s="890">
        <f>W157+Z157</f>
        <v>0</v>
      </c>
      <c r="W157" s="890">
        <f>X157+AA157</f>
        <v>0</v>
      </c>
    </row>
    <row r="158" spans="1:23" s="558" customFormat="1" ht="14.25" customHeight="1">
      <c r="A158" s="903"/>
      <c r="B158" s="904"/>
      <c r="C158" s="914"/>
      <c r="D158" s="906"/>
      <c r="E158" s="904"/>
      <c r="F158" s="903"/>
      <c r="G158" s="557">
        <v>28318858</v>
      </c>
      <c r="H158" s="557">
        <v>4713834</v>
      </c>
      <c r="I158" s="902"/>
      <c r="J158" s="891"/>
      <c r="K158" s="891"/>
      <c r="L158" s="891"/>
      <c r="M158" s="891"/>
      <c r="N158" s="891"/>
      <c r="O158" s="891"/>
      <c r="P158" s="891"/>
      <c r="Q158" s="891"/>
      <c r="R158" s="891"/>
      <c r="S158" s="891"/>
      <c r="T158" s="891"/>
      <c r="U158" s="891"/>
      <c r="V158" s="891"/>
      <c r="W158" s="891"/>
    </row>
    <row r="159" spans="1:23" s="558" customFormat="1" ht="14.25" customHeight="1">
      <c r="A159" s="903"/>
      <c r="B159" s="904"/>
      <c r="C159" s="914"/>
      <c r="D159" s="906"/>
      <c r="E159" s="904"/>
      <c r="F159" s="903"/>
      <c r="G159" s="557">
        <v>3331631</v>
      </c>
      <c r="H159" s="557">
        <v>554568</v>
      </c>
      <c r="I159" s="559" t="s">
        <v>1</v>
      </c>
      <c r="J159" s="560">
        <f>K159+N159</f>
        <v>0</v>
      </c>
      <c r="K159" s="560">
        <f>L159+M159</f>
        <v>0</v>
      </c>
      <c r="L159" s="561">
        <v>0</v>
      </c>
      <c r="M159" s="561">
        <v>0</v>
      </c>
      <c r="N159" s="560">
        <f>O159+R159+U159</f>
        <v>0</v>
      </c>
      <c r="O159" s="560">
        <f>P159+Q159</f>
        <v>0</v>
      </c>
      <c r="P159" s="561">
        <v>0</v>
      </c>
      <c r="Q159" s="561">
        <v>0</v>
      </c>
      <c r="R159" s="560">
        <f>T159+S159</f>
        <v>0</v>
      </c>
      <c r="S159" s="561">
        <v>0</v>
      </c>
      <c r="T159" s="561">
        <v>0</v>
      </c>
      <c r="U159" s="560">
        <f>V159+W159</f>
        <v>0</v>
      </c>
      <c r="V159" s="561">
        <v>0</v>
      </c>
      <c r="W159" s="561">
        <v>0</v>
      </c>
    </row>
    <row r="160" spans="1:23" s="558" customFormat="1" ht="14.25" customHeight="1">
      <c r="A160" s="903"/>
      <c r="B160" s="904"/>
      <c r="C160" s="914"/>
      <c r="D160" s="906"/>
      <c r="E160" s="904"/>
      <c r="F160" s="903"/>
      <c r="G160" s="557">
        <v>0</v>
      </c>
      <c r="H160" s="557">
        <v>0</v>
      </c>
      <c r="I160" s="901" t="s">
        <v>2</v>
      </c>
      <c r="J160" s="890">
        <f t="shared" ref="J160:W160" si="28">J157+J159</f>
        <v>14053221</v>
      </c>
      <c r="K160" s="890">
        <f t="shared" si="28"/>
        <v>12573935</v>
      </c>
      <c r="L160" s="890">
        <f t="shared" si="28"/>
        <v>12573935</v>
      </c>
      <c r="M160" s="890">
        <f t="shared" si="28"/>
        <v>0</v>
      </c>
      <c r="N160" s="890">
        <f t="shared" si="28"/>
        <v>1479286</v>
      </c>
      <c r="O160" s="890">
        <f t="shared" si="28"/>
        <v>1479286</v>
      </c>
      <c r="P160" s="890">
        <f t="shared" si="28"/>
        <v>1479286</v>
      </c>
      <c r="Q160" s="890">
        <f t="shared" si="28"/>
        <v>0</v>
      </c>
      <c r="R160" s="890">
        <f t="shared" si="28"/>
        <v>0</v>
      </c>
      <c r="S160" s="890">
        <f t="shared" si="28"/>
        <v>0</v>
      </c>
      <c r="T160" s="890">
        <f t="shared" si="28"/>
        <v>0</v>
      </c>
      <c r="U160" s="890">
        <f t="shared" si="28"/>
        <v>0</v>
      </c>
      <c r="V160" s="890">
        <f t="shared" si="28"/>
        <v>0</v>
      </c>
      <c r="W160" s="890">
        <f t="shared" si="28"/>
        <v>0</v>
      </c>
    </row>
    <row r="161" spans="1:23" s="558" customFormat="1" ht="14.25" customHeight="1">
      <c r="A161" s="903"/>
      <c r="B161" s="904"/>
      <c r="C161" s="915"/>
      <c r="D161" s="906"/>
      <c r="E161" s="904"/>
      <c r="F161" s="903"/>
      <c r="G161" s="557">
        <v>0</v>
      </c>
      <c r="H161" s="557">
        <v>0</v>
      </c>
      <c r="I161" s="902"/>
      <c r="J161" s="891"/>
      <c r="K161" s="891"/>
      <c r="L161" s="891"/>
      <c r="M161" s="891"/>
      <c r="N161" s="891"/>
      <c r="O161" s="891"/>
      <c r="P161" s="891"/>
      <c r="Q161" s="891"/>
      <c r="R161" s="891"/>
      <c r="S161" s="891"/>
      <c r="T161" s="891"/>
      <c r="U161" s="891"/>
      <c r="V161" s="891"/>
      <c r="W161" s="891"/>
    </row>
    <row r="162" spans="1:23" s="558" customFormat="1" ht="14.25" hidden="1" customHeight="1">
      <c r="A162" s="903">
        <v>28</v>
      </c>
      <c r="B162" s="904" t="s">
        <v>1007</v>
      </c>
      <c r="C162" s="913" t="s">
        <v>714</v>
      </c>
      <c r="D162" s="906" t="s">
        <v>1006</v>
      </c>
      <c r="E162" s="904" t="s">
        <v>967</v>
      </c>
      <c r="F162" s="903" t="s">
        <v>985</v>
      </c>
      <c r="G162" s="557">
        <f>G164+G163+G165+G166</f>
        <v>9803478</v>
      </c>
      <c r="H162" s="557">
        <f>H163+H164+H165+H166</f>
        <v>2979822</v>
      </c>
      <c r="I162" s="901" t="s">
        <v>0</v>
      </c>
      <c r="J162" s="890">
        <f>K162+N162</f>
        <v>3555520</v>
      </c>
      <c r="K162" s="890">
        <f>L162+M162</f>
        <v>3181255</v>
      </c>
      <c r="L162" s="890">
        <v>3181255</v>
      </c>
      <c r="M162" s="890">
        <v>0</v>
      </c>
      <c r="N162" s="890">
        <f>O162+R162+U162</f>
        <v>374265</v>
      </c>
      <c r="O162" s="890">
        <f>P162+Q162</f>
        <v>374265</v>
      </c>
      <c r="P162" s="890">
        <v>374265</v>
      </c>
      <c r="Q162" s="890">
        <v>0</v>
      </c>
      <c r="R162" s="890">
        <f>S162+T162</f>
        <v>0</v>
      </c>
      <c r="S162" s="890">
        <v>0</v>
      </c>
      <c r="T162" s="890">
        <v>0</v>
      </c>
      <c r="U162" s="890">
        <f>V162+W162</f>
        <v>0</v>
      </c>
      <c r="V162" s="890">
        <f>W162+Z162</f>
        <v>0</v>
      </c>
      <c r="W162" s="890">
        <f>X162+AA162</f>
        <v>0</v>
      </c>
    </row>
    <row r="163" spans="1:23" s="558" customFormat="1" ht="14.25" hidden="1" customHeight="1">
      <c r="A163" s="903"/>
      <c r="B163" s="904"/>
      <c r="C163" s="914"/>
      <c r="D163" s="906"/>
      <c r="E163" s="904"/>
      <c r="F163" s="903"/>
      <c r="G163" s="557">
        <v>8771533</v>
      </c>
      <c r="H163" s="557">
        <v>2666156</v>
      </c>
      <c r="I163" s="902"/>
      <c r="J163" s="891"/>
      <c r="K163" s="891"/>
      <c r="L163" s="891"/>
      <c r="M163" s="891"/>
      <c r="N163" s="891"/>
      <c r="O163" s="891"/>
      <c r="P163" s="891"/>
      <c r="Q163" s="891"/>
      <c r="R163" s="891"/>
      <c r="S163" s="891"/>
      <c r="T163" s="891"/>
      <c r="U163" s="891"/>
      <c r="V163" s="891"/>
      <c r="W163" s="891"/>
    </row>
    <row r="164" spans="1:23" s="558" customFormat="1" ht="14.25" hidden="1" customHeight="1">
      <c r="A164" s="903"/>
      <c r="B164" s="904"/>
      <c r="C164" s="914"/>
      <c r="D164" s="906"/>
      <c r="E164" s="904"/>
      <c r="F164" s="903"/>
      <c r="G164" s="557">
        <v>1031945</v>
      </c>
      <c r="H164" s="557">
        <v>313666</v>
      </c>
      <c r="I164" s="559" t="s">
        <v>1</v>
      </c>
      <c r="J164" s="560">
        <f>K164+N164</f>
        <v>0</v>
      </c>
      <c r="K164" s="560">
        <f>L164+M164</f>
        <v>0</v>
      </c>
      <c r="L164" s="561">
        <v>0</v>
      </c>
      <c r="M164" s="561">
        <v>0</v>
      </c>
      <c r="N164" s="560">
        <f>O164+R164+U164</f>
        <v>0</v>
      </c>
      <c r="O164" s="560">
        <f>P164+Q164</f>
        <v>0</v>
      </c>
      <c r="P164" s="561">
        <v>0</v>
      </c>
      <c r="Q164" s="561">
        <v>0</v>
      </c>
      <c r="R164" s="560">
        <f>T164+S164</f>
        <v>0</v>
      </c>
      <c r="S164" s="561">
        <v>0</v>
      </c>
      <c r="T164" s="561">
        <v>0</v>
      </c>
      <c r="U164" s="560">
        <f>V164+W164</f>
        <v>0</v>
      </c>
      <c r="V164" s="561">
        <v>0</v>
      </c>
      <c r="W164" s="561">
        <v>0</v>
      </c>
    </row>
    <row r="165" spans="1:23" s="558" customFormat="1" ht="14.25" hidden="1" customHeight="1">
      <c r="A165" s="903"/>
      <c r="B165" s="904"/>
      <c r="C165" s="914"/>
      <c r="D165" s="906"/>
      <c r="E165" s="904"/>
      <c r="F165" s="903"/>
      <c r="G165" s="557">
        <v>0</v>
      </c>
      <c r="H165" s="557">
        <v>0</v>
      </c>
      <c r="I165" s="901" t="s">
        <v>2</v>
      </c>
      <c r="J165" s="890">
        <f t="shared" ref="J165:W165" si="29">J162+J164</f>
        <v>3555520</v>
      </c>
      <c r="K165" s="890">
        <f t="shared" si="29"/>
        <v>3181255</v>
      </c>
      <c r="L165" s="890">
        <f t="shared" si="29"/>
        <v>3181255</v>
      </c>
      <c r="M165" s="890">
        <f t="shared" si="29"/>
        <v>0</v>
      </c>
      <c r="N165" s="890">
        <f t="shared" si="29"/>
        <v>374265</v>
      </c>
      <c r="O165" s="890">
        <f t="shared" si="29"/>
        <v>374265</v>
      </c>
      <c r="P165" s="890">
        <f t="shared" si="29"/>
        <v>374265</v>
      </c>
      <c r="Q165" s="890">
        <f t="shared" si="29"/>
        <v>0</v>
      </c>
      <c r="R165" s="890">
        <f t="shared" si="29"/>
        <v>0</v>
      </c>
      <c r="S165" s="890">
        <f t="shared" si="29"/>
        <v>0</v>
      </c>
      <c r="T165" s="890">
        <f t="shared" si="29"/>
        <v>0</v>
      </c>
      <c r="U165" s="890">
        <f t="shared" si="29"/>
        <v>0</v>
      </c>
      <c r="V165" s="890">
        <f t="shared" si="29"/>
        <v>0</v>
      </c>
      <c r="W165" s="890">
        <f t="shared" si="29"/>
        <v>0</v>
      </c>
    </row>
    <row r="166" spans="1:23" s="558" customFormat="1" ht="14.25" hidden="1" customHeight="1">
      <c r="A166" s="903"/>
      <c r="B166" s="904"/>
      <c r="C166" s="915"/>
      <c r="D166" s="906"/>
      <c r="E166" s="904"/>
      <c r="F166" s="903"/>
      <c r="G166" s="557">
        <v>0</v>
      </c>
      <c r="H166" s="557">
        <v>0</v>
      </c>
      <c r="I166" s="902"/>
      <c r="J166" s="891"/>
      <c r="K166" s="891"/>
      <c r="L166" s="891"/>
      <c r="M166" s="891"/>
      <c r="N166" s="891"/>
      <c r="O166" s="891"/>
      <c r="P166" s="891"/>
      <c r="Q166" s="891"/>
      <c r="R166" s="891"/>
      <c r="S166" s="891"/>
      <c r="T166" s="891"/>
      <c r="U166" s="891"/>
      <c r="V166" s="891"/>
      <c r="W166" s="891"/>
    </row>
    <row r="167" spans="1:23" s="558" customFormat="1" ht="14.25" customHeight="1">
      <c r="A167" s="903">
        <v>12</v>
      </c>
      <c r="B167" s="904" t="s">
        <v>1007</v>
      </c>
      <c r="C167" s="913" t="s">
        <v>1008</v>
      </c>
      <c r="D167" s="906" t="s">
        <v>1006</v>
      </c>
      <c r="E167" s="904" t="s">
        <v>967</v>
      </c>
      <c r="F167" s="903" t="s">
        <v>944</v>
      </c>
      <c r="G167" s="557">
        <f>G169+G168+G170+G171</f>
        <v>8200609</v>
      </c>
      <c r="H167" s="557">
        <f>H168+H169+H170+H171</f>
        <v>2197682</v>
      </c>
      <c r="I167" s="901" t="s">
        <v>0</v>
      </c>
      <c r="J167" s="890">
        <f>K167+N167</f>
        <v>2694947</v>
      </c>
      <c r="K167" s="890">
        <f>L167+M167</f>
        <v>2411268</v>
      </c>
      <c r="L167" s="890">
        <v>2411268</v>
      </c>
      <c r="M167" s="890">
        <v>0</v>
      </c>
      <c r="N167" s="890">
        <f>O167+R167+U167</f>
        <v>283679</v>
      </c>
      <c r="O167" s="890">
        <f>P167+Q167</f>
        <v>283679</v>
      </c>
      <c r="P167" s="890">
        <v>283679</v>
      </c>
      <c r="Q167" s="890">
        <v>0</v>
      </c>
      <c r="R167" s="890">
        <f>S167+T167</f>
        <v>0</v>
      </c>
      <c r="S167" s="890">
        <v>0</v>
      </c>
      <c r="T167" s="890">
        <v>0</v>
      </c>
      <c r="U167" s="890">
        <f>V167+W167</f>
        <v>0</v>
      </c>
      <c r="V167" s="890">
        <f>W167+Z167</f>
        <v>0</v>
      </c>
      <c r="W167" s="890">
        <f>X167+AA167</f>
        <v>0</v>
      </c>
    </row>
    <row r="168" spans="1:23" s="558" customFormat="1" ht="14.25" customHeight="1">
      <c r="A168" s="903"/>
      <c r="B168" s="904"/>
      <c r="C168" s="914"/>
      <c r="D168" s="906"/>
      <c r="E168" s="904"/>
      <c r="F168" s="903"/>
      <c r="G168" s="557">
        <v>7337387</v>
      </c>
      <c r="H168" s="557">
        <v>1966347</v>
      </c>
      <c r="I168" s="902"/>
      <c r="J168" s="891"/>
      <c r="K168" s="891"/>
      <c r="L168" s="891"/>
      <c r="M168" s="891"/>
      <c r="N168" s="891"/>
      <c r="O168" s="891"/>
      <c r="P168" s="891"/>
      <c r="Q168" s="891"/>
      <c r="R168" s="891"/>
      <c r="S168" s="891"/>
      <c r="T168" s="891"/>
      <c r="U168" s="891"/>
      <c r="V168" s="891"/>
      <c r="W168" s="891"/>
    </row>
    <row r="169" spans="1:23" s="558" customFormat="1" ht="14.25" customHeight="1">
      <c r="A169" s="903"/>
      <c r="B169" s="904"/>
      <c r="C169" s="914"/>
      <c r="D169" s="906"/>
      <c r="E169" s="904"/>
      <c r="F169" s="903"/>
      <c r="G169" s="557">
        <v>863222</v>
      </c>
      <c r="H169" s="557">
        <v>231335</v>
      </c>
      <c r="I169" s="559" t="s">
        <v>1</v>
      </c>
      <c r="J169" s="560">
        <f>K169+N169</f>
        <v>592733</v>
      </c>
      <c r="K169" s="560">
        <f>L169+M169</f>
        <v>530340</v>
      </c>
      <c r="L169" s="561">
        <v>530340</v>
      </c>
      <c r="M169" s="561">
        <v>0</v>
      </c>
      <c r="N169" s="560">
        <f>O169+R169+U169</f>
        <v>62393</v>
      </c>
      <c r="O169" s="560">
        <f>P169+Q169</f>
        <v>62393</v>
      </c>
      <c r="P169" s="561">
        <v>62393</v>
      </c>
      <c r="Q169" s="561">
        <v>0</v>
      </c>
      <c r="R169" s="560">
        <f>T169+S169</f>
        <v>0</v>
      </c>
      <c r="S169" s="561">
        <v>0</v>
      </c>
      <c r="T169" s="561">
        <v>0</v>
      </c>
      <c r="U169" s="560">
        <f>V169+W169</f>
        <v>0</v>
      </c>
      <c r="V169" s="561">
        <v>0</v>
      </c>
      <c r="W169" s="561">
        <v>0</v>
      </c>
    </row>
    <row r="170" spans="1:23" s="558" customFormat="1" ht="14.25" customHeight="1">
      <c r="A170" s="903"/>
      <c r="B170" s="904"/>
      <c r="C170" s="914"/>
      <c r="D170" s="906"/>
      <c r="E170" s="904"/>
      <c r="F170" s="903"/>
      <c r="G170" s="557">
        <v>0</v>
      </c>
      <c r="H170" s="557">
        <v>0</v>
      </c>
      <c r="I170" s="901" t="s">
        <v>2</v>
      </c>
      <c r="J170" s="890">
        <f t="shared" ref="J170:W170" si="30">J167+J169</f>
        <v>3287680</v>
      </c>
      <c r="K170" s="890">
        <f t="shared" si="30"/>
        <v>2941608</v>
      </c>
      <c r="L170" s="890">
        <f t="shared" si="30"/>
        <v>2941608</v>
      </c>
      <c r="M170" s="890">
        <f t="shared" si="30"/>
        <v>0</v>
      </c>
      <c r="N170" s="890">
        <f t="shared" si="30"/>
        <v>346072</v>
      </c>
      <c r="O170" s="890">
        <f t="shared" si="30"/>
        <v>346072</v>
      </c>
      <c r="P170" s="890">
        <f t="shared" si="30"/>
        <v>346072</v>
      </c>
      <c r="Q170" s="890">
        <f t="shared" si="30"/>
        <v>0</v>
      </c>
      <c r="R170" s="890">
        <f t="shared" si="30"/>
        <v>0</v>
      </c>
      <c r="S170" s="890">
        <f t="shared" si="30"/>
        <v>0</v>
      </c>
      <c r="T170" s="890">
        <f t="shared" si="30"/>
        <v>0</v>
      </c>
      <c r="U170" s="890">
        <f t="shared" si="30"/>
        <v>0</v>
      </c>
      <c r="V170" s="890">
        <f t="shared" si="30"/>
        <v>0</v>
      </c>
      <c r="W170" s="890">
        <f t="shared" si="30"/>
        <v>0</v>
      </c>
    </row>
    <row r="171" spans="1:23" s="558" customFormat="1" ht="14.25" customHeight="1">
      <c r="A171" s="903"/>
      <c r="B171" s="904"/>
      <c r="C171" s="915"/>
      <c r="D171" s="906"/>
      <c r="E171" s="904"/>
      <c r="F171" s="903"/>
      <c r="G171" s="557">
        <v>0</v>
      </c>
      <c r="H171" s="557">
        <v>0</v>
      </c>
      <c r="I171" s="902"/>
      <c r="J171" s="891"/>
      <c r="K171" s="891"/>
      <c r="L171" s="891"/>
      <c r="M171" s="891"/>
      <c r="N171" s="891"/>
      <c r="O171" s="891"/>
      <c r="P171" s="891"/>
      <c r="Q171" s="891"/>
      <c r="R171" s="891"/>
      <c r="S171" s="891"/>
      <c r="T171" s="891"/>
      <c r="U171" s="891"/>
      <c r="V171" s="891"/>
      <c r="W171" s="891"/>
    </row>
    <row r="172" spans="1:23" s="558" customFormat="1" ht="14.25" hidden="1" customHeight="1">
      <c r="A172" s="903">
        <v>30</v>
      </c>
      <c r="B172" s="904" t="s">
        <v>1007</v>
      </c>
      <c r="C172" s="913" t="s">
        <v>720</v>
      </c>
      <c r="D172" s="906" t="s">
        <v>1006</v>
      </c>
      <c r="E172" s="904" t="s">
        <v>1009</v>
      </c>
      <c r="F172" s="903" t="s">
        <v>985</v>
      </c>
      <c r="G172" s="557">
        <f>G174+G173+G175+G176</f>
        <v>45072122</v>
      </c>
      <c r="H172" s="557">
        <f>H173+H174+H175+H176</f>
        <v>13307992</v>
      </c>
      <c r="I172" s="901" t="s">
        <v>0</v>
      </c>
      <c r="J172" s="890">
        <f>K172+N172</f>
        <v>16043275</v>
      </c>
      <c r="K172" s="890">
        <f>L172+M172</f>
        <v>14354509</v>
      </c>
      <c r="L172" s="890">
        <v>14354509</v>
      </c>
      <c r="M172" s="890">
        <v>0</v>
      </c>
      <c r="N172" s="890">
        <f>O172+R172+U172</f>
        <v>1688766</v>
      </c>
      <c r="O172" s="890">
        <f>P172+Q172</f>
        <v>1688766</v>
      </c>
      <c r="P172" s="890">
        <v>1688766</v>
      </c>
      <c r="Q172" s="890">
        <v>0</v>
      </c>
      <c r="R172" s="890">
        <f>S172+T172</f>
        <v>0</v>
      </c>
      <c r="S172" s="890">
        <v>0</v>
      </c>
      <c r="T172" s="890">
        <v>0</v>
      </c>
      <c r="U172" s="890">
        <f>V172+W172</f>
        <v>0</v>
      </c>
      <c r="V172" s="890">
        <f>W172+Z172</f>
        <v>0</v>
      </c>
      <c r="W172" s="890">
        <f>X172+AA172</f>
        <v>0</v>
      </c>
    </row>
    <row r="173" spans="1:23" s="558" customFormat="1" ht="14.25" hidden="1" customHeight="1">
      <c r="A173" s="903"/>
      <c r="B173" s="904"/>
      <c r="C173" s="914"/>
      <c r="D173" s="906"/>
      <c r="E173" s="904"/>
      <c r="F173" s="903"/>
      <c r="G173" s="557">
        <v>40327688</v>
      </c>
      <c r="H173" s="557">
        <v>11907151</v>
      </c>
      <c r="I173" s="902"/>
      <c r="J173" s="891"/>
      <c r="K173" s="891"/>
      <c r="L173" s="891"/>
      <c r="M173" s="891"/>
      <c r="N173" s="891"/>
      <c r="O173" s="891"/>
      <c r="P173" s="891"/>
      <c r="Q173" s="891"/>
      <c r="R173" s="891"/>
      <c r="S173" s="891"/>
      <c r="T173" s="891"/>
      <c r="U173" s="891"/>
      <c r="V173" s="891"/>
      <c r="W173" s="891"/>
    </row>
    <row r="174" spans="1:23" s="558" customFormat="1" ht="14.25" hidden="1" customHeight="1">
      <c r="A174" s="903"/>
      <c r="B174" s="904"/>
      <c r="C174" s="914"/>
      <c r="D174" s="906"/>
      <c r="E174" s="904"/>
      <c r="F174" s="903"/>
      <c r="G174" s="557">
        <v>4744434</v>
      </c>
      <c r="H174" s="557">
        <v>1400841</v>
      </c>
      <c r="I174" s="559" t="s">
        <v>1</v>
      </c>
      <c r="J174" s="560">
        <f>K174+N174</f>
        <v>0</v>
      </c>
      <c r="K174" s="560">
        <f>L174+M174</f>
        <v>0</v>
      </c>
      <c r="L174" s="561">
        <v>0</v>
      </c>
      <c r="M174" s="561">
        <v>0</v>
      </c>
      <c r="N174" s="560">
        <f>O174+R174+U174</f>
        <v>0</v>
      </c>
      <c r="O174" s="560">
        <f>P174+Q174</f>
        <v>0</v>
      </c>
      <c r="P174" s="561">
        <v>0</v>
      </c>
      <c r="Q174" s="561">
        <v>0</v>
      </c>
      <c r="R174" s="560">
        <f>T174+S174</f>
        <v>0</v>
      </c>
      <c r="S174" s="561">
        <v>0</v>
      </c>
      <c r="T174" s="561">
        <v>0</v>
      </c>
      <c r="U174" s="560">
        <f>V174+W174</f>
        <v>0</v>
      </c>
      <c r="V174" s="561">
        <v>0</v>
      </c>
      <c r="W174" s="561">
        <v>0</v>
      </c>
    </row>
    <row r="175" spans="1:23" s="558" customFormat="1" ht="14.25" hidden="1" customHeight="1">
      <c r="A175" s="903"/>
      <c r="B175" s="904"/>
      <c r="C175" s="914"/>
      <c r="D175" s="906"/>
      <c r="E175" s="904"/>
      <c r="F175" s="903"/>
      <c r="G175" s="557">
        <v>0</v>
      </c>
      <c r="H175" s="557">
        <v>0</v>
      </c>
      <c r="I175" s="901" t="s">
        <v>2</v>
      </c>
      <c r="J175" s="890">
        <f t="shared" ref="J175:W175" si="31">J172+J174</f>
        <v>16043275</v>
      </c>
      <c r="K175" s="890">
        <f t="shared" si="31"/>
        <v>14354509</v>
      </c>
      <c r="L175" s="890">
        <f t="shared" si="31"/>
        <v>14354509</v>
      </c>
      <c r="M175" s="890">
        <f t="shared" si="31"/>
        <v>0</v>
      </c>
      <c r="N175" s="890">
        <f t="shared" si="31"/>
        <v>1688766</v>
      </c>
      <c r="O175" s="890">
        <f t="shared" si="31"/>
        <v>1688766</v>
      </c>
      <c r="P175" s="890">
        <f t="shared" si="31"/>
        <v>1688766</v>
      </c>
      <c r="Q175" s="890">
        <f t="shared" si="31"/>
        <v>0</v>
      </c>
      <c r="R175" s="890">
        <f t="shared" si="31"/>
        <v>0</v>
      </c>
      <c r="S175" s="890">
        <f t="shared" si="31"/>
        <v>0</v>
      </c>
      <c r="T175" s="890">
        <f t="shared" si="31"/>
        <v>0</v>
      </c>
      <c r="U175" s="890">
        <f t="shared" si="31"/>
        <v>0</v>
      </c>
      <c r="V175" s="890">
        <f t="shared" si="31"/>
        <v>0</v>
      </c>
      <c r="W175" s="890">
        <f t="shared" si="31"/>
        <v>0</v>
      </c>
    </row>
    <row r="176" spans="1:23" s="558" customFormat="1" ht="14.25" hidden="1" customHeight="1">
      <c r="A176" s="903"/>
      <c r="B176" s="904"/>
      <c r="C176" s="915"/>
      <c r="D176" s="906"/>
      <c r="E176" s="904"/>
      <c r="F176" s="903"/>
      <c r="G176" s="557">
        <v>0</v>
      </c>
      <c r="H176" s="557">
        <v>0</v>
      </c>
      <c r="I176" s="902"/>
      <c r="J176" s="891"/>
      <c r="K176" s="891"/>
      <c r="L176" s="891"/>
      <c r="M176" s="891"/>
      <c r="N176" s="891"/>
      <c r="O176" s="891"/>
      <c r="P176" s="891"/>
      <c r="Q176" s="891"/>
      <c r="R176" s="891"/>
      <c r="S176" s="891"/>
      <c r="T176" s="891"/>
      <c r="U176" s="891"/>
      <c r="V176" s="891"/>
      <c r="W176" s="891"/>
    </row>
    <row r="177" spans="1:23" s="563" customFormat="1">
      <c r="A177" s="892" t="s">
        <v>937</v>
      </c>
      <c r="B177" s="893"/>
      <c r="C177" s="893"/>
      <c r="D177" s="893"/>
      <c r="E177" s="893"/>
      <c r="F177" s="894"/>
      <c r="G177" s="562">
        <f>G17+G22+G27+G32+G37+G42+G47+G52+G57+G62+G67+G72+G77+G87+G92+G97+G107+G112+G117+G122+G127+G132+G137+G142+G147+G152+G157+G162+G167+G172+G82+G102</f>
        <v>535757911</v>
      </c>
      <c r="H177" s="562">
        <f>H17+H22+H27+H32+H37+H42+H47+H52+H57+H62+H67+H72+H77+H87+H92+H97+H107+H112+H117+H122+H127+H132+H137+H142+H147+H152+H157+H162+H167+H172+H82+H102</f>
        <v>102630709</v>
      </c>
      <c r="I177" s="888" t="s">
        <v>0</v>
      </c>
      <c r="J177" s="886">
        <f>J17+J22+J27+J32+J37+J42+J47+J52+J57+J62+J67+J72+J77+J87+J92+J97+J107+J112+J117+J122+J127+J132+J137+J142+J147+J152+J157+J162+J167+J172+J82+J102</f>
        <v>234744568</v>
      </c>
      <c r="K177" s="886">
        <f t="shared" ref="K177:W177" si="32">K17+K22+K27+K32+K37+K42+K47+K52+K57+K62+K67+K72+K77+K87+K92+K97+K107+K112+K117+K122+K127+K132+K137+K142+K147+K152+K157+K162+K167+K172+K82+K102</f>
        <v>204335912</v>
      </c>
      <c r="L177" s="886">
        <f t="shared" si="32"/>
        <v>110303029</v>
      </c>
      <c r="M177" s="886">
        <f t="shared" si="32"/>
        <v>94032883</v>
      </c>
      <c r="N177" s="886">
        <f t="shared" si="32"/>
        <v>30408656</v>
      </c>
      <c r="O177" s="886">
        <f t="shared" si="32"/>
        <v>16251405</v>
      </c>
      <c r="P177" s="886">
        <f t="shared" si="32"/>
        <v>8058267</v>
      </c>
      <c r="Q177" s="886">
        <f t="shared" si="32"/>
        <v>8193138</v>
      </c>
      <c r="R177" s="886">
        <f t="shared" si="32"/>
        <v>13879279</v>
      </c>
      <c r="S177" s="886">
        <f t="shared" si="32"/>
        <v>6858375</v>
      </c>
      <c r="T177" s="886">
        <f t="shared" si="32"/>
        <v>7020904</v>
      </c>
      <c r="U177" s="886">
        <f t="shared" si="32"/>
        <v>277972</v>
      </c>
      <c r="V177" s="886">
        <f t="shared" si="32"/>
        <v>277972</v>
      </c>
      <c r="W177" s="886">
        <f t="shared" si="32"/>
        <v>0</v>
      </c>
    </row>
    <row r="178" spans="1:23" s="563" customFormat="1">
      <c r="A178" s="895"/>
      <c r="B178" s="896"/>
      <c r="C178" s="896"/>
      <c r="D178" s="896"/>
      <c r="E178" s="896"/>
      <c r="F178" s="897"/>
      <c r="G178" s="562">
        <f t="shared" ref="G178:H181" si="33">G18+G23+G28+G33+G38+G43+G48+G53+G58+G63+G68+G73+G78+G88+G93+G98+G108+G113+G118+G123+G128+G133+G138+G143+G148+G153+G158+G163+G168+G173+G83+G103</f>
        <v>468384350</v>
      </c>
      <c r="H178" s="562">
        <f t="shared" si="33"/>
        <v>90446947</v>
      </c>
      <c r="I178" s="889"/>
      <c r="J178" s="887"/>
      <c r="K178" s="887"/>
      <c r="L178" s="887"/>
      <c r="M178" s="887"/>
      <c r="N178" s="887"/>
      <c r="O178" s="887"/>
      <c r="P178" s="887"/>
      <c r="Q178" s="887"/>
      <c r="R178" s="887"/>
      <c r="S178" s="887"/>
      <c r="T178" s="887"/>
      <c r="U178" s="887"/>
      <c r="V178" s="887"/>
      <c r="W178" s="887"/>
    </row>
    <row r="179" spans="1:23" s="563" customFormat="1">
      <c r="A179" s="895"/>
      <c r="B179" s="896"/>
      <c r="C179" s="896"/>
      <c r="D179" s="896"/>
      <c r="E179" s="896"/>
      <c r="F179" s="897"/>
      <c r="G179" s="562">
        <f t="shared" si="33"/>
        <v>31978963</v>
      </c>
      <c r="H179" s="562">
        <f t="shared" si="33"/>
        <v>6303444</v>
      </c>
      <c r="I179" s="564" t="s">
        <v>1</v>
      </c>
      <c r="J179" s="565">
        <f>J19+J24+J29+J34+J39+J44+J49+J54+J59+J64+J69+J74+J79+J89+J94+J99+J109+J114+J119+J124+J129+J134+J139+J144+J149+J154+J159+J164+J169+J174+J84+J104</f>
        <v>11577009</v>
      </c>
      <c r="K179" s="565">
        <f t="shared" ref="K179:W179" si="34">K19+K24+K29+K34+K39+K44+K49+K54+K59+K64+K69+K74+K79+K89+K94+K99+K109+K114+K119+K124+K129+K134+K139+K144+K149+K154+K159+K164+K169+K174+K84+K104</f>
        <v>9885698</v>
      </c>
      <c r="L179" s="565">
        <f t="shared" si="34"/>
        <v>10690961</v>
      </c>
      <c r="M179" s="565">
        <f t="shared" si="34"/>
        <v>-805263</v>
      </c>
      <c r="N179" s="565">
        <f t="shared" si="34"/>
        <v>1691311</v>
      </c>
      <c r="O179" s="565">
        <f t="shared" si="34"/>
        <v>125957</v>
      </c>
      <c r="P179" s="565">
        <f t="shared" si="34"/>
        <v>220694</v>
      </c>
      <c r="Q179" s="565">
        <f t="shared" si="34"/>
        <v>-94737</v>
      </c>
      <c r="R179" s="565">
        <f t="shared" si="34"/>
        <v>1565354</v>
      </c>
      <c r="S179" s="565">
        <f t="shared" si="34"/>
        <v>1440154</v>
      </c>
      <c r="T179" s="565">
        <f t="shared" si="34"/>
        <v>125200</v>
      </c>
      <c r="U179" s="565">
        <f t="shared" si="34"/>
        <v>0</v>
      </c>
      <c r="V179" s="565">
        <f t="shared" si="34"/>
        <v>0</v>
      </c>
      <c r="W179" s="565">
        <f t="shared" si="34"/>
        <v>0</v>
      </c>
    </row>
    <row r="180" spans="1:23" s="563" customFormat="1">
      <c r="A180" s="895"/>
      <c r="B180" s="896"/>
      <c r="C180" s="896"/>
      <c r="D180" s="896"/>
      <c r="E180" s="896"/>
      <c r="F180" s="897"/>
      <c r="G180" s="562">
        <f t="shared" si="33"/>
        <v>34573745</v>
      </c>
      <c r="H180" s="562">
        <f t="shared" si="33"/>
        <v>5880318</v>
      </c>
      <c r="I180" s="888" t="s">
        <v>2</v>
      </c>
      <c r="J180" s="886">
        <f>J177+J179</f>
        <v>246321577</v>
      </c>
      <c r="K180" s="886">
        <f t="shared" ref="K180:W180" si="35">K177+K179</f>
        <v>214221610</v>
      </c>
      <c r="L180" s="886">
        <f t="shared" si="35"/>
        <v>120993990</v>
      </c>
      <c r="M180" s="886">
        <f t="shared" si="35"/>
        <v>93227620</v>
      </c>
      <c r="N180" s="886">
        <f t="shared" si="35"/>
        <v>32099967</v>
      </c>
      <c r="O180" s="886">
        <f t="shared" si="35"/>
        <v>16377362</v>
      </c>
      <c r="P180" s="886">
        <f t="shared" si="35"/>
        <v>8278961</v>
      </c>
      <c r="Q180" s="886">
        <f t="shared" si="35"/>
        <v>8098401</v>
      </c>
      <c r="R180" s="886">
        <f t="shared" si="35"/>
        <v>15444633</v>
      </c>
      <c r="S180" s="886">
        <f t="shared" si="35"/>
        <v>8298529</v>
      </c>
      <c r="T180" s="886">
        <f t="shared" si="35"/>
        <v>7146104</v>
      </c>
      <c r="U180" s="886">
        <f t="shared" si="35"/>
        <v>277972</v>
      </c>
      <c r="V180" s="886">
        <f t="shared" si="35"/>
        <v>277972</v>
      </c>
      <c r="W180" s="886">
        <f t="shared" si="35"/>
        <v>0</v>
      </c>
    </row>
    <row r="181" spans="1:23" s="563" customFormat="1">
      <c r="A181" s="898"/>
      <c r="B181" s="899"/>
      <c r="C181" s="899"/>
      <c r="D181" s="899"/>
      <c r="E181" s="899"/>
      <c r="F181" s="900"/>
      <c r="G181" s="562">
        <f t="shared" si="33"/>
        <v>820853</v>
      </c>
      <c r="H181" s="562">
        <f t="shared" si="33"/>
        <v>0</v>
      </c>
      <c r="I181" s="889"/>
      <c r="J181" s="887"/>
      <c r="K181" s="887"/>
      <c r="L181" s="887"/>
      <c r="M181" s="887"/>
      <c r="N181" s="887"/>
      <c r="O181" s="887"/>
      <c r="P181" s="887"/>
      <c r="Q181" s="887"/>
      <c r="R181" s="887"/>
      <c r="S181" s="887"/>
      <c r="T181" s="887"/>
      <c r="U181" s="887"/>
      <c r="V181" s="887"/>
      <c r="W181" s="887"/>
    </row>
    <row r="182" spans="1:23" s="556" customFormat="1" ht="4.5" customHeight="1">
      <c r="A182" s="907"/>
      <c r="B182" s="908"/>
      <c r="C182" s="908"/>
      <c r="D182" s="908"/>
      <c r="E182" s="908"/>
      <c r="F182" s="908"/>
      <c r="G182" s="908"/>
      <c r="H182" s="908"/>
      <c r="I182" s="908"/>
      <c r="J182" s="908"/>
      <c r="K182" s="908"/>
      <c r="L182" s="908"/>
      <c r="M182" s="908"/>
      <c r="N182" s="908"/>
      <c r="O182" s="908"/>
      <c r="P182" s="908"/>
      <c r="Q182" s="908"/>
      <c r="R182" s="908"/>
      <c r="S182" s="908"/>
      <c r="T182" s="908"/>
      <c r="U182" s="908"/>
      <c r="V182" s="908"/>
      <c r="W182" s="909"/>
    </row>
    <row r="183" spans="1:23" s="556" customFormat="1" ht="23.25" customHeight="1">
      <c r="A183" s="910" t="s">
        <v>1010</v>
      </c>
      <c r="B183" s="911"/>
      <c r="C183" s="911"/>
      <c r="D183" s="911"/>
      <c r="E183" s="911"/>
      <c r="F183" s="911"/>
      <c r="G183" s="911"/>
      <c r="H183" s="911"/>
      <c r="I183" s="911"/>
      <c r="J183" s="911"/>
      <c r="K183" s="911"/>
      <c r="L183" s="911"/>
      <c r="M183" s="911"/>
      <c r="N183" s="911"/>
      <c r="O183" s="911"/>
      <c r="P183" s="911"/>
      <c r="Q183" s="911"/>
      <c r="R183" s="911"/>
      <c r="S183" s="911"/>
      <c r="T183" s="911"/>
      <c r="U183" s="911"/>
      <c r="V183" s="911"/>
      <c r="W183" s="912"/>
    </row>
    <row r="184" spans="1:23" s="556" customFormat="1" ht="3" customHeight="1">
      <c r="A184" s="907"/>
      <c r="B184" s="908"/>
      <c r="C184" s="908"/>
      <c r="D184" s="908"/>
      <c r="E184" s="908"/>
      <c r="F184" s="908"/>
      <c r="G184" s="908"/>
      <c r="H184" s="908"/>
      <c r="I184" s="908"/>
      <c r="J184" s="908"/>
      <c r="K184" s="908"/>
      <c r="L184" s="908"/>
      <c r="M184" s="908"/>
      <c r="N184" s="908"/>
      <c r="O184" s="908"/>
      <c r="P184" s="908"/>
      <c r="Q184" s="908"/>
      <c r="R184" s="908"/>
      <c r="S184" s="908"/>
      <c r="T184" s="908"/>
      <c r="U184" s="908"/>
      <c r="V184" s="908"/>
      <c r="W184" s="909"/>
    </row>
    <row r="185" spans="1:23" s="558" customFormat="1" ht="14.25" hidden="1" customHeight="1">
      <c r="A185" s="903">
        <v>1</v>
      </c>
      <c r="B185" s="904" t="s">
        <v>1011</v>
      </c>
      <c r="C185" s="905" t="s">
        <v>1012</v>
      </c>
      <c r="D185" s="906" t="s">
        <v>1013</v>
      </c>
      <c r="E185" s="906" t="s">
        <v>1014</v>
      </c>
      <c r="F185" s="906" t="s">
        <v>1015</v>
      </c>
      <c r="G185" s="557">
        <f>G187+G186+G188+G189</f>
        <v>225579449</v>
      </c>
      <c r="H185" s="557">
        <f>H186+H187+H188+H189</f>
        <v>0</v>
      </c>
      <c r="I185" s="901" t="s">
        <v>0</v>
      </c>
      <c r="J185" s="890">
        <f>K185+N185</f>
        <v>32205962</v>
      </c>
      <c r="K185" s="890">
        <f>L185+M185</f>
        <v>27375068</v>
      </c>
      <c r="L185" s="890">
        <v>27025068</v>
      </c>
      <c r="M185" s="890">
        <v>350000</v>
      </c>
      <c r="N185" s="890">
        <f>O185+R185+U185</f>
        <v>4830894</v>
      </c>
      <c r="O185" s="890">
        <f>P185+Q185</f>
        <v>0</v>
      </c>
      <c r="P185" s="890">
        <v>0</v>
      </c>
      <c r="Q185" s="890">
        <v>0</v>
      </c>
      <c r="R185" s="890">
        <f>S185+T185</f>
        <v>4830894</v>
      </c>
      <c r="S185" s="890">
        <v>4769129</v>
      </c>
      <c r="T185" s="890">
        <v>61765</v>
      </c>
      <c r="U185" s="890">
        <f>V185+W185</f>
        <v>0</v>
      </c>
      <c r="V185" s="890">
        <f>W185+Z185</f>
        <v>0</v>
      </c>
      <c r="W185" s="890">
        <f>X185+AA185</f>
        <v>0</v>
      </c>
    </row>
    <row r="186" spans="1:23" s="558" customFormat="1" ht="14.25" hidden="1" customHeight="1">
      <c r="A186" s="903"/>
      <c r="B186" s="904"/>
      <c r="C186" s="905"/>
      <c r="D186" s="906"/>
      <c r="E186" s="906"/>
      <c r="F186" s="906"/>
      <c r="G186" s="557">
        <v>191742532</v>
      </c>
      <c r="H186" s="557">
        <v>0</v>
      </c>
      <c r="I186" s="902"/>
      <c r="J186" s="891"/>
      <c r="K186" s="891"/>
      <c r="L186" s="891"/>
      <c r="M186" s="891"/>
      <c r="N186" s="891"/>
      <c r="O186" s="891"/>
      <c r="P186" s="891"/>
      <c r="Q186" s="891"/>
      <c r="R186" s="891"/>
      <c r="S186" s="891"/>
      <c r="T186" s="891"/>
      <c r="U186" s="891"/>
      <c r="V186" s="891"/>
      <c r="W186" s="891"/>
    </row>
    <row r="187" spans="1:23" s="558" customFormat="1" ht="14.25" hidden="1" customHeight="1">
      <c r="A187" s="903"/>
      <c r="B187" s="904"/>
      <c r="C187" s="905"/>
      <c r="D187" s="906"/>
      <c r="E187" s="906"/>
      <c r="F187" s="906"/>
      <c r="G187" s="557">
        <v>0</v>
      </c>
      <c r="H187" s="557">
        <v>0</v>
      </c>
      <c r="I187" s="559" t="s">
        <v>1</v>
      </c>
      <c r="J187" s="560">
        <f>K187+N187</f>
        <v>0</v>
      </c>
      <c r="K187" s="560">
        <f>L187+M187</f>
        <v>0</v>
      </c>
      <c r="L187" s="561">
        <v>0</v>
      </c>
      <c r="M187" s="561">
        <v>0</v>
      </c>
      <c r="N187" s="560">
        <f>O187+R187+U187</f>
        <v>0</v>
      </c>
      <c r="O187" s="560">
        <f>P187+Q187</f>
        <v>0</v>
      </c>
      <c r="P187" s="561">
        <v>0</v>
      </c>
      <c r="Q187" s="561">
        <v>0</v>
      </c>
      <c r="R187" s="560">
        <f>T187+S187</f>
        <v>0</v>
      </c>
      <c r="S187" s="561">
        <v>0</v>
      </c>
      <c r="T187" s="561">
        <v>0</v>
      </c>
      <c r="U187" s="560">
        <f>V187+W187</f>
        <v>0</v>
      </c>
      <c r="V187" s="561">
        <v>0</v>
      </c>
      <c r="W187" s="561">
        <v>0</v>
      </c>
    </row>
    <row r="188" spans="1:23" s="558" customFormat="1" ht="14.25" hidden="1" customHeight="1">
      <c r="A188" s="903"/>
      <c r="B188" s="904"/>
      <c r="C188" s="905"/>
      <c r="D188" s="906"/>
      <c r="E188" s="906"/>
      <c r="F188" s="906"/>
      <c r="G188" s="557">
        <v>33836917</v>
      </c>
      <c r="H188" s="557">
        <v>0</v>
      </c>
      <c r="I188" s="901" t="s">
        <v>2</v>
      </c>
      <c r="J188" s="890">
        <f t="shared" ref="J188:W188" si="36">J185+J187</f>
        <v>32205962</v>
      </c>
      <c r="K188" s="890">
        <f t="shared" si="36"/>
        <v>27375068</v>
      </c>
      <c r="L188" s="890">
        <f t="shared" si="36"/>
        <v>27025068</v>
      </c>
      <c r="M188" s="890">
        <f t="shared" si="36"/>
        <v>350000</v>
      </c>
      <c r="N188" s="890">
        <f t="shared" si="36"/>
        <v>4830894</v>
      </c>
      <c r="O188" s="890">
        <f t="shared" si="36"/>
        <v>0</v>
      </c>
      <c r="P188" s="890">
        <f t="shared" si="36"/>
        <v>0</v>
      </c>
      <c r="Q188" s="890">
        <f t="shared" si="36"/>
        <v>0</v>
      </c>
      <c r="R188" s="890">
        <f t="shared" si="36"/>
        <v>4830894</v>
      </c>
      <c r="S188" s="890">
        <f t="shared" si="36"/>
        <v>4769129</v>
      </c>
      <c r="T188" s="890">
        <f t="shared" si="36"/>
        <v>61765</v>
      </c>
      <c r="U188" s="890">
        <f t="shared" si="36"/>
        <v>0</v>
      </c>
      <c r="V188" s="890">
        <f t="shared" si="36"/>
        <v>0</v>
      </c>
      <c r="W188" s="890">
        <f t="shared" si="36"/>
        <v>0</v>
      </c>
    </row>
    <row r="189" spans="1:23" s="558" customFormat="1" ht="14.25" hidden="1" customHeight="1">
      <c r="A189" s="903"/>
      <c r="B189" s="904"/>
      <c r="C189" s="905"/>
      <c r="D189" s="906"/>
      <c r="E189" s="906"/>
      <c r="F189" s="906"/>
      <c r="G189" s="557">
        <v>0</v>
      </c>
      <c r="H189" s="557">
        <v>0</v>
      </c>
      <c r="I189" s="902"/>
      <c r="J189" s="891"/>
      <c r="K189" s="891"/>
      <c r="L189" s="891"/>
      <c r="M189" s="891"/>
      <c r="N189" s="891"/>
      <c r="O189" s="891"/>
      <c r="P189" s="891"/>
      <c r="Q189" s="891"/>
      <c r="R189" s="891"/>
      <c r="S189" s="891"/>
      <c r="T189" s="891"/>
      <c r="U189" s="891"/>
      <c r="V189" s="891"/>
      <c r="W189" s="891"/>
    </row>
    <row r="190" spans="1:23" s="558" customFormat="1" ht="14.25" hidden="1" customHeight="1">
      <c r="A190" s="903">
        <v>2</v>
      </c>
      <c r="B190" s="904" t="s">
        <v>1011</v>
      </c>
      <c r="C190" s="905" t="s">
        <v>1016</v>
      </c>
      <c r="D190" s="906" t="s">
        <v>1013</v>
      </c>
      <c r="E190" s="906" t="s">
        <v>1017</v>
      </c>
      <c r="F190" s="906" t="s">
        <v>1015</v>
      </c>
      <c r="G190" s="557">
        <f>G192+G191+G193+G194</f>
        <v>10426531</v>
      </c>
      <c r="H190" s="557">
        <f>H191+H192+H193+H194</f>
        <v>0</v>
      </c>
      <c r="I190" s="901" t="s">
        <v>0</v>
      </c>
      <c r="J190" s="890">
        <f>K190+N190</f>
        <v>2438632</v>
      </c>
      <c r="K190" s="890">
        <f>L190+M190</f>
        <v>2438632</v>
      </c>
      <c r="L190" s="890">
        <v>2438632</v>
      </c>
      <c r="M190" s="890">
        <v>0</v>
      </c>
      <c r="N190" s="890">
        <f>O190+R190+U190</f>
        <v>0</v>
      </c>
      <c r="O190" s="890">
        <f>P190+Q190</f>
        <v>0</v>
      </c>
      <c r="P190" s="890">
        <v>0</v>
      </c>
      <c r="Q190" s="890">
        <v>0</v>
      </c>
      <c r="R190" s="890">
        <f>S190+T190</f>
        <v>0</v>
      </c>
      <c r="S190" s="890">
        <v>0</v>
      </c>
      <c r="T190" s="890">
        <v>0</v>
      </c>
      <c r="U190" s="890">
        <f>V190+W190</f>
        <v>0</v>
      </c>
      <c r="V190" s="890">
        <f>W190+Z190</f>
        <v>0</v>
      </c>
      <c r="W190" s="890">
        <f>X190+AA190</f>
        <v>0</v>
      </c>
    </row>
    <row r="191" spans="1:23" s="558" customFormat="1" ht="14.25" hidden="1" customHeight="1">
      <c r="A191" s="903"/>
      <c r="B191" s="904"/>
      <c r="C191" s="905"/>
      <c r="D191" s="906"/>
      <c r="E191" s="906"/>
      <c r="F191" s="906"/>
      <c r="G191" s="557">
        <v>10426531</v>
      </c>
      <c r="H191" s="557">
        <v>0</v>
      </c>
      <c r="I191" s="902"/>
      <c r="J191" s="891"/>
      <c r="K191" s="891"/>
      <c r="L191" s="891"/>
      <c r="M191" s="891"/>
      <c r="N191" s="891"/>
      <c r="O191" s="891"/>
      <c r="P191" s="891"/>
      <c r="Q191" s="891"/>
      <c r="R191" s="891"/>
      <c r="S191" s="891"/>
      <c r="T191" s="891"/>
      <c r="U191" s="891"/>
      <c r="V191" s="891"/>
      <c r="W191" s="891"/>
    </row>
    <row r="192" spans="1:23" s="558" customFormat="1" ht="14.25" hidden="1" customHeight="1">
      <c r="A192" s="903"/>
      <c r="B192" s="904"/>
      <c r="C192" s="905"/>
      <c r="D192" s="906"/>
      <c r="E192" s="906"/>
      <c r="F192" s="906"/>
      <c r="G192" s="557">
        <v>0</v>
      </c>
      <c r="H192" s="557">
        <v>0</v>
      </c>
      <c r="I192" s="559" t="s">
        <v>1</v>
      </c>
      <c r="J192" s="560">
        <f>K192+N192</f>
        <v>0</v>
      </c>
      <c r="K192" s="560">
        <f>L192+M192</f>
        <v>0</v>
      </c>
      <c r="L192" s="561">
        <v>0</v>
      </c>
      <c r="M192" s="561">
        <v>0</v>
      </c>
      <c r="N192" s="560">
        <f>O192+R192+U192</f>
        <v>0</v>
      </c>
      <c r="O192" s="560">
        <f>P192+Q192</f>
        <v>0</v>
      </c>
      <c r="P192" s="561">
        <v>0</v>
      </c>
      <c r="Q192" s="561">
        <v>0</v>
      </c>
      <c r="R192" s="560">
        <f>T192+S192</f>
        <v>0</v>
      </c>
      <c r="S192" s="561">
        <v>0</v>
      </c>
      <c r="T192" s="561">
        <v>0</v>
      </c>
      <c r="U192" s="560">
        <f>V192+W192</f>
        <v>0</v>
      </c>
      <c r="V192" s="561">
        <v>0</v>
      </c>
      <c r="W192" s="561">
        <v>0</v>
      </c>
    </row>
    <row r="193" spans="1:23" s="558" customFormat="1" ht="14.25" hidden="1" customHeight="1">
      <c r="A193" s="903"/>
      <c r="B193" s="904"/>
      <c r="C193" s="905"/>
      <c r="D193" s="906"/>
      <c r="E193" s="906"/>
      <c r="F193" s="906"/>
      <c r="G193" s="557">
        <v>0</v>
      </c>
      <c r="H193" s="557">
        <v>0</v>
      </c>
      <c r="I193" s="901" t="s">
        <v>2</v>
      </c>
      <c r="J193" s="890">
        <f t="shared" ref="J193:W193" si="37">J190+J192</f>
        <v>2438632</v>
      </c>
      <c r="K193" s="890">
        <f t="shared" si="37"/>
        <v>2438632</v>
      </c>
      <c r="L193" s="890">
        <f t="shared" si="37"/>
        <v>2438632</v>
      </c>
      <c r="M193" s="890">
        <f t="shared" si="37"/>
        <v>0</v>
      </c>
      <c r="N193" s="890">
        <f t="shared" si="37"/>
        <v>0</v>
      </c>
      <c r="O193" s="890">
        <f t="shared" si="37"/>
        <v>0</v>
      </c>
      <c r="P193" s="890">
        <f t="shared" si="37"/>
        <v>0</v>
      </c>
      <c r="Q193" s="890">
        <f t="shared" si="37"/>
        <v>0</v>
      </c>
      <c r="R193" s="890">
        <f t="shared" si="37"/>
        <v>0</v>
      </c>
      <c r="S193" s="890">
        <f t="shared" si="37"/>
        <v>0</v>
      </c>
      <c r="T193" s="890">
        <f t="shared" si="37"/>
        <v>0</v>
      </c>
      <c r="U193" s="890">
        <f t="shared" si="37"/>
        <v>0</v>
      </c>
      <c r="V193" s="890">
        <f t="shared" si="37"/>
        <v>0</v>
      </c>
      <c r="W193" s="890">
        <f t="shared" si="37"/>
        <v>0</v>
      </c>
    </row>
    <row r="194" spans="1:23" s="558" customFormat="1" ht="14.25" hidden="1" customHeight="1">
      <c r="A194" s="903"/>
      <c r="B194" s="904"/>
      <c r="C194" s="905"/>
      <c r="D194" s="906"/>
      <c r="E194" s="906"/>
      <c r="F194" s="906"/>
      <c r="G194" s="557">
        <v>0</v>
      </c>
      <c r="H194" s="557">
        <v>0</v>
      </c>
      <c r="I194" s="902"/>
      <c r="J194" s="891"/>
      <c r="K194" s="891"/>
      <c r="L194" s="891"/>
      <c r="M194" s="891"/>
      <c r="N194" s="891"/>
      <c r="O194" s="891"/>
      <c r="P194" s="891"/>
      <c r="Q194" s="891"/>
      <c r="R194" s="891"/>
      <c r="S194" s="891"/>
      <c r="T194" s="891"/>
      <c r="U194" s="891"/>
      <c r="V194" s="891"/>
      <c r="W194" s="891"/>
    </row>
    <row r="195" spans="1:23" s="558" customFormat="1" ht="14.25" hidden="1" customHeight="1">
      <c r="A195" s="903">
        <v>3</v>
      </c>
      <c r="B195" s="904" t="s">
        <v>1011</v>
      </c>
      <c r="C195" s="905" t="s">
        <v>1012</v>
      </c>
      <c r="D195" s="906" t="s">
        <v>990</v>
      </c>
      <c r="E195" s="906" t="s">
        <v>979</v>
      </c>
      <c r="F195" s="906" t="s">
        <v>1015</v>
      </c>
      <c r="G195" s="557">
        <f>G197+G196+G198+G199</f>
        <v>14283771</v>
      </c>
      <c r="H195" s="557">
        <f>H196+H197+H198+H199</f>
        <v>0</v>
      </c>
      <c r="I195" s="901" t="s">
        <v>0</v>
      </c>
      <c r="J195" s="890">
        <f>K195+N195</f>
        <v>3378000</v>
      </c>
      <c r="K195" s="890">
        <f>L195+M195</f>
        <v>2871300</v>
      </c>
      <c r="L195" s="890">
        <v>2871300</v>
      </c>
      <c r="M195" s="890">
        <v>0</v>
      </c>
      <c r="N195" s="890">
        <f>O195+R195+U195</f>
        <v>506700</v>
      </c>
      <c r="O195" s="890">
        <f>P195+Q195</f>
        <v>0</v>
      </c>
      <c r="P195" s="890">
        <v>0</v>
      </c>
      <c r="Q195" s="890">
        <v>0</v>
      </c>
      <c r="R195" s="890">
        <f>S195+T195</f>
        <v>506700</v>
      </c>
      <c r="S195" s="890">
        <v>506700</v>
      </c>
      <c r="T195" s="890">
        <v>0</v>
      </c>
      <c r="U195" s="890">
        <f>V195+W195</f>
        <v>0</v>
      </c>
      <c r="V195" s="890">
        <f>W195+Z195</f>
        <v>0</v>
      </c>
      <c r="W195" s="890">
        <f>X195+AA195</f>
        <v>0</v>
      </c>
    </row>
    <row r="196" spans="1:23" s="558" customFormat="1" ht="14.25" hidden="1" customHeight="1">
      <c r="A196" s="903"/>
      <c r="B196" s="904"/>
      <c r="C196" s="905"/>
      <c r="D196" s="906"/>
      <c r="E196" s="906"/>
      <c r="F196" s="906"/>
      <c r="G196" s="557">
        <v>12141205</v>
      </c>
      <c r="H196" s="557">
        <v>0</v>
      </c>
      <c r="I196" s="902"/>
      <c r="J196" s="891"/>
      <c r="K196" s="891"/>
      <c r="L196" s="891"/>
      <c r="M196" s="891"/>
      <c r="N196" s="891"/>
      <c r="O196" s="891"/>
      <c r="P196" s="891"/>
      <c r="Q196" s="891"/>
      <c r="R196" s="891"/>
      <c r="S196" s="891"/>
      <c r="T196" s="891"/>
      <c r="U196" s="891"/>
      <c r="V196" s="891"/>
      <c r="W196" s="891"/>
    </row>
    <row r="197" spans="1:23" s="558" customFormat="1" ht="14.25" hidden="1" customHeight="1">
      <c r="A197" s="903"/>
      <c r="B197" s="904"/>
      <c r="C197" s="905"/>
      <c r="D197" s="906"/>
      <c r="E197" s="906"/>
      <c r="F197" s="906"/>
      <c r="G197" s="557">
        <v>0</v>
      </c>
      <c r="H197" s="557">
        <v>0</v>
      </c>
      <c r="I197" s="559" t="s">
        <v>1</v>
      </c>
      <c r="J197" s="560">
        <f>K197+N197</f>
        <v>0</v>
      </c>
      <c r="K197" s="560">
        <f>L197+M197</f>
        <v>0</v>
      </c>
      <c r="L197" s="561">
        <v>0</v>
      </c>
      <c r="M197" s="561">
        <v>0</v>
      </c>
      <c r="N197" s="560">
        <f>O197+R197+U197</f>
        <v>0</v>
      </c>
      <c r="O197" s="560">
        <f>P197+Q197</f>
        <v>0</v>
      </c>
      <c r="P197" s="561">
        <v>0</v>
      </c>
      <c r="Q197" s="561">
        <v>0</v>
      </c>
      <c r="R197" s="560">
        <f>T197+S197</f>
        <v>0</v>
      </c>
      <c r="S197" s="561">
        <v>0</v>
      </c>
      <c r="T197" s="561">
        <v>0</v>
      </c>
      <c r="U197" s="560">
        <f>V197+W197</f>
        <v>0</v>
      </c>
      <c r="V197" s="561">
        <v>0</v>
      </c>
      <c r="W197" s="561">
        <v>0</v>
      </c>
    </row>
    <row r="198" spans="1:23" s="558" customFormat="1" ht="14.25" hidden="1" customHeight="1">
      <c r="A198" s="903"/>
      <c r="B198" s="904"/>
      <c r="C198" s="905"/>
      <c r="D198" s="906"/>
      <c r="E198" s="906"/>
      <c r="F198" s="906"/>
      <c r="G198" s="557">
        <v>2142566</v>
      </c>
      <c r="H198" s="557">
        <v>0</v>
      </c>
      <c r="I198" s="901" t="s">
        <v>2</v>
      </c>
      <c r="J198" s="890">
        <f t="shared" ref="J198:W198" si="38">J195+J197</f>
        <v>3378000</v>
      </c>
      <c r="K198" s="890">
        <f t="shared" si="38"/>
        <v>2871300</v>
      </c>
      <c r="L198" s="890">
        <f t="shared" si="38"/>
        <v>2871300</v>
      </c>
      <c r="M198" s="890">
        <f t="shared" si="38"/>
        <v>0</v>
      </c>
      <c r="N198" s="890">
        <f t="shared" si="38"/>
        <v>506700</v>
      </c>
      <c r="O198" s="890">
        <f t="shared" si="38"/>
        <v>0</v>
      </c>
      <c r="P198" s="890">
        <f t="shared" si="38"/>
        <v>0</v>
      </c>
      <c r="Q198" s="890">
        <f t="shared" si="38"/>
        <v>0</v>
      </c>
      <c r="R198" s="890">
        <f t="shared" si="38"/>
        <v>506700</v>
      </c>
      <c r="S198" s="890">
        <f t="shared" si="38"/>
        <v>506700</v>
      </c>
      <c r="T198" s="890">
        <f t="shared" si="38"/>
        <v>0</v>
      </c>
      <c r="U198" s="890">
        <f t="shared" si="38"/>
        <v>0</v>
      </c>
      <c r="V198" s="890">
        <f t="shared" si="38"/>
        <v>0</v>
      </c>
      <c r="W198" s="890">
        <f t="shared" si="38"/>
        <v>0</v>
      </c>
    </row>
    <row r="199" spans="1:23" s="558" customFormat="1" ht="14.25" hidden="1" customHeight="1">
      <c r="A199" s="903"/>
      <c r="B199" s="904"/>
      <c r="C199" s="905"/>
      <c r="D199" s="906"/>
      <c r="E199" s="906"/>
      <c r="F199" s="906"/>
      <c r="G199" s="557">
        <v>0</v>
      </c>
      <c r="H199" s="557">
        <v>0</v>
      </c>
      <c r="I199" s="902"/>
      <c r="J199" s="891"/>
      <c r="K199" s="891"/>
      <c r="L199" s="891"/>
      <c r="M199" s="891"/>
      <c r="N199" s="891"/>
      <c r="O199" s="891"/>
      <c r="P199" s="891"/>
      <c r="Q199" s="891"/>
      <c r="R199" s="891"/>
      <c r="S199" s="891"/>
      <c r="T199" s="891"/>
      <c r="U199" s="891"/>
      <c r="V199" s="891"/>
      <c r="W199" s="891"/>
    </row>
    <row r="200" spans="1:23" s="558" customFormat="1" ht="14.25" hidden="1" customHeight="1">
      <c r="A200" s="903">
        <v>4</v>
      </c>
      <c r="B200" s="904" t="s">
        <v>1018</v>
      </c>
      <c r="C200" s="905" t="s">
        <v>1019</v>
      </c>
      <c r="D200" s="906" t="s">
        <v>1013</v>
      </c>
      <c r="E200" s="906" t="s">
        <v>1014</v>
      </c>
      <c r="F200" s="906" t="s">
        <v>1015</v>
      </c>
      <c r="G200" s="557">
        <f>G202+G201+G203+G204</f>
        <v>17824978</v>
      </c>
      <c r="H200" s="557">
        <f>H201+H202+H203+H204</f>
        <v>0</v>
      </c>
      <c r="I200" s="901" t="s">
        <v>0</v>
      </c>
      <c r="J200" s="890">
        <f>K200+N200</f>
        <v>3482318</v>
      </c>
      <c r="K200" s="890">
        <f>L200+M200</f>
        <v>2959970</v>
      </c>
      <c r="L200" s="890">
        <v>2959970</v>
      </c>
      <c r="M200" s="890">
        <v>0</v>
      </c>
      <c r="N200" s="890">
        <f>O200+R200+U200</f>
        <v>522348</v>
      </c>
      <c r="O200" s="890">
        <f>P200+Q200</f>
        <v>0</v>
      </c>
      <c r="P200" s="890">
        <v>0</v>
      </c>
      <c r="Q200" s="890">
        <v>0</v>
      </c>
      <c r="R200" s="890">
        <f>S200+T200</f>
        <v>522348</v>
      </c>
      <c r="S200" s="890">
        <v>522348</v>
      </c>
      <c r="T200" s="890">
        <v>0</v>
      </c>
      <c r="U200" s="890">
        <f>V200+W200</f>
        <v>0</v>
      </c>
      <c r="V200" s="890">
        <f>W200+Z200</f>
        <v>0</v>
      </c>
      <c r="W200" s="890">
        <f>X200+AA200</f>
        <v>0</v>
      </c>
    </row>
    <row r="201" spans="1:23" s="558" customFormat="1" ht="14.25" hidden="1" customHeight="1">
      <c r="A201" s="903"/>
      <c r="B201" s="904"/>
      <c r="C201" s="905"/>
      <c r="D201" s="906"/>
      <c r="E201" s="906"/>
      <c r="F201" s="906"/>
      <c r="G201" s="557">
        <v>15151231</v>
      </c>
      <c r="H201" s="557">
        <v>0</v>
      </c>
      <c r="I201" s="902"/>
      <c r="J201" s="891"/>
      <c r="K201" s="891"/>
      <c r="L201" s="891"/>
      <c r="M201" s="891"/>
      <c r="N201" s="891"/>
      <c r="O201" s="891"/>
      <c r="P201" s="891"/>
      <c r="Q201" s="891"/>
      <c r="R201" s="891"/>
      <c r="S201" s="891"/>
      <c r="T201" s="891"/>
      <c r="U201" s="891"/>
      <c r="V201" s="891"/>
      <c r="W201" s="891"/>
    </row>
    <row r="202" spans="1:23" s="558" customFormat="1" ht="14.25" hidden="1" customHeight="1">
      <c r="A202" s="903"/>
      <c r="B202" s="904"/>
      <c r="C202" s="905"/>
      <c r="D202" s="906"/>
      <c r="E202" s="906"/>
      <c r="F202" s="906"/>
      <c r="G202" s="557">
        <v>0</v>
      </c>
      <c r="H202" s="557">
        <v>0</v>
      </c>
      <c r="I202" s="559" t="s">
        <v>1</v>
      </c>
      <c r="J202" s="560">
        <f>K202+N202</f>
        <v>0</v>
      </c>
      <c r="K202" s="560">
        <f>L202+M202</f>
        <v>0</v>
      </c>
      <c r="L202" s="561">
        <v>0</v>
      </c>
      <c r="M202" s="561">
        <v>0</v>
      </c>
      <c r="N202" s="560">
        <f>O202+R202+U202</f>
        <v>0</v>
      </c>
      <c r="O202" s="560">
        <f>P202+Q202</f>
        <v>0</v>
      </c>
      <c r="P202" s="561">
        <v>0</v>
      </c>
      <c r="Q202" s="561">
        <v>0</v>
      </c>
      <c r="R202" s="560">
        <f>T202+S202</f>
        <v>0</v>
      </c>
      <c r="S202" s="561">
        <v>0</v>
      </c>
      <c r="T202" s="561">
        <v>0</v>
      </c>
      <c r="U202" s="560">
        <f>V202+W202</f>
        <v>0</v>
      </c>
      <c r="V202" s="561">
        <v>0</v>
      </c>
      <c r="W202" s="561">
        <v>0</v>
      </c>
    </row>
    <row r="203" spans="1:23" s="558" customFormat="1" ht="14.25" hidden="1" customHeight="1">
      <c r="A203" s="903"/>
      <c r="B203" s="904"/>
      <c r="C203" s="905"/>
      <c r="D203" s="906"/>
      <c r="E203" s="906"/>
      <c r="F203" s="906"/>
      <c r="G203" s="557">
        <v>2673747</v>
      </c>
      <c r="H203" s="557">
        <v>0</v>
      </c>
      <c r="I203" s="901" t="s">
        <v>2</v>
      </c>
      <c r="J203" s="890">
        <f t="shared" ref="J203:W203" si="39">J200+J202</f>
        <v>3482318</v>
      </c>
      <c r="K203" s="890">
        <f t="shared" si="39"/>
        <v>2959970</v>
      </c>
      <c r="L203" s="890">
        <f t="shared" si="39"/>
        <v>2959970</v>
      </c>
      <c r="M203" s="890">
        <f t="shared" si="39"/>
        <v>0</v>
      </c>
      <c r="N203" s="890">
        <f t="shared" si="39"/>
        <v>522348</v>
      </c>
      <c r="O203" s="890">
        <f t="shared" si="39"/>
        <v>0</v>
      </c>
      <c r="P203" s="890">
        <f t="shared" si="39"/>
        <v>0</v>
      </c>
      <c r="Q203" s="890">
        <f t="shared" si="39"/>
        <v>0</v>
      </c>
      <c r="R203" s="890">
        <f t="shared" si="39"/>
        <v>522348</v>
      </c>
      <c r="S203" s="890">
        <f t="shared" si="39"/>
        <v>522348</v>
      </c>
      <c r="T203" s="890">
        <f t="shared" si="39"/>
        <v>0</v>
      </c>
      <c r="U203" s="890">
        <f t="shared" si="39"/>
        <v>0</v>
      </c>
      <c r="V203" s="890">
        <f t="shared" si="39"/>
        <v>0</v>
      </c>
      <c r="W203" s="890">
        <f t="shared" si="39"/>
        <v>0</v>
      </c>
    </row>
    <row r="204" spans="1:23" s="558" customFormat="1" ht="14.25" hidden="1" customHeight="1">
      <c r="A204" s="903"/>
      <c r="B204" s="904"/>
      <c r="C204" s="905"/>
      <c r="D204" s="906"/>
      <c r="E204" s="906"/>
      <c r="F204" s="906"/>
      <c r="G204" s="557">
        <v>0</v>
      </c>
      <c r="H204" s="557">
        <v>0</v>
      </c>
      <c r="I204" s="902"/>
      <c r="J204" s="891"/>
      <c r="K204" s="891"/>
      <c r="L204" s="891"/>
      <c r="M204" s="891"/>
      <c r="N204" s="891"/>
      <c r="O204" s="891"/>
      <c r="P204" s="891"/>
      <c r="Q204" s="891"/>
      <c r="R204" s="891"/>
      <c r="S204" s="891"/>
      <c r="T204" s="891"/>
      <c r="U204" s="891"/>
      <c r="V204" s="891"/>
      <c r="W204" s="891"/>
    </row>
    <row r="205" spans="1:23" s="558" customFormat="1" ht="14.25" hidden="1" customHeight="1">
      <c r="A205" s="903">
        <v>5</v>
      </c>
      <c r="B205" s="904" t="s">
        <v>1018</v>
      </c>
      <c r="C205" s="905" t="s">
        <v>1020</v>
      </c>
      <c r="D205" s="906" t="s">
        <v>1013</v>
      </c>
      <c r="E205" s="906" t="s">
        <v>1017</v>
      </c>
      <c r="F205" s="906" t="s">
        <v>1021</v>
      </c>
      <c r="G205" s="557">
        <f>G207+G206+G208+G209</f>
        <v>122017</v>
      </c>
      <c r="H205" s="557">
        <f>H206+H207+H208+H209</f>
        <v>0</v>
      </c>
      <c r="I205" s="901" t="s">
        <v>0</v>
      </c>
      <c r="J205" s="890">
        <f>K205+N205</f>
        <v>44030</v>
      </c>
      <c r="K205" s="890">
        <f>L205+M205</f>
        <v>44030</v>
      </c>
      <c r="L205" s="890">
        <v>44030</v>
      </c>
      <c r="M205" s="890">
        <v>0</v>
      </c>
      <c r="N205" s="890">
        <f>O205+R205+U205</f>
        <v>0</v>
      </c>
      <c r="O205" s="890">
        <f>P205+Q205</f>
        <v>0</v>
      </c>
      <c r="P205" s="890">
        <v>0</v>
      </c>
      <c r="Q205" s="890">
        <v>0</v>
      </c>
      <c r="R205" s="890">
        <f>S205+T205</f>
        <v>0</v>
      </c>
      <c r="S205" s="890">
        <v>0</v>
      </c>
      <c r="T205" s="890">
        <v>0</v>
      </c>
      <c r="U205" s="890">
        <f>V205+W205</f>
        <v>0</v>
      </c>
      <c r="V205" s="890">
        <f>W205+Z205</f>
        <v>0</v>
      </c>
      <c r="W205" s="890">
        <f>X205+AA205</f>
        <v>0</v>
      </c>
    </row>
    <row r="206" spans="1:23" s="558" customFormat="1" ht="14.25" hidden="1" customHeight="1">
      <c r="A206" s="903"/>
      <c r="B206" s="904"/>
      <c r="C206" s="905"/>
      <c r="D206" s="906"/>
      <c r="E206" s="906"/>
      <c r="F206" s="906"/>
      <c r="G206" s="557">
        <v>122017</v>
      </c>
      <c r="H206" s="557">
        <v>0</v>
      </c>
      <c r="I206" s="902"/>
      <c r="J206" s="891"/>
      <c r="K206" s="891"/>
      <c r="L206" s="891"/>
      <c r="M206" s="891"/>
      <c r="N206" s="891"/>
      <c r="O206" s="891"/>
      <c r="P206" s="891"/>
      <c r="Q206" s="891"/>
      <c r="R206" s="891"/>
      <c r="S206" s="891"/>
      <c r="T206" s="891"/>
      <c r="U206" s="891"/>
      <c r="V206" s="891"/>
      <c r="W206" s="891"/>
    </row>
    <row r="207" spans="1:23" s="558" customFormat="1" ht="14.25" hidden="1" customHeight="1">
      <c r="A207" s="903"/>
      <c r="B207" s="904"/>
      <c r="C207" s="905"/>
      <c r="D207" s="906"/>
      <c r="E207" s="906"/>
      <c r="F207" s="906"/>
      <c r="G207" s="557">
        <v>0</v>
      </c>
      <c r="H207" s="557">
        <v>0</v>
      </c>
      <c r="I207" s="559" t="s">
        <v>1</v>
      </c>
      <c r="J207" s="560">
        <f>K207+N207</f>
        <v>0</v>
      </c>
      <c r="K207" s="560">
        <f>L207+M207</f>
        <v>0</v>
      </c>
      <c r="L207" s="561">
        <v>0</v>
      </c>
      <c r="M207" s="561">
        <v>0</v>
      </c>
      <c r="N207" s="560">
        <f>O207+R207+U207</f>
        <v>0</v>
      </c>
      <c r="O207" s="560">
        <f>P207+Q207</f>
        <v>0</v>
      </c>
      <c r="P207" s="561">
        <v>0</v>
      </c>
      <c r="Q207" s="561">
        <v>0</v>
      </c>
      <c r="R207" s="560">
        <f>T207+S207</f>
        <v>0</v>
      </c>
      <c r="S207" s="561">
        <v>0</v>
      </c>
      <c r="T207" s="561">
        <v>0</v>
      </c>
      <c r="U207" s="560">
        <f>V207+W207</f>
        <v>0</v>
      </c>
      <c r="V207" s="561">
        <v>0</v>
      </c>
      <c r="W207" s="561">
        <v>0</v>
      </c>
    </row>
    <row r="208" spans="1:23" s="558" customFormat="1" ht="14.25" hidden="1" customHeight="1">
      <c r="A208" s="903"/>
      <c r="B208" s="904"/>
      <c r="C208" s="905"/>
      <c r="D208" s="906"/>
      <c r="E208" s="906"/>
      <c r="F208" s="906"/>
      <c r="G208" s="557">
        <v>0</v>
      </c>
      <c r="H208" s="557">
        <v>0</v>
      </c>
      <c r="I208" s="901" t="s">
        <v>2</v>
      </c>
      <c r="J208" s="890">
        <f t="shared" ref="J208:W208" si="40">J205+J207</f>
        <v>44030</v>
      </c>
      <c r="K208" s="890">
        <f t="shared" si="40"/>
        <v>44030</v>
      </c>
      <c r="L208" s="890">
        <f t="shared" si="40"/>
        <v>44030</v>
      </c>
      <c r="M208" s="890">
        <f t="shared" si="40"/>
        <v>0</v>
      </c>
      <c r="N208" s="890">
        <f t="shared" si="40"/>
        <v>0</v>
      </c>
      <c r="O208" s="890">
        <f t="shared" si="40"/>
        <v>0</v>
      </c>
      <c r="P208" s="890">
        <f t="shared" si="40"/>
        <v>0</v>
      </c>
      <c r="Q208" s="890">
        <f t="shared" si="40"/>
        <v>0</v>
      </c>
      <c r="R208" s="890">
        <f t="shared" si="40"/>
        <v>0</v>
      </c>
      <c r="S208" s="890">
        <f t="shared" si="40"/>
        <v>0</v>
      </c>
      <c r="T208" s="890">
        <f t="shared" si="40"/>
        <v>0</v>
      </c>
      <c r="U208" s="890">
        <f t="shared" si="40"/>
        <v>0</v>
      </c>
      <c r="V208" s="890">
        <f t="shared" si="40"/>
        <v>0</v>
      </c>
      <c r="W208" s="890">
        <f t="shared" si="40"/>
        <v>0</v>
      </c>
    </row>
    <row r="209" spans="1:23" s="558" customFormat="1" ht="14.25" hidden="1" customHeight="1">
      <c r="A209" s="903"/>
      <c r="B209" s="904"/>
      <c r="C209" s="905"/>
      <c r="D209" s="906"/>
      <c r="E209" s="906"/>
      <c r="F209" s="906"/>
      <c r="G209" s="557">
        <v>0</v>
      </c>
      <c r="H209" s="557">
        <v>0</v>
      </c>
      <c r="I209" s="902"/>
      <c r="J209" s="891"/>
      <c r="K209" s="891"/>
      <c r="L209" s="891"/>
      <c r="M209" s="891"/>
      <c r="N209" s="891"/>
      <c r="O209" s="891"/>
      <c r="P209" s="891"/>
      <c r="Q209" s="891"/>
      <c r="R209" s="891"/>
      <c r="S209" s="891"/>
      <c r="T209" s="891"/>
      <c r="U209" s="891"/>
      <c r="V209" s="891"/>
      <c r="W209" s="891"/>
    </row>
    <row r="210" spans="1:23" s="558" customFormat="1" ht="14.25" hidden="1" customHeight="1">
      <c r="A210" s="903">
        <v>6</v>
      </c>
      <c r="B210" s="904" t="s">
        <v>1018</v>
      </c>
      <c r="C210" s="905" t="s">
        <v>1019</v>
      </c>
      <c r="D210" s="906" t="s">
        <v>990</v>
      </c>
      <c r="E210" s="906" t="s">
        <v>979</v>
      </c>
      <c r="F210" s="906" t="s">
        <v>1015</v>
      </c>
      <c r="G210" s="557">
        <f>G212+G211+G213+G214</f>
        <v>140000</v>
      </c>
      <c r="H210" s="557">
        <f>H211+H212+H213+H214</f>
        <v>0</v>
      </c>
      <c r="I210" s="901" t="s">
        <v>0</v>
      </c>
      <c r="J210" s="890">
        <f>K210+N210</f>
        <v>40000</v>
      </c>
      <c r="K210" s="890">
        <f>L210+M210</f>
        <v>34000</v>
      </c>
      <c r="L210" s="890">
        <v>34000</v>
      </c>
      <c r="M210" s="890">
        <v>0</v>
      </c>
      <c r="N210" s="890">
        <f>O210+R210+U210</f>
        <v>6000</v>
      </c>
      <c r="O210" s="890">
        <f>P210+Q210</f>
        <v>0</v>
      </c>
      <c r="P210" s="890">
        <v>0</v>
      </c>
      <c r="Q210" s="890">
        <v>0</v>
      </c>
      <c r="R210" s="890">
        <f>S210+T210</f>
        <v>6000</v>
      </c>
      <c r="S210" s="890">
        <v>6000</v>
      </c>
      <c r="T210" s="890">
        <v>0</v>
      </c>
      <c r="U210" s="890">
        <f>V210+W210</f>
        <v>0</v>
      </c>
      <c r="V210" s="890">
        <f>W210+Z210</f>
        <v>0</v>
      </c>
      <c r="W210" s="890">
        <f>X210+AA210</f>
        <v>0</v>
      </c>
    </row>
    <row r="211" spans="1:23" s="558" customFormat="1" ht="14.25" hidden="1" customHeight="1">
      <c r="A211" s="903"/>
      <c r="B211" s="904"/>
      <c r="C211" s="905"/>
      <c r="D211" s="906"/>
      <c r="E211" s="906"/>
      <c r="F211" s="906"/>
      <c r="G211" s="557">
        <v>119000</v>
      </c>
      <c r="H211" s="557">
        <v>0</v>
      </c>
      <c r="I211" s="902"/>
      <c r="J211" s="891"/>
      <c r="K211" s="891"/>
      <c r="L211" s="891"/>
      <c r="M211" s="891"/>
      <c r="N211" s="891"/>
      <c r="O211" s="891"/>
      <c r="P211" s="891"/>
      <c r="Q211" s="891"/>
      <c r="R211" s="891"/>
      <c r="S211" s="891"/>
      <c r="T211" s="891"/>
      <c r="U211" s="891"/>
      <c r="V211" s="891"/>
      <c r="W211" s="891"/>
    </row>
    <row r="212" spans="1:23" s="558" customFormat="1" ht="14.25" hidden="1" customHeight="1">
      <c r="A212" s="903"/>
      <c r="B212" s="904"/>
      <c r="C212" s="905"/>
      <c r="D212" s="906"/>
      <c r="E212" s="906"/>
      <c r="F212" s="906"/>
      <c r="G212" s="557">
        <v>0</v>
      </c>
      <c r="H212" s="557">
        <v>0</v>
      </c>
      <c r="I212" s="559" t="s">
        <v>1</v>
      </c>
      <c r="J212" s="560">
        <f>K212+N212</f>
        <v>0</v>
      </c>
      <c r="K212" s="560">
        <f>L212+M212</f>
        <v>0</v>
      </c>
      <c r="L212" s="561">
        <v>0</v>
      </c>
      <c r="M212" s="561">
        <v>0</v>
      </c>
      <c r="N212" s="560">
        <f>O212+R212+U212</f>
        <v>0</v>
      </c>
      <c r="O212" s="560">
        <f>P212+Q212</f>
        <v>0</v>
      </c>
      <c r="P212" s="561">
        <v>0</v>
      </c>
      <c r="Q212" s="561">
        <v>0</v>
      </c>
      <c r="R212" s="560">
        <f>T212+S212</f>
        <v>0</v>
      </c>
      <c r="S212" s="561">
        <v>0</v>
      </c>
      <c r="T212" s="561">
        <v>0</v>
      </c>
      <c r="U212" s="560">
        <f>V212+W212</f>
        <v>0</v>
      </c>
      <c r="V212" s="561">
        <v>0</v>
      </c>
      <c r="W212" s="561">
        <v>0</v>
      </c>
    </row>
    <row r="213" spans="1:23" s="558" customFormat="1" ht="14.25" hidden="1" customHeight="1">
      <c r="A213" s="903"/>
      <c r="B213" s="904"/>
      <c r="C213" s="905"/>
      <c r="D213" s="906"/>
      <c r="E213" s="906"/>
      <c r="F213" s="906"/>
      <c r="G213" s="557">
        <v>21000</v>
      </c>
      <c r="H213" s="557">
        <v>0</v>
      </c>
      <c r="I213" s="901" t="s">
        <v>2</v>
      </c>
      <c r="J213" s="890">
        <f t="shared" ref="J213:W213" si="41">J210+J212</f>
        <v>40000</v>
      </c>
      <c r="K213" s="890">
        <f t="shared" si="41"/>
        <v>34000</v>
      </c>
      <c r="L213" s="890">
        <f t="shared" si="41"/>
        <v>34000</v>
      </c>
      <c r="M213" s="890">
        <f t="shared" si="41"/>
        <v>0</v>
      </c>
      <c r="N213" s="890">
        <f t="shared" si="41"/>
        <v>6000</v>
      </c>
      <c r="O213" s="890">
        <f t="shared" si="41"/>
        <v>0</v>
      </c>
      <c r="P213" s="890">
        <f t="shared" si="41"/>
        <v>0</v>
      </c>
      <c r="Q213" s="890">
        <f t="shared" si="41"/>
        <v>0</v>
      </c>
      <c r="R213" s="890">
        <f t="shared" si="41"/>
        <v>6000</v>
      </c>
      <c r="S213" s="890">
        <f t="shared" si="41"/>
        <v>6000</v>
      </c>
      <c r="T213" s="890">
        <f t="shared" si="41"/>
        <v>0</v>
      </c>
      <c r="U213" s="890">
        <f t="shared" si="41"/>
        <v>0</v>
      </c>
      <c r="V213" s="890">
        <f t="shared" si="41"/>
        <v>0</v>
      </c>
      <c r="W213" s="890">
        <f t="shared" si="41"/>
        <v>0</v>
      </c>
    </row>
    <row r="214" spans="1:23" s="558" customFormat="1" ht="14.25" hidden="1" customHeight="1">
      <c r="A214" s="903"/>
      <c r="B214" s="904"/>
      <c r="C214" s="905"/>
      <c r="D214" s="906"/>
      <c r="E214" s="906"/>
      <c r="F214" s="906"/>
      <c r="G214" s="557">
        <v>0</v>
      </c>
      <c r="H214" s="557">
        <v>0</v>
      </c>
      <c r="I214" s="902"/>
      <c r="J214" s="891"/>
      <c r="K214" s="891"/>
      <c r="L214" s="891"/>
      <c r="M214" s="891"/>
      <c r="N214" s="891"/>
      <c r="O214" s="891"/>
      <c r="P214" s="891"/>
      <c r="Q214" s="891"/>
      <c r="R214" s="891"/>
      <c r="S214" s="891"/>
      <c r="T214" s="891"/>
      <c r="U214" s="891"/>
      <c r="V214" s="891"/>
      <c r="W214" s="891"/>
    </row>
    <row r="215" spans="1:23" s="558" customFormat="1" ht="14.25" customHeight="1">
      <c r="A215" s="903">
        <v>1</v>
      </c>
      <c r="B215" s="904" t="s">
        <v>1022</v>
      </c>
      <c r="C215" s="905" t="s">
        <v>1012</v>
      </c>
      <c r="D215" s="906" t="s">
        <v>1013</v>
      </c>
      <c r="E215" s="906" t="s">
        <v>1014</v>
      </c>
      <c r="F215" s="906" t="s">
        <v>944</v>
      </c>
      <c r="G215" s="557">
        <f>G217+G216+G218+G219</f>
        <v>95472868</v>
      </c>
      <c r="H215" s="557">
        <f>H216+H217+H218+H219</f>
        <v>58265170</v>
      </c>
      <c r="I215" s="901" t="s">
        <v>0</v>
      </c>
      <c r="J215" s="890">
        <f>K215+N215</f>
        <v>36235294</v>
      </c>
      <c r="K215" s="890">
        <f>L215+M215</f>
        <v>30800000</v>
      </c>
      <c r="L215" s="890">
        <v>30800000</v>
      </c>
      <c r="M215" s="890">
        <v>0</v>
      </c>
      <c r="N215" s="890">
        <f>O215+R215+U215</f>
        <v>5435294</v>
      </c>
      <c r="O215" s="890">
        <f>P215+Q215</f>
        <v>0</v>
      </c>
      <c r="P215" s="890">
        <v>0</v>
      </c>
      <c r="Q215" s="890">
        <v>0</v>
      </c>
      <c r="R215" s="890">
        <f>S215+T215</f>
        <v>5435294</v>
      </c>
      <c r="S215" s="890">
        <v>5435294</v>
      </c>
      <c r="T215" s="890">
        <v>0</v>
      </c>
      <c r="U215" s="890">
        <f>V215+W215</f>
        <v>0</v>
      </c>
      <c r="V215" s="890">
        <f>W215+Z215</f>
        <v>0</v>
      </c>
      <c r="W215" s="890">
        <f>X215+AA215</f>
        <v>0</v>
      </c>
    </row>
    <row r="216" spans="1:23" s="558" customFormat="1" ht="14.25" customHeight="1">
      <c r="A216" s="903"/>
      <c r="B216" s="904"/>
      <c r="C216" s="905"/>
      <c r="D216" s="906"/>
      <c r="E216" s="906"/>
      <c r="F216" s="906"/>
      <c r="G216" s="557">
        <v>81151938</v>
      </c>
      <c r="H216" s="557">
        <v>49525395</v>
      </c>
      <c r="I216" s="902"/>
      <c r="J216" s="891"/>
      <c r="K216" s="891"/>
      <c r="L216" s="891"/>
      <c r="M216" s="891"/>
      <c r="N216" s="891"/>
      <c r="O216" s="891"/>
      <c r="P216" s="891"/>
      <c r="Q216" s="891"/>
      <c r="R216" s="891"/>
      <c r="S216" s="891"/>
      <c r="T216" s="891"/>
      <c r="U216" s="891"/>
      <c r="V216" s="891"/>
      <c r="W216" s="891"/>
    </row>
    <row r="217" spans="1:23" s="558" customFormat="1" ht="14.25" customHeight="1">
      <c r="A217" s="903"/>
      <c r="B217" s="904"/>
      <c r="C217" s="905"/>
      <c r="D217" s="906"/>
      <c r="E217" s="906"/>
      <c r="F217" s="906"/>
      <c r="G217" s="557">
        <v>0</v>
      </c>
      <c r="H217" s="557">
        <v>0</v>
      </c>
      <c r="I217" s="559" t="s">
        <v>1</v>
      </c>
      <c r="J217" s="560">
        <f>K217+N217</f>
        <v>-2882353</v>
      </c>
      <c r="K217" s="560">
        <f>L217+M217</f>
        <v>-2450000</v>
      </c>
      <c r="L217" s="561">
        <v>-2450000</v>
      </c>
      <c r="M217" s="561">
        <v>0</v>
      </c>
      <c r="N217" s="560">
        <f>O217+R217+U217</f>
        <v>-432353</v>
      </c>
      <c r="O217" s="560">
        <f>P217+Q217</f>
        <v>0</v>
      </c>
      <c r="P217" s="561">
        <v>0</v>
      </c>
      <c r="Q217" s="561">
        <v>0</v>
      </c>
      <c r="R217" s="560">
        <f>T217+S217</f>
        <v>-432353</v>
      </c>
      <c r="S217" s="561">
        <v>-432353</v>
      </c>
      <c r="T217" s="561">
        <v>0</v>
      </c>
      <c r="U217" s="560">
        <f>V217+W217</f>
        <v>0</v>
      </c>
      <c r="V217" s="561">
        <v>0</v>
      </c>
      <c r="W217" s="561">
        <v>0</v>
      </c>
    </row>
    <row r="218" spans="1:23" s="558" customFormat="1" ht="14.25" customHeight="1">
      <c r="A218" s="903"/>
      <c r="B218" s="904"/>
      <c r="C218" s="905"/>
      <c r="D218" s="906"/>
      <c r="E218" s="906"/>
      <c r="F218" s="906"/>
      <c r="G218" s="557">
        <v>14320930</v>
      </c>
      <c r="H218" s="557">
        <v>8739775</v>
      </c>
      <c r="I218" s="901" t="s">
        <v>2</v>
      </c>
      <c r="J218" s="890">
        <f t="shared" ref="J218:W218" si="42">J215+J217</f>
        <v>33352941</v>
      </c>
      <c r="K218" s="890">
        <f t="shared" si="42"/>
        <v>28350000</v>
      </c>
      <c r="L218" s="890">
        <f t="shared" si="42"/>
        <v>28350000</v>
      </c>
      <c r="M218" s="890">
        <f t="shared" si="42"/>
        <v>0</v>
      </c>
      <c r="N218" s="890">
        <f t="shared" si="42"/>
        <v>5002941</v>
      </c>
      <c r="O218" s="890">
        <f t="shared" si="42"/>
        <v>0</v>
      </c>
      <c r="P218" s="890">
        <f t="shared" si="42"/>
        <v>0</v>
      </c>
      <c r="Q218" s="890">
        <f t="shared" si="42"/>
        <v>0</v>
      </c>
      <c r="R218" s="890">
        <f t="shared" si="42"/>
        <v>5002941</v>
      </c>
      <c r="S218" s="890">
        <f t="shared" si="42"/>
        <v>5002941</v>
      </c>
      <c r="T218" s="890">
        <f t="shared" si="42"/>
        <v>0</v>
      </c>
      <c r="U218" s="890">
        <f t="shared" si="42"/>
        <v>0</v>
      </c>
      <c r="V218" s="890">
        <f t="shared" si="42"/>
        <v>0</v>
      </c>
      <c r="W218" s="890">
        <f t="shared" si="42"/>
        <v>0</v>
      </c>
    </row>
    <row r="219" spans="1:23" s="558" customFormat="1" ht="14.25" customHeight="1">
      <c r="A219" s="903"/>
      <c r="B219" s="904"/>
      <c r="C219" s="905"/>
      <c r="D219" s="906"/>
      <c r="E219" s="906"/>
      <c r="F219" s="906"/>
      <c r="G219" s="557">
        <v>0</v>
      </c>
      <c r="H219" s="557">
        <v>0</v>
      </c>
      <c r="I219" s="902"/>
      <c r="J219" s="891"/>
      <c r="K219" s="891"/>
      <c r="L219" s="891"/>
      <c r="M219" s="891"/>
      <c r="N219" s="891"/>
      <c r="O219" s="891"/>
      <c r="P219" s="891"/>
      <c r="Q219" s="891"/>
      <c r="R219" s="891"/>
      <c r="S219" s="891"/>
      <c r="T219" s="891"/>
      <c r="U219" s="891"/>
      <c r="V219" s="891"/>
      <c r="W219" s="891"/>
    </row>
    <row r="220" spans="1:23" s="563" customFormat="1">
      <c r="A220" s="892" t="s">
        <v>1023</v>
      </c>
      <c r="B220" s="893"/>
      <c r="C220" s="893"/>
      <c r="D220" s="893"/>
      <c r="E220" s="893"/>
      <c r="F220" s="894"/>
      <c r="G220" s="562">
        <f>G185+G190+G195+G200+G205+G210+G215</f>
        <v>363849614</v>
      </c>
      <c r="H220" s="562">
        <f>H185+H190+H195+H200+H205+H210+H215</f>
        <v>58265170</v>
      </c>
      <c r="I220" s="901" t="s">
        <v>0</v>
      </c>
      <c r="J220" s="886">
        <f>J185+J190+J195+J200+J205+J210+J215</f>
        <v>77824236</v>
      </c>
      <c r="K220" s="886">
        <f t="shared" ref="K220:W220" si="43">K185+K190+K195+K200+K205+K210+K215</f>
        <v>66523000</v>
      </c>
      <c r="L220" s="886">
        <f t="shared" si="43"/>
        <v>66173000</v>
      </c>
      <c r="M220" s="886">
        <f t="shared" si="43"/>
        <v>350000</v>
      </c>
      <c r="N220" s="886">
        <f t="shared" si="43"/>
        <v>11301236</v>
      </c>
      <c r="O220" s="886">
        <f t="shared" si="43"/>
        <v>0</v>
      </c>
      <c r="P220" s="886">
        <f t="shared" si="43"/>
        <v>0</v>
      </c>
      <c r="Q220" s="886">
        <f t="shared" si="43"/>
        <v>0</v>
      </c>
      <c r="R220" s="886">
        <f t="shared" si="43"/>
        <v>11301236</v>
      </c>
      <c r="S220" s="886">
        <f t="shared" si="43"/>
        <v>11239471</v>
      </c>
      <c r="T220" s="886">
        <f t="shared" si="43"/>
        <v>61765</v>
      </c>
      <c r="U220" s="886">
        <f t="shared" si="43"/>
        <v>0</v>
      </c>
      <c r="V220" s="886">
        <f t="shared" si="43"/>
        <v>0</v>
      </c>
      <c r="W220" s="886">
        <f t="shared" si="43"/>
        <v>0</v>
      </c>
    </row>
    <row r="221" spans="1:23" s="563" customFormat="1">
      <c r="A221" s="895"/>
      <c r="B221" s="896"/>
      <c r="C221" s="896"/>
      <c r="D221" s="896"/>
      <c r="E221" s="896"/>
      <c r="F221" s="897"/>
      <c r="G221" s="562">
        <f t="shared" ref="G221:H224" si="44">G186+G191+G196+G201+G206+G211+G216</f>
        <v>310854454</v>
      </c>
      <c r="H221" s="562">
        <f t="shared" si="44"/>
        <v>49525395</v>
      </c>
      <c r="I221" s="902"/>
      <c r="J221" s="887"/>
      <c r="K221" s="887"/>
      <c r="L221" s="887"/>
      <c r="M221" s="887"/>
      <c r="N221" s="887"/>
      <c r="O221" s="887"/>
      <c r="P221" s="887"/>
      <c r="Q221" s="887"/>
      <c r="R221" s="887"/>
      <c r="S221" s="887"/>
      <c r="T221" s="887"/>
      <c r="U221" s="887"/>
      <c r="V221" s="887"/>
      <c r="W221" s="887"/>
    </row>
    <row r="222" spans="1:23" s="563" customFormat="1">
      <c r="A222" s="895"/>
      <c r="B222" s="896"/>
      <c r="C222" s="896"/>
      <c r="D222" s="896"/>
      <c r="E222" s="896"/>
      <c r="F222" s="897"/>
      <c r="G222" s="562">
        <f t="shared" si="44"/>
        <v>0</v>
      </c>
      <c r="H222" s="562">
        <f t="shared" si="44"/>
        <v>0</v>
      </c>
      <c r="I222" s="559" t="s">
        <v>1</v>
      </c>
      <c r="J222" s="565">
        <f>J187+J192+J197+J202+J207+J212+J217</f>
        <v>-2882353</v>
      </c>
      <c r="K222" s="565">
        <f t="shared" ref="K222:W222" si="45">K187+K192+K197+K202+K207+K212+K217</f>
        <v>-2450000</v>
      </c>
      <c r="L222" s="565">
        <f t="shared" si="45"/>
        <v>-2450000</v>
      </c>
      <c r="M222" s="565">
        <f t="shared" si="45"/>
        <v>0</v>
      </c>
      <c r="N222" s="565">
        <f t="shared" si="45"/>
        <v>-432353</v>
      </c>
      <c r="O222" s="565">
        <f t="shared" si="45"/>
        <v>0</v>
      </c>
      <c r="P222" s="565">
        <f t="shared" si="45"/>
        <v>0</v>
      </c>
      <c r="Q222" s="565">
        <f t="shared" si="45"/>
        <v>0</v>
      </c>
      <c r="R222" s="565">
        <f t="shared" si="45"/>
        <v>-432353</v>
      </c>
      <c r="S222" s="565">
        <f t="shared" si="45"/>
        <v>-432353</v>
      </c>
      <c r="T222" s="565">
        <f t="shared" si="45"/>
        <v>0</v>
      </c>
      <c r="U222" s="565">
        <f t="shared" si="45"/>
        <v>0</v>
      </c>
      <c r="V222" s="565">
        <f t="shared" si="45"/>
        <v>0</v>
      </c>
      <c r="W222" s="565">
        <f t="shared" si="45"/>
        <v>0</v>
      </c>
    </row>
    <row r="223" spans="1:23" s="563" customFormat="1">
      <c r="A223" s="895"/>
      <c r="B223" s="896"/>
      <c r="C223" s="896"/>
      <c r="D223" s="896"/>
      <c r="E223" s="896"/>
      <c r="F223" s="897"/>
      <c r="G223" s="562">
        <f t="shared" si="44"/>
        <v>52995160</v>
      </c>
      <c r="H223" s="562">
        <f t="shared" si="44"/>
        <v>8739775</v>
      </c>
      <c r="I223" s="901" t="s">
        <v>2</v>
      </c>
      <c r="J223" s="886">
        <f>J220+J222</f>
        <v>74941883</v>
      </c>
      <c r="K223" s="886">
        <f t="shared" ref="K223:W223" si="46">K220+K222</f>
        <v>64073000</v>
      </c>
      <c r="L223" s="886">
        <f t="shared" si="46"/>
        <v>63723000</v>
      </c>
      <c r="M223" s="886">
        <f t="shared" si="46"/>
        <v>350000</v>
      </c>
      <c r="N223" s="886">
        <f t="shared" si="46"/>
        <v>10868883</v>
      </c>
      <c r="O223" s="886">
        <f t="shared" si="46"/>
        <v>0</v>
      </c>
      <c r="P223" s="886">
        <f t="shared" si="46"/>
        <v>0</v>
      </c>
      <c r="Q223" s="886">
        <f t="shared" si="46"/>
        <v>0</v>
      </c>
      <c r="R223" s="886">
        <f t="shared" si="46"/>
        <v>10868883</v>
      </c>
      <c r="S223" s="886">
        <f t="shared" si="46"/>
        <v>10807118</v>
      </c>
      <c r="T223" s="886">
        <f t="shared" si="46"/>
        <v>61765</v>
      </c>
      <c r="U223" s="886">
        <f t="shared" si="46"/>
        <v>0</v>
      </c>
      <c r="V223" s="886">
        <f t="shared" si="46"/>
        <v>0</v>
      </c>
      <c r="W223" s="886">
        <f t="shared" si="46"/>
        <v>0</v>
      </c>
    </row>
    <row r="224" spans="1:23" s="563" customFormat="1">
      <c r="A224" s="898"/>
      <c r="B224" s="899"/>
      <c r="C224" s="899"/>
      <c r="D224" s="899"/>
      <c r="E224" s="899"/>
      <c r="F224" s="900"/>
      <c r="G224" s="562">
        <f t="shared" si="44"/>
        <v>0</v>
      </c>
      <c r="H224" s="562">
        <f t="shared" si="44"/>
        <v>0</v>
      </c>
      <c r="I224" s="902"/>
      <c r="J224" s="887"/>
      <c r="K224" s="887"/>
      <c r="L224" s="887"/>
      <c r="M224" s="887"/>
      <c r="N224" s="887"/>
      <c r="O224" s="887"/>
      <c r="P224" s="887"/>
      <c r="Q224" s="887"/>
      <c r="R224" s="887"/>
      <c r="S224" s="887"/>
      <c r="T224" s="887"/>
      <c r="U224" s="887"/>
      <c r="V224" s="887"/>
      <c r="W224" s="887"/>
    </row>
    <row r="225" spans="1:23" s="556" customFormat="1" ht="4.5" customHeight="1">
      <c r="A225" s="907"/>
      <c r="B225" s="908"/>
      <c r="C225" s="908"/>
      <c r="D225" s="908"/>
      <c r="E225" s="908"/>
      <c r="F225" s="908"/>
      <c r="G225" s="908"/>
      <c r="H225" s="908"/>
      <c r="I225" s="908"/>
      <c r="J225" s="908"/>
      <c r="K225" s="908"/>
      <c r="L225" s="908"/>
      <c r="M225" s="908"/>
      <c r="N225" s="908"/>
      <c r="O225" s="908"/>
      <c r="P225" s="908"/>
      <c r="Q225" s="908"/>
      <c r="R225" s="908"/>
      <c r="S225" s="908"/>
      <c r="T225" s="908"/>
      <c r="U225" s="908"/>
      <c r="V225" s="908"/>
      <c r="W225" s="909"/>
    </row>
    <row r="226" spans="1:23" s="556" customFormat="1" ht="23.25" customHeight="1">
      <c r="A226" s="910" t="s">
        <v>1024</v>
      </c>
      <c r="B226" s="911"/>
      <c r="C226" s="911"/>
      <c r="D226" s="911"/>
      <c r="E226" s="911"/>
      <c r="F226" s="911"/>
      <c r="G226" s="911"/>
      <c r="H226" s="911"/>
      <c r="I226" s="911"/>
      <c r="J226" s="911"/>
      <c r="K226" s="911"/>
      <c r="L226" s="911"/>
      <c r="M226" s="911"/>
      <c r="N226" s="911"/>
      <c r="O226" s="911"/>
      <c r="P226" s="911"/>
      <c r="Q226" s="911"/>
      <c r="R226" s="911"/>
      <c r="S226" s="911"/>
      <c r="T226" s="911"/>
      <c r="U226" s="911"/>
      <c r="V226" s="911"/>
      <c r="W226" s="912"/>
    </row>
    <row r="227" spans="1:23" s="556" customFormat="1" ht="4.5" customHeight="1">
      <c r="A227" s="907"/>
      <c r="B227" s="908"/>
      <c r="C227" s="908"/>
      <c r="D227" s="908"/>
      <c r="E227" s="908"/>
      <c r="F227" s="908"/>
      <c r="G227" s="908"/>
      <c r="H227" s="908"/>
      <c r="I227" s="908"/>
      <c r="J227" s="908"/>
      <c r="K227" s="908"/>
      <c r="L227" s="908"/>
      <c r="M227" s="908"/>
      <c r="N227" s="908"/>
      <c r="O227" s="908"/>
      <c r="P227" s="908"/>
      <c r="Q227" s="908"/>
      <c r="R227" s="908"/>
      <c r="S227" s="908"/>
      <c r="T227" s="908"/>
      <c r="U227" s="908"/>
      <c r="V227" s="908"/>
      <c r="W227" s="909"/>
    </row>
    <row r="228" spans="1:23" s="558" customFormat="1" ht="14.25" hidden="1" customHeight="1">
      <c r="A228" s="903">
        <v>1</v>
      </c>
      <c r="B228" s="904" t="s">
        <v>1025</v>
      </c>
      <c r="C228" s="905" t="s">
        <v>1026</v>
      </c>
      <c r="D228" s="906" t="s">
        <v>1013</v>
      </c>
      <c r="E228" s="906" t="s">
        <v>1027</v>
      </c>
      <c r="F228" s="906" t="s">
        <v>356</v>
      </c>
      <c r="G228" s="557" t="s">
        <v>356</v>
      </c>
      <c r="H228" s="557" t="s">
        <v>356</v>
      </c>
      <c r="I228" s="901" t="s">
        <v>0</v>
      </c>
      <c r="J228" s="890">
        <f>K228+N228</f>
        <v>464725</v>
      </c>
      <c r="K228" s="890">
        <f>L228+M228</f>
        <v>0</v>
      </c>
      <c r="L228" s="890">
        <v>0</v>
      </c>
      <c r="M228" s="890">
        <v>0</v>
      </c>
      <c r="N228" s="890">
        <f>O228+R228+U228</f>
        <v>464725</v>
      </c>
      <c r="O228" s="890">
        <f>P228+Q228</f>
        <v>464725</v>
      </c>
      <c r="P228" s="890">
        <v>78113</v>
      </c>
      <c r="Q228" s="890">
        <v>386612</v>
      </c>
      <c r="R228" s="890">
        <f>S228+T228</f>
        <v>0</v>
      </c>
      <c r="S228" s="890">
        <v>0</v>
      </c>
      <c r="T228" s="890">
        <v>0</v>
      </c>
      <c r="U228" s="890">
        <f>V228+W228</f>
        <v>0</v>
      </c>
      <c r="V228" s="890">
        <f>W228+Z228</f>
        <v>0</v>
      </c>
      <c r="W228" s="890">
        <f>X228+AA228</f>
        <v>0</v>
      </c>
    </row>
    <row r="229" spans="1:23" s="558" customFormat="1" ht="14.25" hidden="1" customHeight="1">
      <c r="A229" s="903"/>
      <c r="B229" s="904"/>
      <c r="C229" s="905"/>
      <c r="D229" s="906"/>
      <c r="E229" s="906"/>
      <c r="F229" s="906"/>
      <c r="G229" s="557" t="s">
        <v>356</v>
      </c>
      <c r="H229" s="557" t="s">
        <v>356</v>
      </c>
      <c r="I229" s="902"/>
      <c r="J229" s="891"/>
      <c r="K229" s="891"/>
      <c r="L229" s="891"/>
      <c r="M229" s="891"/>
      <c r="N229" s="891"/>
      <c r="O229" s="891"/>
      <c r="P229" s="891"/>
      <c r="Q229" s="891"/>
      <c r="R229" s="891"/>
      <c r="S229" s="891"/>
      <c r="T229" s="891"/>
      <c r="U229" s="891"/>
      <c r="V229" s="891"/>
      <c r="W229" s="891"/>
    </row>
    <row r="230" spans="1:23" s="558" customFormat="1" ht="14.25" hidden="1" customHeight="1">
      <c r="A230" s="903"/>
      <c r="B230" s="904"/>
      <c r="C230" s="905"/>
      <c r="D230" s="906"/>
      <c r="E230" s="906"/>
      <c r="F230" s="906"/>
      <c r="G230" s="557" t="s">
        <v>356</v>
      </c>
      <c r="H230" s="557" t="s">
        <v>356</v>
      </c>
      <c r="I230" s="559" t="s">
        <v>1</v>
      </c>
      <c r="J230" s="560">
        <f>K230+N230</f>
        <v>0</v>
      </c>
      <c r="K230" s="560">
        <f>L230+M230</f>
        <v>0</v>
      </c>
      <c r="L230" s="561">
        <v>0</v>
      </c>
      <c r="M230" s="561">
        <v>0</v>
      </c>
      <c r="N230" s="560">
        <f>O230+R230+U230</f>
        <v>0</v>
      </c>
      <c r="O230" s="560">
        <f>P230+Q230</f>
        <v>0</v>
      </c>
      <c r="P230" s="561">
        <v>0</v>
      </c>
      <c r="Q230" s="561">
        <v>0</v>
      </c>
      <c r="R230" s="560">
        <f>T230+S230</f>
        <v>0</v>
      </c>
      <c r="S230" s="561">
        <v>0</v>
      </c>
      <c r="T230" s="561">
        <v>0</v>
      </c>
      <c r="U230" s="560">
        <f>V230+W230</f>
        <v>0</v>
      </c>
      <c r="V230" s="561">
        <v>0</v>
      </c>
      <c r="W230" s="561">
        <v>0</v>
      </c>
    </row>
    <row r="231" spans="1:23" s="558" customFormat="1" ht="14.25" hidden="1" customHeight="1">
      <c r="A231" s="903"/>
      <c r="B231" s="904"/>
      <c r="C231" s="905"/>
      <c r="D231" s="906"/>
      <c r="E231" s="906"/>
      <c r="F231" s="906"/>
      <c r="G231" s="557" t="s">
        <v>356</v>
      </c>
      <c r="H231" s="557" t="s">
        <v>356</v>
      </c>
      <c r="I231" s="901" t="s">
        <v>2</v>
      </c>
      <c r="J231" s="890">
        <f t="shared" ref="J231:W231" si="47">J228+J230</f>
        <v>464725</v>
      </c>
      <c r="K231" s="890">
        <f t="shared" si="47"/>
        <v>0</v>
      </c>
      <c r="L231" s="890">
        <f t="shared" si="47"/>
        <v>0</v>
      </c>
      <c r="M231" s="890">
        <f t="shared" si="47"/>
        <v>0</v>
      </c>
      <c r="N231" s="890">
        <f t="shared" si="47"/>
        <v>464725</v>
      </c>
      <c r="O231" s="890">
        <f t="shared" si="47"/>
        <v>464725</v>
      </c>
      <c r="P231" s="890">
        <f t="shared" si="47"/>
        <v>78113</v>
      </c>
      <c r="Q231" s="890">
        <f t="shared" si="47"/>
        <v>386612</v>
      </c>
      <c r="R231" s="890">
        <f t="shared" si="47"/>
        <v>0</v>
      </c>
      <c r="S231" s="890">
        <f t="shared" si="47"/>
        <v>0</v>
      </c>
      <c r="T231" s="890">
        <f t="shared" si="47"/>
        <v>0</v>
      </c>
      <c r="U231" s="890">
        <f t="shared" si="47"/>
        <v>0</v>
      </c>
      <c r="V231" s="890">
        <f t="shared" si="47"/>
        <v>0</v>
      </c>
      <c r="W231" s="890">
        <f t="shared" si="47"/>
        <v>0</v>
      </c>
    </row>
    <row r="232" spans="1:23" s="558" customFormat="1" ht="14.25" hidden="1" customHeight="1">
      <c r="A232" s="903"/>
      <c r="B232" s="904"/>
      <c r="C232" s="905"/>
      <c r="D232" s="906"/>
      <c r="E232" s="906"/>
      <c r="F232" s="906"/>
      <c r="G232" s="557" t="s">
        <v>356</v>
      </c>
      <c r="H232" s="557" t="s">
        <v>356</v>
      </c>
      <c r="I232" s="902"/>
      <c r="J232" s="891"/>
      <c r="K232" s="891"/>
      <c r="L232" s="891"/>
      <c r="M232" s="891"/>
      <c r="N232" s="891"/>
      <c r="O232" s="891"/>
      <c r="P232" s="891"/>
      <c r="Q232" s="891"/>
      <c r="R232" s="891"/>
      <c r="S232" s="891"/>
      <c r="T232" s="891"/>
      <c r="U232" s="891"/>
      <c r="V232" s="891"/>
      <c r="W232" s="891"/>
    </row>
    <row r="233" spans="1:23" s="558" customFormat="1" ht="14.25" hidden="1" customHeight="1">
      <c r="A233" s="903">
        <v>2</v>
      </c>
      <c r="B233" s="904" t="s">
        <v>1028</v>
      </c>
      <c r="C233" s="905" t="s">
        <v>1029</v>
      </c>
      <c r="D233" s="906" t="s">
        <v>1013</v>
      </c>
      <c r="E233" s="906" t="s">
        <v>1030</v>
      </c>
      <c r="F233" s="906" t="s">
        <v>356</v>
      </c>
      <c r="G233" s="557" t="s">
        <v>356</v>
      </c>
      <c r="H233" s="557" t="s">
        <v>356</v>
      </c>
      <c r="I233" s="901" t="s">
        <v>0</v>
      </c>
      <c r="J233" s="890">
        <f>K233+N233</f>
        <v>0</v>
      </c>
      <c r="K233" s="890">
        <f>L233+M233</f>
        <v>0</v>
      </c>
      <c r="L233" s="890">
        <v>0</v>
      </c>
      <c r="M233" s="890">
        <v>0</v>
      </c>
      <c r="N233" s="890">
        <f>O233+R233+U233</f>
        <v>0</v>
      </c>
      <c r="O233" s="890">
        <f>P233+Q233</f>
        <v>0</v>
      </c>
      <c r="P233" s="890">
        <v>0</v>
      </c>
      <c r="Q233" s="890">
        <v>0</v>
      </c>
      <c r="R233" s="890">
        <f>S233+T233</f>
        <v>0</v>
      </c>
      <c r="S233" s="890">
        <v>0</v>
      </c>
      <c r="T233" s="890">
        <v>0</v>
      </c>
      <c r="U233" s="890">
        <f>V233+W233</f>
        <v>0</v>
      </c>
      <c r="V233" s="890">
        <f>W233+Z233</f>
        <v>0</v>
      </c>
      <c r="W233" s="890">
        <f>X233+AA233</f>
        <v>0</v>
      </c>
    </row>
    <row r="234" spans="1:23" s="558" customFormat="1" ht="14.25" hidden="1" customHeight="1">
      <c r="A234" s="903"/>
      <c r="B234" s="904"/>
      <c r="C234" s="905"/>
      <c r="D234" s="906"/>
      <c r="E234" s="906"/>
      <c r="F234" s="906"/>
      <c r="G234" s="557" t="s">
        <v>356</v>
      </c>
      <c r="H234" s="557" t="s">
        <v>356</v>
      </c>
      <c r="I234" s="902"/>
      <c r="J234" s="891"/>
      <c r="K234" s="891"/>
      <c r="L234" s="891"/>
      <c r="M234" s="891"/>
      <c r="N234" s="891"/>
      <c r="O234" s="891"/>
      <c r="P234" s="891"/>
      <c r="Q234" s="891"/>
      <c r="R234" s="891"/>
      <c r="S234" s="891"/>
      <c r="T234" s="891"/>
      <c r="U234" s="891"/>
      <c r="V234" s="891"/>
      <c r="W234" s="891"/>
    </row>
    <row r="235" spans="1:23" s="558" customFormat="1" ht="14.25" hidden="1" customHeight="1">
      <c r="A235" s="903"/>
      <c r="B235" s="904"/>
      <c r="C235" s="905"/>
      <c r="D235" s="906"/>
      <c r="E235" s="906"/>
      <c r="F235" s="906"/>
      <c r="G235" s="557" t="s">
        <v>356</v>
      </c>
      <c r="H235" s="557" t="s">
        <v>356</v>
      </c>
      <c r="I235" s="559" t="s">
        <v>1</v>
      </c>
      <c r="J235" s="560">
        <f>K235+N235</f>
        <v>0</v>
      </c>
      <c r="K235" s="560">
        <f>L235+M235</f>
        <v>0</v>
      </c>
      <c r="L235" s="561">
        <v>0</v>
      </c>
      <c r="M235" s="561">
        <v>0</v>
      </c>
      <c r="N235" s="560">
        <f>O235+R235+U235</f>
        <v>0</v>
      </c>
      <c r="O235" s="560">
        <f>P235+Q235</f>
        <v>0</v>
      </c>
      <c r="P235" s="561">
        <v>0</v>
      </c>
      <c r="Q235" s="561">
        <v>0</v>
      </c>
      <c r="R235" s="560">
        <f>T235+S235</f>
        <v>0</v>
      </c>
      <c r="S235" s="561">
        <v>0</v>
      </c>
      <c r="T235" s="561">
        <v>0</v>
      </c>
      <c r="U235" s="560">
        <f>V235+W235</f>
        <v>0</v>
      </c>
      <c r="V235" s="561">
        <v>0</v>
      </c>
      <c r="W235" s="561">
        <v>0</v>
      </c>
    </row>
    <row r="236" spans="1:23" s="558" customFormat="1" ht="14.25" hidden="1" customHeight="1">
      <c r="A236" s="903"/>
      <c r="B236" s="904"/>
      <c r="C236" s="905"/>
      <c r="D236" s="906"/>
      <c r="E236" s="906"/>
      <c r="F236" s="906"/>
      <c r="G236" s="557" t="s">
        <v>356</v>
      </c>
      <c r="H236" s="557" t="s">
        <v>356</v>
      </c>
      <c r="I236" s="901" t="s">
        <v>2</v>
      </c>
      <c r="J236" s="890">
        <f t="shared" ref="J236:W236" si="48">J233+J235</f>
        <v>0</v>
      </c>
      <c r="K236" s="890">
        <f t="shared" si="48"/>
        <v>0</v>
      </c>
      <c r="L236" s="890">
        <f t="shared" si="48"/>
        <v>0</v>
      </c>
      <c r="M236" s="890">
        <f t="shared" si="48"/>
        <v>0</v>
      </c>
      <c r="N236" s="890">
        <f t="shared" si="48"/>
        <v>0</v>
      </c>
      <c r="O236" s="890">
        <f t="shared" si="48"/>
        <v>0</v>
      </c>
      <c r="P236" s="890">
        <f t="shared" si="48"/>
        <v>0</v>
      </c>
      <c r="Q236" s="890">
        <f t="shared" si="48"/>
        <v>0</v>
      </c>
      <c r="R236" s="890">
        <f t="shared" si="48"/>
        <v>0</v>
      </c>
      <c r="S236" s="890">
        <f t="shared" si="48"/>
        <v>0</v>
      </c>
      <c r="T236" s="890">
        <f t="shared" si="48"/>
        <v>0</v>
      </c>
      <c r="U236" s="890">
        <f t="shared" si="48"/>
        <v>0</v>
      </c>
      <c r="V236" s="890">
        <f t="shared" si="48"/>
        <v>0</v>
      </c>
      <c r="W236" s="890">
        <f t="shared" si="48"/>
        <v>0</v>
      </c>
    </row>
    <row r="237" spans="1:23" s="558" customFormat="1" ht="14.25" hidden="1" customHeight="1">
      <c r="A237" s="903"/>
      <c r="B237" s="904"/>
      <c r="C237" s="905"/>
      <c r="D237" s="906"/>
      <c r="E237" s="906"/>
      <c r="F237" s="906"/>
      <c r="G237" s="557" t="s">
        <v>356</v>
      </c>
      <c r="H237" s="557" t="s">
        <v>356</v>
      </c>
      <c r="I237" s="902"/>
      <c r="J237" s="891"/>
      <c r="K237" s="891"/>
      <c r="L237" s="891"/>
      <c r="M237" s="891"/>
      <c r="N237" s="891"/>
      <c r="O237" s="891"/>
      <c r="P237" s="891"/>
      <c r="Q237" s="891"/>
      <c r="R237" s="891"/>
      <c r="S237" s="891"/>
      <c r="T237" s="891"/>
      <c r="U237" s="891"/>
      <c r="V237" s="891"/>
      <c r="W237" s="891"/>
    </row>
    <row r="238" spans="1:23" s="558" customFormat="1" ht="14.25" customHeight="1">
      <c r="A238" s="903">
        <v>1</v>
      </c>
      <c r="B238" s="904" t="s">
        <v>1031</v>
      </c>
      <c r="C238" s="905" t="s">
        <v>1032</v>
      </c>
      <c r="D238" s="906" t="s">
        <v>1013</v>
      </c>
      <c r="E238" s="906" t="s">
        <v>1033</v>
      </c>
      <c r="F238" s="906" t="s">
        <v>356</v>
      </c>
      <c r="G238" s="557" t="s">
        <v>356</v>
      </c>
      <c r="H238" s="557" t="s">
        <v>356</v>
      </c>
      <c r="I238" s="901" t="s">
        <v>0</v>
      </c>
      <c r="J238" s="890">
        <f>K238+N238</f>
        <v>5770706</v>
      </c>
      <c r="K238" s="890">
        <f>L238+M238</f>
        <v>0</v>
      </c>
      <c r="L238" s="890">
        <v>0</v>
      </c>
      <c r="M238" s="890">
        <v>0</v>
      </c>
      <c r="N238" s="890">
        <f>O238+R238+U238</f>
        <v>5770706</v>
      </c>
      <c r="O238" s="890">
        <f>P238+Q238</f>
        <v>5770706</v>
      </c>
      <c r="P238" s="890">
        <v>184907</v>
      </c>
      <c r="Q238" s="890">
        <v>5585799</v>
      </c>
      <c r="R238" s="890">
        <f>S238+T238</f>
        <v>0</v>
      </c>
      <c r="S238" s="890">
        <v>0</v>
      </c>
      <c r="T238" s="890">
        <v>0</v>
      </c>
      <c r="U238" s="890">
        <f>V238+W238</f>
        <v>0</v>
      </c>
      <c r="V238" s="890">
        <f>W238+Z238</f>
        <v>0</v>
      </c>
      <c r="W238" s="890">
        <f>X238+AA238</f>
        <v>0</v>
      </c>
    </row>
    <row r="239" spans="1:23" s="558" customFormat="1" ht="14.25" customHeight="1">
      <c r="A239" s="903"/>
      <c r="B239" s="904"/>
      <c r="C239" s="905"/>
      <c r="D239" s="906"/>
      <c r="E239" s="906"/>
      <c r="F239" s="906"/>
      <c r="G239" s="557" t="s">
        <v>356</v>
      </c>
      <c r="H239" s="557" t="s">
        <v>356</v>
      </c>
      <c r="I239" s="902"/>
      <c r="J239" s="891"/>
      <c r="K239" s="891"/>
      <c r="L239" s="891"/>
      <c r="M239" s="891"/>
      <c r="N239" s="891"/>
      <c r="O239" s="891"/>
      <c r="P239" s="891"/>
      <c r="Q239" s="891"/>
      <c r="R239" s="891"/>
      <c r="S239" s="891"/>
      <c r="T239" s="891"/>
      <c r="U239" s="891"/>
      <c r="V239" s="891"/>
      <c r="W239" s="891"/>
    </row>
    <row r="240" spans="1:23" s="558" customFormat="1" ht="14.25" customHeight="1">
      <c r="A240" s="903"/>
      <c r="B240" s="904"/>
      <c r="C240" s="905"/>
      <c r="D240" s="906"/>
      <c r="E240" s="906"/>
      <c r="F240" s="906"/>
      <c r="G240" s="557" t="s">
        <v>356</v>
      </c>
      <c r="H240" s="557" t="s">
        <v>356</v>
      </c>
      <c r="I240" s="559" t="s">
        <v>1</v>
      </c>
      <c r="J240" s="560">
        <f>K240+N240</f>
        <v>-940109</v>
      </c>
      <c r="K240" s="560">
        <f>L240+M240</f>
        <v>0</v>
      </c>
      <c r="L240" s="561">
        <v>0</v>
      </c>
      <c r="M240" s="561">
        <v>0</v>
      </c>
      <c r="N240" s="560">
        <f>O240+R240+U240</f>
        <v>-940109</v>
      </c>
      <c r="O240" s="560">
        <f>P240+Q240</f>
        <v>-940109</v>
      </c>
      <c r="P240" s="561">
        <v>-30444</v>
      </c>
      <c r="Q240" s="561">
        <v>-909665</v>
      </c>
      <c r="R240" s="560">
        <f>T240+S240</f>
        <v>0</v>
      </c>
      <c r="S240" s="561">
        <v>0</v>
      </c>
      <c r="T240" s="561">
        <v>0</v>
      </c>
      <c r="U240" s="560">
        <f>V240+W240</f>
        <v>0</v>
      </c>
      <c r="V240" s="561">
        <v>0</v>
      </c>
      <c r="W240" s="561">
        <v>0</v>
      </c>
    </row>
    <row r="241" spans="1:23" s="558" customFormat="1" ht="14.25" customHeight="1">
      <c r="A241" s="903"/>
      <c r="B241" s="904"/>
      <c r="C241" s="905"/>
      <c r="D241" s="906"/>
      <c r="E241" s="906"/>
      <c r="F241" s="906"/>
      <c r="G241" s="557" t="s">
        <v>356</v>
      </c>
      <c r="H241" s="557" t="s">
        <v>356</v>
      </c>
      <c r="I241" s="901" t="s">
        <v>2</v>
      </c>
      <c r="J241" s="890">
        <f t="shared" ref="J241:W241" si="49">J238+J240</f>
        <v>4830597</v>
      </c>
      <c r="K241" s="890">
        <f t="shared" si="49"/>
        <v>0</v>
      </c>
      <c r="L241" s="890">
        <f t="shared" si="49"/>
        <v>0</v>
      </c>
      <c r="M241" s="890">
        <f t="shared" si="49"/>
        <v>0</v>
      </c>
      <c r="N241" s="890">
        <f t="shared" si="49"/>
        <v>4830597</v>
      </c>
      <c r="O241" s="890">
        <f t="shared" si="49"/>
        <v>4830597</v>
      </c>
      <c r="P241" s="890">
        <f t="shared" si="49"/>
        <v>154463</v>
      </c>
      <c r="Q241" s="890">
        <f t="shared" si="49"/>
        <v>4676134</v>
      </c>
      <c r="R241" s="890">
        <f t="shared" si="49"/>
        <v>0</v>
      </c>
      <c r="S241" s="890">
        <f t="shared" si="49"/>
        <v>0</v>
      </c>
      <c r="T241" s="890">
        <f t="shared" si="49"/>
        <v>0</v>
      </c>
      <c r="U241" s="890">
        <f t="shared" si="49"/>
        <v>0</v>
      </c>
      <c r="V241" s="890">
        <f t="shared" si="49"/>
        <v>0</v>
      </c>
      <c r="W241" s="890">
        <f t="shared" si="49"/>
        <v>0</v>
      </c>
    </row>
    <row r="242" spans="1:23" s="558" customFormat="1" ht="14.25" customHeight="1">
      <c r="A242" s="903"/>
      <c r="B242" s="904"/>
      <c r="C242" s="905"/>
      <c r="D242" s="906"/>
      <c r="E242" s="906"/>
      <c r="F242" s="906"/>
      <c r="G242" s="557" t="s">
        <v>356</v>
      </c>
      <c r="H242" s="557" t="s">
        <v>356</v>
      </c>
      <c r="I242" s="902"/>
      <c r="J242" s="891"/>
      <c r="K242" s="891"/>
      <c r="L242" s="891"/>
      <c r="M242" s="891"/>
      <c r="N242" s="891"/>
      <c r="O242" s="891"/>
      <c r="P242" s="891"/>
      <c r="Q242" s="891"/>
      <c r="R242" s="891"/>
      <c r="S242" s="891"/>
      <c r="T242" s="891"/>
      <c r="U242" s="891"/>
      <c r="V242" s="891"/>
      <c r="W242" s="891"/>
    </row>
    <row r="243" spans="1:23" s="558" customFormat="1" ht="14.25" hidden="1" customHeight="1">
      <c r="A243" s="903">
        <v>4</v>
      </c>
      <c r="B243" s="904" t="s">
        <v>1031</v>
      </c>
      <c r="C243" s="905" t="s">
        <v>1034</v>
      </c>
      <c r="D243" s="906" t="s">
        <v>1013</v>
      </c>
      <c r="E243" s="906" t="s">
        <v>1017</v>
      </c>
      <c r="F243" s="906" t="s">
        <v>356</v>
      </c>
      <c r="G243" s="557" t="s">
        <v>356</v>
      </c>
      <c r="H243" s="557" t="s">
        <v>356</v>
      </c>
      <c r="I243" s="901" t="s">
        <v>0</v>
      </c>
      <c r="J243" s="890">
        <f>K243+N243</f>
        <v>5288425</v>
      </c>
      <c r="K243" s="890">
        <f>L243+M243</f>
        <v>0</v>
      </c>
      <c r="L243" s="890">
        <v>0</v>
      </c>
      <c r="M243" s="890">
        <v>0</v>
      </c>
      <c r="N243" s="890">
        <f>O243+R243+U243</f>
        <v>5288425</v>
      </c>
      <c r="O243" s="890">
        <f>P243+Q243</f>
        <v>5288425</v>
      </c>
      <c r="P243" s="890">
        <v>92911</v>
      </c>
      <c r="Q243" s="890">
        <v>5195514</v>
      </c>
      <c r="R243" s="890">
        <f>S243+T243</f>
        <v>0</v>
      </c>
      <c r="S243" s="890">
        <v>0</v>
      </c>
      <c r="T243" s="890">
        <v>0</v>
      </c>
      <c r="U243" s="890">
        <f>V243+W243</f>
        <v>0</v>
      </c>
      <c r="V243" s="890">
        <f>W243+Z243</f>
        <v>0</v>
      </c>
      <c r="W243" s="890">
        <f>X243+AA243</f>
        <v>0</v>
      </c>
    </row>
    <row r="244" spans="1:23" s="558" customFormat="1" ht="14.25" hidden="1" customHeight="1">
      <c r="A244" s="903"/>
      <c r="B244" s="904"/>
      <c r="C244" s="905"/>
      <c r="D244" s="906"/>
      <c r="E244" s="906"/>
      <c r="F244" s="906"/>
      <c r="G244" s="557" t="s">
        <v>356</v>
      </c>
      <c r="H244" s="557" t="s">
        <v>356</v>
      </c>
      <c r="I244" s="902"/>
      <c r="J244" s="891"/>
      <c r="K244" s="891"/>
      <c r="L244" s="891"/>
      <c r="M244" s="891"/>
      <c r="N244" s="891"/>
      <c r="O244" s="891"/>
      <c r="P244" s="891"/>
      <c r="Q244" s="891"/>
      <c r="R244" s="891"/>
      <c r="S244" s="891"/>
      <c r="T244" s="891"/>
      <c r="U244" s="891"/>
      <c r="V244" s="891"/>
      <c r="W244" s="891"/>
    </row>
    <row r="245" spans="1:23" s="558" customFormat="1" ht="14.25" hidden="1" customHeight="1">
      <c r="A245" s="903"/>
      <c r="B245" s="904"/>
      <c r="C245" s="905"/>
      <c r="D245" s="906"/>
      <c r="E245" s="906"/>
      <c r="F245" s="906"/>
      <c r="G245" s="557" t="s">
        <v>356</v>
      </c>
      <c r="H245" s="557" t="s">
        <v>356</v>
      </c>
      <c r="I245" s="559" t="s">
        <v>1</v>
      </c>
      <c r="J245" s="560">
        <f>K245+N245</f>
        <v>0</v>
      </c>
      <c r="K245" s="560">
        <f>L245+M245</f>
        <v>0</v>
      </c>
      <c r="L245" s="561">
        <v>0</v>
      </c>
      <c r="M245" s="561">
        <v>0</v>
      </c>
      <c r="N245" s="560">
        <f>O245+R245+U245</f>
        <v>0</v>
      </c>
      <c r="O245" s="560">
        <f>P245+Q245</f>
        <v>0</v>
      </c>
      <c r="P245" s="561">
        <v>0</v>
      </c>
      <c r="Q245" s="561">
        <v>0</v>
      </c>
      <c r="R245" s="560">
        <f>T245+S245</f>
        <v>0</v>
      </c>
      <c r="S245" s="561">
        <v>0</v>
      </c>
      <c r="T245" s="561">
        <v>0</v>
      </c>
      <c r="U245" s="560">
        <f>V245+W245</f>
        <v>0</v>
      </c>
      <c r="V245" s="561">
        <v>0</v>
      </c>
      <c r="W245" s="561">
        <v>0</v>
      </c>
    </row>
    <row r="246" spans="1:23" s="558" customFormat="1" ht="14.25" hidden="1" customHeight="1">
      <c r="A246" s="903"/>
      <c r="B246" s="904"/>
      <c r="C246" s="905"/>
      <c r="D246" s="906"/>
      <c r="E246" s="906"/>
      <c r="F246" s="906"/>
      <c r="G246" s="557" t="s">
        <v>356</v>
      </c>
      <c r="H246" s="557" t="s">
        <v>356</v>
      </c>
      <c r="I246" s="901" t="s">
        <v>2</v>
      </c>
      <c r="J246" s="890">
        <f t="shared" ref="J246:W246" si="50">J243+J245</f>
        <v>5288425</v>
      </c>
      <c r="K246" s="890">
        <f t="shared" si="50"/>
        <v>0</v>
      </c>
      <c r="L246" s="890">
        <f t="shared" si="50"/>
        <v>0</v>
      </c>
      <c r="M246" s="890">
        <f t="shared" si="50"/>
        <v>0</v>
      </c>
      <c r="N246" s="890">
        <f t="shared" si="50"/>
        <v>5288425</v>
      </c>
      <c r="O246" s="890">
        <f t="shared" si="50"/>
        <v>5288425</v>
      </c>
      <c r="P246" s="890">
        <f t="shared" si="50"/>
        <v>92911</v>
      </c>
      <c r="Q246" s="890">
        <f t="shared" si="50"/>
        <v>5195514</v>
      </c>
      <c r="R246" s="890">
        <f t="shared" si="50"/>
        <v>0</v>
      </c>
      <c r="S246" s="890">
        <f t="shared" si="50"/>
        <v>0</v>
      </c>
      <c r="T246" s="890">
        <f t="shared" si="50"/>
        <v>0</v>
      </c>
      <c r="U246" s="890">
        <f t="shared" si="50"/>
        <v>0</v>
      </c>
      <c r="V246" s="890">
        <f t="shared" si="50"/>
        <v>0</v>
      </c>
      <c r="W246" s="890">
        <f t="shared" si="50"/>
        <v>0</v>
      </c>
    </row>
    <row r="247" spans="1:23" s="558" customFormat="1" ht="14.25" hidden="1" customHeight="1">
      <c r="A247" s="903"/>
      <c r="B247" s="904"/>
      <c r="C247" s="905"/>
      <c r="D247" s="906"/>
      <c r="E247" s="906"/>
      <c r="F247" s="906"/>
      <c r="G247" s="557" t="s">
        <v>356</v>
      </c>
      <c r="H247" s="557" t="s">
        <v>356</v>
      </c>
      <c r="I247" s="902"/>
      <c r="J247" s="891"/>
      <c r="K247" s="891"/>
      <c r="L247" s="891"/>
      <c r="M247" s="891"/>
      <c r="N247" s="891"/>
      <c r="O247" s="891"/>
      <c r="P247" s="891"/>
      <c r="Q247" s="891"/>
      <c r="R247" s="891"/>
      <c r="S247" s="891"/>
      <c r="T247" s="891"/>
      <c r="U247" s="891"/>
      <c r="V247" s="891"/>
      <c r="W247" s="891"/>
    </row>
    <row r="248" spans="1:23" s="558" customFormat="1" ht="14.25" hidden="1" customHeight="1">
      <c r="A248" s="903">
        <v>2</v>
      </c>
      <c r="B248" s="904" t="s">
        <v>1035</v>
      </c>
      <c r="C248" s="905" t="s">
        <v>1036</v>
      </c>
      <c r="D248" s="906" t="s">
        <v>1013</v>
      </c>
      <c r="E248" s="906" t="s">
        <v>1037</v>
      </c>
      <c r="F248" s="906" t="s">
        <v>356</v>
      </c>
      <c r="G248" s="557" t="s">
        <v>356</v>
      </c>
      <c r="H248" s="557" t="s">
        <v>356</v>
      </c>
      <c r="I248" s="901" t="s">
        <v>0</v>
      </c>
      <c r="J248" s="890">
        <f>K248+N248</f>
        <v>5252209</v>
      </c>
      <c r="K248" s="890">
        <f>L248+M248</f>
        <v>0</v>
      </c>
      <c r="L248" s="890">
        <v>0</v>
      </c>
      <c r="M248" s="890">
        <v>0</v>
      </c>
      <c r="N248" s="890">
        <f>O248+R248+U248</f>
        <v>5252209</v>
      </c>
      <c r="O248" s="890">
        <f>P248+Q248</f>
        <v>5252209</v>
      </c>
      <c r="P248" s="890">
        <v>134459</v>
      </c>
      <c r="Q248" s="890">
        <v>5117750</v>
      </c>
      <c r="R248" s="890">
        <f>S248+T248</f>
        <v>0</v>
      </c>
      <c r="S248" s="890">
        <v>0</v>
      </c>
      <c r="T248" s="890">
        <v>0</v>
      </c>
      <c r="U248" s="890">
        <f>V248+W248</f>
        <v>0</v>
      </c>
      <c r="V248" s="890">
        <f>W248+Z248</f>
        <v>0</v>
      </c>
      <c r="W248" s="890">
        <f>X248+AA248</f>
        <v>0</v>
      </c>
    </row>
    <row r="249" spans="1:23" s="558" customFormat="1" ht="14.25" hidden="1" customHeight="1">
      <c r="A249" s="903"/>
      <c r="B249" s="904"/>
      <c r="C249" s="905"/>
      <c r="D249" s="906"/>
      <c r="E249" s="906"/>
      <c r="F249" s="906"/>
      <c r="G249" s="557" t="s">
        <v>356</v>
      </c>
      <c r="H249" s="557" t="s">
        <v>356</v>
      </c>
      <c r="I249" s="902"/>
      <c r="J249" s="891"/>
      <c r="K249" s="891"/>
      <c r="L249" s="891"/>
      <c r="M249" s="891"/>
      <c r="N249" s="891"/>
      <c r="O249" s="891"/>
      <c r="P249" s="891"/>
      <c r="Q249" s="891"/>
      <c r="R249" s="891"/>
      <c r="S249" s="891"/>
      <c r="T249" s="891"/>
      <c r="U249" s="891"/>
      <c r="V249" s="891"/>
      <c r="W249" s="891"/>
    </row>
    <row r="250" spans="1:23" s="558" customFormat="1" ht="14.25" hidden="1" customHeight="1">
      <c r="A250" s="903"/>
      <c r="B250" s="904"/>
      <c r="C250" s="905"/>
      <c r="D250" s="906"/>
      <c r="E250" s="906"/>
      <c r="F250" s="906"/>
      <c r="G250" s="557" t="s">
        <v>356</v>
      </c>
      <c r="H250" s="557" t="s">
        <v>356</v>
      </c>
      <c r="I250" s="559" t="s">
        <v>1</v>
      </c>
      <c r="J250" s="560">
        <f>K250+N250</f>
        <v>0</v>
      </c>
      <c r="K250" s="560">
        <f>L250+M250</f>
        <v>0</v>
      </c>
      <c r="L250" s="561">
        <v>0</v>
      </c>
      <c r="M250" s="561">
        <v>0</v>
      </c>
      <c r="N250" s="560">
        <f>O250+R250+U250</f>
        <v>0</v>
      </c>
      <c r="O250" s="560">
        <f>P250+Q250</f>
        <v>0</v>
      </c>
      <c r="P250" s="561">
        <v>0</v>
      </c>
      <c r="Q250" s="561">
        <v>0</v>
      </c>
      <c r="R250" s="560">
        <f>T250+S250</f>
        <v>0</v>
      </c>
      <c r="S250" s="561">
        <v>0</v>
      </c>
      <c r="T250" s="561">
        <v>0</v>
      </c>
      <c r="U250" s="560">
        <f>V250+W250</f>
        <v>0</v>
      </c>
      <c r="V250" s="561">
        <v>0</v>
      </c>
      <c r="W250" s="561">
        <v>0</v>
      </c>
    </row>
    <row r="251" spans="1:23" s="558" customFormat="1" ht="14.25" hidden="1" customHeight="1">
      <c r="A251" s="903"/>
      <c r="B251" s="904"/>
      <c r="C251" s="905"/>
      <c r="D251" s="906"/>
      <c r="E251" s="906"/>
      <c r="F251" s="906"/>
      <c r="G251" s="557" t="s">
        <v>356</v>
      </c>
      <c r="H251" s="557" t="s">
        <v>356</v>
      </c>
      <c r="I251" s="901" t="s">
        <v>2</v>
      </c>
      <c r="J251" s="890">
        <f t="shared" ref="J251:W251" si="51">J248+J250</f>
        <v>5252209</v>
      </c>
      <c r="K251" s="890">
        <f t="shared" si="51"/>
        <v>0</v>
      </c>
      <c r="L251" s="890">
        <f t="shared" si="51"/>
        <v>0</v>
      </c>
      <c r="M251" s="890">
        <f t="shared" si="51"/>
        <v>0</v>
      </c>
      <c r="N251" s="890">
        <f t="shared" si="51"/>
        <v>5252209</v>
      </c>
      <c r="O251" s="890">
        <f t="shared" si="51"/>
        <v>5252209</v>
      </c>
      <c r="P251" s="890">
        <f t="shared" si="51"/>
        <v>134459</v>
      </c>
      <c r="Q251" s="890">
        <f t="shared" si="51"/>
        <v>5117750</v>
      </c>
      <c r="R251" s="890">
        <f t="shared" si="51"/>
        <v>0</v>
      </c>
      <c r="S251" s="890">
        <f t="shared" si="51"/>
        <v>0</v>
      </c>
      <c r="T251" s="890">
        <f t="shared" si="51"/>
        <v>0</v>
      </c>
      <c r="U251" s="890">
        <f t="shared" si="51"/>
        <v>0</v>
      </c>
      <c r="V251" s="890">
        <f t="shared" si="51"/>
        <v>0</v>
      </c>
      <c r="W251" s="890">
        <f t="shared" si="51"/>
        <v>0</v>
      </c>
    </row>
    <row r="252" spans="1:23" s="558" customFormat="1" ht="14.25" hidden="1" customHeight="1">
      <c r="A252" s="903"/>
      <c r="B252" s="904"/>
      <c r="C252" s="905"/>
      <c r="D252" s="906"/>
      <c r="E252" s="906"/>
      <c r="F252" s="906"/>
      <c r="G252" s="557" t="s">
        <v>356</v>
      </c>
      <c r="H252" s="557" t="s">
        <v>356</v>
      </c>
      <c r="I252" s="902"/>
      <c r="J252" s="891"/>
      <c r="K252" s="891"/>
      <c r="L252" s="891"/>
      <c r="M252" s="891"/>
      <c r="N252" s="891"/>
      <c r="O252" s="891"/>
      <c r="P252" s="891"/>
      <c r="Q252" s="891"/>
      <c r="R252" s="891"/>
      <c r="S252" s="891"/>
      <c r="T252" s="891"/>
      <c r="U252" s="891"/>
      <c r="V252" s="891"/>
      <c r="W252" s="891"/>
    </row>
    <row r="253" spans="1:23" s="558" customFormat="1" ht="14.25" hidden="1" customHeight="1">
      <c r="A253" s="903">
        <v>6</v>
      </c>
      <c r="B253" s="904" t="s">
        <v>1035</v>
      </c>
      <c r="C253" s="905" t="s">
        <v>1038</v>
      </c>
      <c r="D253" s="906" t="s">
        <v>1013</v>
      </c>
      <c r="E253" s="906" t="s">
        <v>1017</v>
      </c>
      <c r="F253" s="906" t="s">
        <v>356</v>
      </c>
      <c r="G253" s="557" t="s">
        <v>356</v>
      </c>
      <c r="H253" s="557" t="s">
        <v>356</v>
      </c>
      <c r="I253" s="901" t="s">
        <v>0</v>
      </c>
      <c r="J253" s="890">
        <f>K253+N253</f>
        <v>1661575</v>
      </c>
      <c r="K253" s="890">
        <f>L253+M253</f>
        <v>0</v>
      </c>
      <c r="L253" s="890">
        <v>0</v>
      </c>
      <c r="M253" s="890">
        <v>0</v>
      </c>
      <c r="N253" s="890">
        <f>O253+R253+U253</f>
        <v>1661575</v>
      </c>
      <c r="O253" s="890">
        <f>P253+Q253</f>
        <v>1661575</v>
      </c>
      <c r="P253" s="890">
        <v>31089</v>
      </c>
      <c r="Q253" s="890">
        <v>1630486</v>
      </c>
      <c r="R253" s="890">
        <f>S253+T253</f>
        <v>0</v>
      </c>
      <c r="S253" s="890">
        <v>0</v>
      </c>
      <c r="T253" s="890">
        <v>0</v>
      </c>
      <c r="U253" s="890">
        <f>V253+W253</f>
        <v>0</v>
      </c>
      <c r="V253" s="890">
        <f>W253+Z253</f>
        <v>0</v>
      </c>
      <c r="W253" s="890">
        <f>X253+AA253</f>
        <v>0</v>
      </c>
    </row>
    <row r="254" spans="1:23" s="558" customFormat="1" ht="14.25" hidden="1" customHeight="1">
      <c r="A254" s="903"/>
      <c r="B254" s="904"/>
      <c r="C254" s="905"/>
      <c r="D254" s="906"/>
      <c r="E254" s="906"/>
      <c r="F254" s="906"/>
      <c r="G254" s="557" t="s">
        <v>356</v>
      </c>
      <c r="H254" s="557" t="s">
        <v>356</v>
      </c>
      <c r="I254" s="902"/>
      <c r="J254" s="891"/>
      <c r="K254" s="891"/>
      <c r="L254" s="891"/>
      <c r="M254" s="891"/>
      <c r="N254" s="891"/>
      <c r="O254" s="891"/>
      <c r="P254" s="891"/>
      <c r="Q254" s="891"/>
      <c r="R254" s="891"/>
      <c r="S254" s="891"/>
      <c r="T254" s="891"/>
      <c r="U254" s="891"/>
      <c r="V254" s="891"/>
      <c r="W254" s="891"/>
    </row>
    <row r="255" spans="1:23" s="558" customFormat="1" ht="14.25" hidden="1" customHeight="1">
      <c r="A255" s="903"/>
      <c r="B255" s="904"/>
      <c r="C255" s="905"/>
      <c r="D255" s="906"/>
      <c r="E255" s="906"/>
      <c r="F255" s="906"/>
      <c r="G255" s="557" t="s">
        <v>356</v>
      </c>
      <c r="H255" s="557" t="s">
        <v>356</v>
      </c>
      <c r="I255" s="559" t="s">
        <v>1</v>
      </c>
      <c r="J255" s="560">
        <f>K255+N255</f>
        <v>0</v>
      </c>
      <c r="K255" s="560">
        <f>L255+M255</f>
        <v>0</v>
      </c>
      <c r="L255" s="561">
        <v>0</v>
      </c>
      <c r="M255" s="561">
        <v>0</v>
      </c>
      <c r="N255" s="560">
        <f>O255+R255+U255</f>
        <v>0</v>
      </c>
      <c r="O255" s="560">
        <f>P255+Q255</f>
        <v>0</v>
      </c>
      <c r="P255" s="561">
        <v>0</v>
      </c>
      <c r="Q255" s="561">
        <v>0</v>
      </c>
      <c r="R255" s="560">
        <f>T255+S255</f>
        <v>0</v>
      </c>
      <c r="S255" s="561">
        <v>0</v>
      </c>
      <c r="T255" s="561">
        <v>0</v>
      </c>
      <c r="U255" s="560">
        <f>V255+W255</f>
        <v>0</v>
      </c>
      <c r="V255" s="561">
        <v>0</v>
      </c>
      <c r="W255" s="561">
        <v>0</v>
      </c>
    </row>
    <row r="256" spans="1:23" s="558" customFormat="1" ht="14.25" hidden="1" customHeight="1">
      <c r="A256" s="903"/>
      <c r="B256" s="904"/>
      <c r="C256" s="905"/>
      <c r="D256" s="906"/>
      <c r="E256" s="906"/>
      <c r="F256" s="906"/>
      <c r="G256" s="557" t="s">
        <v>356</v>
      </c>
      <c r="H256" s="557" t="s">
        <v>356</v>
      </c>
      <c r="I256" s="901" t="s">
        <v>2</v>
      </c>
      <c r="J256" s="890">
        <f t="shared" ref="J256:W256" si="52">J253+J255</f>
        <v>1661575</v>
      </c>
      <c r="K256" s="890">
        <f t="shared" si="52"/>
        <v>0</v>
      </c>
      <c r="L256" s="890">
        <f t="shared" si="52"/>
        <v>0</v>
      </c>
      <c r="M256" s="890">
        <f t="shared" si="52"/>
        <v>0</v>
      </c>
      <c r="N256" s="890">
        <f t="shared" si="52"/>
        <v>1661575</v>
      </c>
      <c r="O256" s="890">
        <f t="shared" si="52"/>
        <v>1661575</v>
      </c>
      <c r="P256" s="890">
        <f t="shared" si="52"/>
        <v>31089</v>
      </c>
      <c r="Q256" s="890">
        <f t="shared" si="52"/>
        <v>1630486</v>
      </c>
      <c r="R256" s="890">
        <f t="shared" si="52"/>
        <v>0</v>
      </c>
      <c r="S256" s="890">
        <f t="shared" si="52"/>
        <v>0</v>
      </c>
      <c r="T256" s="890">
        <f t="shared" si="52"/>
        <v>0</v>
      </c>
      <c r="U256" s="890">
        <f t="shared" si="52"/>
        <v>0</v>
      </c>
      <c r="V256" s="890">
        <f t="shared" si="52"/>
        <v>0</v>
      </c>
      <c r="W256" s="890">
        <f t="shared" si="52"/>
        <v>0</v>
      </c>
    </row>
    <row r="257" spans="1:23" s="558" customFormat="1" ht="14.25" hidden="1" customHeight="1">
      <c r="A257" s="903"/>
      <c r="B257" s="904"/>
      <c r="C257" s="905"/>
      <c r="D257" s="906"/>
      <c r="E257" s="906"/>
      <c r="F257" s="906"/>
      <c r="G257" s="557" t="s">
        <v>356</v>
      </c>
      <c r="H257" s="557" t="s">
        <v>356</v>
      </c>
      <c r="I257" s="902"/>
      <c r="J257" s="891"/>
      <c r="K257" s="891"/>
      <c r="L257" s="891"/>
      <c r="M257" s="891"/>
      <c r="N257" s="891"/>
      <c r="O257" s="891"/>
      <c r="P257" s="891"/>
      <c r="Q257" s="891"/>
      <c r="R257" s="891"/>
      <c r="S257" s="891"/>
      <c r="T257" s="891"/>
      <c r="U257" s="891"/>
      <c r="V257" s="891"/>
      <c r="W257" s="891"/>
    </row>
    <row r="258" spans="1:23" s="558" customFormat="1" ht="14.25" customHeight="1">
      <c r="A258" s="903">
        <v>2</v>
      </c>
      <c r="B258" s="904" t="s">
        <v>1039</v>
      </c>
      <c r="C258" s="905" t="s">
        <v>1040</v>
      </c>
      <c r="D258" s="906" t="s">
        <v>1013</v>
      </c>
      <c r="E258" s="906" t="s">
        <v>1041</v>
      </c>
      <c r="F258" s="906" t="s">
        <v>356</v>
      </c>
      <c r="G258" s="557" t="s">
        <v>356</v>
      </c>
      <c r="H258" s="557" t="s">
        <v>356</v>
      </c>
      <c r="I258" s="901" t="s">
        <v>0</v>
      </c>
      <c r="J258" s="890">
        <f>K258+N258</f>
        <v>13723223</v>
      </c>
      <c r="K258" s="890">
        <f>L258+M258</f>
        <v>0</v>
      </c>
      <c r="L258" s="890">
        <v>0</v>
      </c>
      <c r="M258" s="890">
        <v>0</v>
      </c>
      <c r="N258" s="890">
        <f>O258+R258+U258</f>
        <v>13723223</v>
      </c>
      <c r="O258" s="890">
        <f>P258+Q258</f>
        <v>13723223</v>
      </c>
      <c r="P258" s="890">
        <v>10742223</v>
      </c>
      <c r="Q258" s="890">
        <v>2981000</v>
      </c>
      <c r="R258" s="890">
        <f>S258+T258</f>
        <v>0</v>
      </c>
      <c r="S258" s="890">
        <v>0</v>
      </c>
      <c r="T258" s="890">
        <v>0</v>
      </c>
      <c r="U258" s="890">
        <f>V258+W258</f>
        <v>0</v>
      </c>
      <c r="V258" s="890">
        <f>W258+Z258</f>
        <v>0</v>
      </c>
      <c r="W258" s="890">
        <f>X258+AA258</f>
        <v>0</v>
      </c>
    </row>
    <row r="259" spans="1:23" s="558" customFormat="1" ht="14.25" customHeight="1">
      <c r="A259" s="903"/>
      <c r="B259" s="904"/>
      <c r="C259" s="905"/>
      <c r="D259" s="906"/>
      <c r="E259" s="906"/>
      <c r="F259" s="906"/>
      <c r="G259" s="557" t="s">
        <v>356</v>
      </c>
      <c r="H259" s="557" t="s">
        <v>356</v>
      </c>
      <c r="I259" s="902"/>
      <c r="J259" s="891"/>
      <c r="K259" s="891"/>
      <c r="L259" s="891"/>
      <c r="M259" s="891"/>
      <c r="N259" s="891"/>
      <c r="O259" s="891"/>
      <c r="P259" s="891"/>
      <c r="Q259" s="891"/>
      <c r="R259" s="891"/>
      <c r="S259" s="891"/>
      <c r="T259" s="891"/>
      <c r="U259" s="891"/>
      <c r="V259" s="891"/>
      <c r="W259" s="891"/>
    </row>
    <row r="260" spans="1:23" s="558" customFormat="1" ht="14.25" customHeight="1">
      <c r="A260" s="903"/>
      <c r="B260" s="904"/>
      <c r="C260" s="905"/>
      <c r="D260" s="906"/>
      <c r="E260" s="906"/>
      <c r="F260" s="906"/>
      <c r="G260" s="557" t="s">
        <v>356</v>
      </c>
      <c r="H260" s="557" t="s">
        <v>356</v>
      </c>
      <c r="I260" s="559" t="s">
        <v>1</v>
      </c>
      <c r="J260" s="560">
        <f>K260+N260</f>
        <v>0</v>
      </c>
      <c r="K260" s="560">
        <f>L260+M260</f>
        <v>0</v>
      </c>
      <c r="L260" s="561">
        <v>0</v>
      </c>
      <c r="M260" s="561">
        <v>0</v>
      </c>
      <c r="N260" s="560">
        <f>O260+R260+U260</f>
        <v>0</v>
      </c>
      <c r="O260" s="560">
        <f>P260+Q260</f>
        <v>0</v>
      </c>
      <c r="P260" s="561">
        <v>1000000</v>
      </c>
      <c r="Q260" s="561">
        <v>-1000000</v>
      </c>
      <c r="R260" s="560">
        <f>T260+S260</f>
        <v>0</v>
      </c>
      <c r="S260" s="561">
        <v>0</v>
      </c>
      <c r="T260" s="561">
        <v>0</v>
      </c>
      <c r="U260" s="560">
        <f>V260+W260</f>
        <v>0</v>
      </c>
      <c r="V260" s="561">
        <v>0</v>
      </c>
      <c r="W260" s="561">
        <v>0</v>
      </c>
    </row>
    <row r="261" spans="1:23" s="558" customFormat="1" ht="14.25" customHeight="1">
      <c r="A261" s="903"/>
      <c r="B261" s="904"/>
      <c r="C261" s="905"/>
      <c r="D261" s="906"/>
      <c r="E261" s="906"/>
      <c r="F261" s="906"/>
      <c r="G261" s="557" t="s">
        <v>356</v>
      </c>
      <c r="H261" s="557" t="s">
        <v>356</v>
      </c>
      <c r="I261" s="901" t="s">
        <v>2</v>
      </c>
      <c r="J261" s="890">
        <f t="shared" ref="J261:W261" si="53">J258+J260</f>
        <v>13723223</v>
      </c>
      <c r="K261" s="890">
        <f t="shared" si="53"/>
        <v>0</v>
      </c>
      <c r="L261" s="890">
        <f t="shared" si="53"/>
        <v>0</v>
      </c>
      <c r="M261" s="890">
        <f t="shared" si="53"/>
        <v>0</v>
      </c>
      <c r="N261" s="890">
        <f t="shared" si="53"/>
        <v>13723223</v>
      </c>
      <c r="O261" s="890">
        <f t="shared" si="53"/>
        <v>13723223</v>
      </c>
      <c r="P261" s="890">
        <f t="shared" si="53"/>
        <v>11742223</v>
      </c>
      <c r="Q261" s="890">
        <f t="shared" si="53"/>
        <v>1981000</v>
      </c>
      <c r="R261" s="890">
        <f t="shared" si="53"/>
        <v>0</v>
      </c>
      <c r="S261" s="890">
        <f t="shared" si="53"/>
        <v>0</v>
      </c>
      <c r="T261" s="890">
        <f t="shared" si="53"/>
        <v>0</v>
      </c>
      <c r="U261" s="890">
        <f t="shared" si="53"/>
        <v>0</v>
      </c>
      <c r="V261" s="890">
        <f t="shared" si="53"/>
        <v>0</v>
      </c>
      <c r="W261" s="890">
        <f t="shared" si="53"/>
        <v>0</v>
      </c>
    </row>
    <row r="262" spans="1:23" s="558" customFormat="1" ht="14.25" customHeight="1">
      <c r="A262" s="903"/>
      <c r="B262" s="904"/>
      <c r="C262" s="905"/>
      <c r="D262" s="906"/>
      <c r="E262" s="906"/>
      <c r="F262" s="906"/>
      <c r="G262" s="557" t="s">
        <v>356</v>
      </c>
      <c r="H262" s="557" t="s">
        <v>356</v>
      </c>
      <c r="I262" s="902"/>
      <c r="J262" s="891"/>
      <c r="K262" s="891"/>
      <c r="L262" s="891"/>
      <c r="M262" s="891"/>
      <c r="N262" s="891"/>
      <c r="O262" s="891"/>
      <c r="P262" s="891"/>
      <c r="Q262" s="891"/>
      <c r="R262" s="891"/>
      <c r="S262" s="891"/>
      <c r="T262" s="891"/>
      <c r="U262" s="891"/>
      <c r="V262" s="891"/>
      <c r="W262" s="891"/>
    </row>
    <row r="263" spans="1:23" s="558" customFormat="1" ht="14.25" hidden="1" customHeight="1">
      <c r="A263" s="903">
        <v>8</v>
      </c>
      <c r="B263" s="904" t="s">
        <v>1039</v>
      </c>
      <c r="C263" s="905" t="s">
        <v>1042</v>
      </c>
      <c r="D263" s="906" t="s">
        <v>1013</v>
      </c>
      <c r="E263" s="906" t="s">
        <v>1017</v>
      </c>
      <c r="F263" s="906" t="s">
        <v>356</v>
      </c>
      <c r="G263" s="557" t="s">
        <v>356</v>
      </c>
      <c r="H263" s="557" t="s">
        <v>356</v>
      </c>
      <c r="I263" s="901" t="s">
        <v>0</v>
      </c>
      <c r="J263" s="890">
        <f>K263+N263</f>
        <v>1164000</v>
      </c>
      <c r="K263" s="890">
        <f>L263+M263</f>
        <v>0</v>
      </c>
      <c r="L263" s="890">
        <v>0</v>
      </c>
      <c r="M263" s="890">
        <v>0</v>
      </c>
      <c r="N263" s="890">
        <f>O263+R263+U263</f>
        <v>1164000</v>
      </c>
      <c r="O263" s="890">
        <f>P263+Q263</f>
        <v>1164000</v>
      </c>
      <c r="P263" s="890">
        <v>1080000</v>
      </c>
      <c r="Q263" s="890">
        <v>84000</v>
      </c>
      <c r="R263" s="890">
        <f>S263+T263</f>
        <v>0</v>
      </c>
      <c r="S263" s="890">
        <v>0</v>
      </c>
      <c r="T263" s="890">
        <v>0</v>
      </c>
      <c r="U263" s="890">
        <f>V263+W263</f>
        <v>0</v>
      </c>
      <c r="V263" s="890">
        <f>W263+Z263</f>
        <v>0</v>
      </c>
      <c r="W263" s="890">
        <f>X263+AA263</f>
        <v>0</v>
      </c>
    </row>
    <row r="264" spans="1:23" s="558" customFormat="1" ht="14.25" hidden="1" customHeight="1">
      <c r="A264" s="903"/>
      <c r="B264" s="904"/>
      <c r="C264" s="905"/>
      <c r="D264" s="906"/>
      <c r="E264" s="906"/>
      <c r="F264" s="906"/>
      <c r="G264" s="557" t="s">
        <v>356</v>
      </c>
      <c r="H264" s="557" t="s">
        <v>356</v>
      </c>
      <c r="I264" s="902"/>
      <c r="J264" s="891"/>
      <c r="K264" s="891"/>
      <c r="L264" s="891"/>
      <c r="M264" s="891"/>
      <c r="N264" s="891"/>
      <c r="O264" s="891"/>
      <c r="P264" s="891"/>
      <c r="Q264" s="891"/>
      <c r="R264" s="891"/>
      <c r="S264" s="891"/>
      <c r="T264" s="891"/>
      <c r="U264" s="891"/>
      <c r="V264" s="891"/>
      <c r="W264" s="891"/>
    </row>
    <row r="265" spans="1:23" s="558" customFormat="1" ht="14.25" hidden="1" customHeight="1">
      <c r="A265" s="903"/>
      <c r="B265" s="904"/>
      <c r="C265" s="905"/>
      <c r="D265" s="906"/>
      <c r="E265" s="906"/>
      <c r="F265" s="906"/>
      <c r="G265" s="557" t="s">
        <v>356</v>
      </c>
      <c r="H265" s="557" t="s">
        <v>356</v>
      </c>
      <c r="I265" s="559" t="s">
        <v>1</v>
      </c>
      <c r="J265" s="560">
        <f>K265+N265</f>
        <v>0</v>
      </c>
      <c r="K265" s="560">
        <f>L265+M265</f>
        <v>0</v>
      </c>
      <c r="L265" s="561">
        <v>0</v>
      </c>
      <c r="M265" s="561">
        <v>0</v>
      </c>
      <c r="N265" s="560">
        <f>O265+R265+U265</f>
        <v>0</v>
      </c>
      <c r="O265" s="560">
        <f>P265+Q265</f>
        <v>0</v>
      </c>
      <c r="P265" s="561">
        <v>0</v>
      </c>
      <c r="Q265" s="561">
        <v>0</v>
      </c>
      <c r="R265" s="560">
        <f>T265+S265</f>
        <v>0</v>
      </c>
      <c r="S265" s="561">
        <v>0</v>
      </c>
      <c r="T265" s="561">
        <v>0</v>
      </c>
      <c r="U265" s="560">
        <f>V265+W265</f>
        <v>0</v>
      </c>
      <c r="V265" s="561">
        <v>0</v>
      </c>
      <c r="W265" s="561">
        <v>0</v>
      </c>
    </row>
    <row r="266" spans="1:23" s="558" customFormat="1" ht="14.25" hidden="1" customHeight="1">
      <c r="A266" s="903"/>
      <c r="B266" s="904"/>
      <c r="C266" s="905"/>
      <c r="D266" s="906"/>
      <c r="E266" s="906"/>
      <c r="F266" s="906"/>
      <c r="G266" s="557" t="s">
        <v>356</v>
      </c>
      <c r="H266" s="557" t="s">
        <v>356</v>
      </c>
      <c r="I266" s="901" t="s">
        <v>2</v>
      </c>
      <c r="J266" s="890">
        <f t="shared" ref="J266:W266" si="54">J263+J265</f>
        <v>1164000</v>
      </c>
      <c r="K266" s="890">
        <f t="shared" si="54"/>
        <v>0</v>
      </c>
      <c r="L266" s="890">
        <f t="shared" si="54"/>
        <v>0</v>
      </c>
      <c r="M266" s="890">
        <f t="shared" si="54"/>
        <v>0</v>
      </c>
      <c r="N266" s="890">
        <f t="shared" si="54"/>
        <v>1164000</v>
      </c>
      <c r="O266" s="890">
        <f t="shared" si="54"/>
        <v>1164000</v>
      </c>
      <c r="P266" s="890">
        <f t="shared" si="54"/>
        <v>1080000</v>
      </c>
      <c r="Q266" s="890">
        <f t="shared" si="54"/>
        <v>84000</v>
      </c>
      <c r="R266" s="890">
        <f t="shared" si="54"/>
        <v>0</v>
      </c>
      <c r="S266" s="890">
        <f t="shared" si="54"/>
        <v>0</v>
      </c>
      <c r="T266" s="890">
        <f t="shared" si="54"/>
        <v>0</v>
      </c>
      <c r="U266" s="890">
        <f t="shared" si="54"/>
        <v>0</v>
      </c>
      <c r="V266" s="890">
        <f t="shared" si="54"/>
        <v>0</v>
      </c>
      <c r="W266" s="890">
        <f t="shared" si="54"/>
        <v>0</v>
      </c>
    </row>
    <row r="267" spans="1:23" s="558" customFormat="1" ht="14.25" hidden="1" customHeight="1">
      <c r="A267" s="903"/>
      <c r="B267" s="904"/>
      <c r="C267" s="905"/>
      <c r="D267" s="906"/>
      <c r="E267" s="906"/>
      <c r="F267" s="906"/>
      <c r="G267" s="557" t="s">
        <v>356</v>
      </c>
      <c r="H267" s="557" t="s">
        <v>356</v>
      </c>
      <c r="I267" s="902"/>
      <c r="J267" s="891"/>
      <c r="K267" s="891"/>
      <c r="L267" s="891"/>
      <c r="M267" s="891"/>
      <c r="N267" s="891"/>
      <c r="O267" s="891"/>
      <c r="P267" s="891"/>
      <c r="Q267" s="891"/>
      <c r="R267" s="891"/>
      <c r="S267" s="891"/>
      <c r="T267" s="891"/>
      <c r="U267" s="891"/>
      <c r="V267" s="891"/>
      <c r="W267" s="891"/>
    </row>
    <row r="268" spans="1:23" s="558" customFormat="1" ht="14.25" hidden="1" customHeight="1">
      <c r="A268" s="903">
        <v>9</v>
      </c>
      <c r="B268" s="904" t="s">
        <v>1039</v>
      </c>
      <c r="C268" s="905" t="s">
        <v>1040</v>
      </c>
      <c r="D268" s="906" t="s">
        <v>990</v>
      </c>
      <c r="E268" s="906" t="s">
        <v>1000</v>
      </c>
      <c r="F268" s="906" t="s">
        <v>356</v>
      </c>
      <c r="G268" s="557" t="s">
        <v>356</v>
      </c>
      <c r="H268" s="557" t="s">
        <v>356</v>
      </c>
      <c r="I268" s="901" t="s">
        <v>0</v>
      </c>
      <c r="J268" s="890">
        <f>K268+N268</f>
        <v>1000000</v>
      </c>
      <c r="K268" s="890">
        <f>L268+M268</f>
        <v>0</v>
      </c>
      <c r="L268" s="890">
        <v>0</v>
      </c>
      <c r="M268" s="890">
        <v>0</v>
      </c>
      <c r="N268" s="890">
        <f>O268+R268+U268</f>
        <v>1000000</v>
      </c>
      <c r="O268" s="890">
        <f>P268+Q268</f>
        <v>1000000</v>
      </c>
      <c r="P268" s="890">
        <v>1000000</v>
      </c>
      <c r="Q268" s="890">
        <v>0</v>
      </c>
      <c r="R268" s="890">
        <f>S268+T268</f>
        <v>0</v>
      </c>
      <c r="S268" s="890">
        <v>0</v>
      </c>
      <c r="T268" s="890">
        <v>0</v>
      </c>
      <c r="U268" s="890">
        <f>V268+W268</f>
        <v>0</v>
      </c>
      <c r="V268" s="890">
        <f>W268+Z268</f>
        <v>0</v>
      </c>
      <c r="W268" s="890">
        <f>X268+AA268</f>
        <v>0</v>
      </c>
    </row>
    <row r="269" spans="1:23" s="558" customFormat="1" ht="14.25" hidden="1" customHeight="1">
      <c r="A269" s="903"/>
      <c r="B269" s="904"/>
      <c r="C269" s="905"/>
      <c r="D269" s="906"/>
      <c r="E269" s="906"/>
      <c r="F269" s="906"/>
      <c r="G269" s="557" t="s">
        <v>356</v>
      </c>
      <c r="H269" s="557" t="s">
        <v>356</v>
      </c>
      <c r="I269" s="902"/>
      <c r="J269" s="891"/>
      <c r="K269" s="891"/>
      <c r="L269" s="891"/>
      <c r="M269" s="891"/>
      <c r="N269" s="891"/>
      <c r="O269" s="891"/>
      <c r="P269" s="891"/>
      <c r="Q269" s="891"/>
      <c r="R269" s="891"/>
      <c r="S269" s="891"/>
      <c r="T269" s="891"/>
      <c r="U269" s="891"/>
      <c r="V269" s="891"/>
      <c r="W269" s="891"/>
    </row>
    <row r="270" spans="1:23" s="558" customFormat="1" ht="14.25" hidden="1" customHeight="1">
      <c r="A270" s="903"/>
      <c r="B270" s="904"/>
      <c r="C270" s="905"/>
      <c r="D270" s="906"/>
      <c r="E270" s="906"/>
      <c r="F270" s="906"/>
      <c r="G270" s="557" t="s">
        <v>356</v>
      </c>
      <c r="H270" s="557" t="s">
        <v>356</v>
      </c>
      <c r="I270" s="559" t="s">
        <v>1</v>
      </c>
      <c r="J270" s="560">
        <f>K270+N270</f>
        <v>0</v>
      </c>
      <c r="K270" s="560">
        <f>L270+M270</f>
        <v>0</v>
      </c>
      <c r="L270" s="561">
        <v>0</v>
      </c>
      <c r="M270" s="561">
        <v>0</v>
      </c>
      <c r="N270" s="560">
        <f>O270+R270+U270</f>
        <v>0</v>
      </c>
      <c r="O270" s="560">
        <f>P270+Q270</f>
        <v>0</v>
      </c>
      <c r="P270" s="561">
        <v>0</v>
      </c>
      <c r="Q270" s="561">
        <v>0</v>
      </c>
      <c r="R270" s="560">
        <f>T270+S270</f>
        <v>0</v>
      </c>
      <c r="S270" s="561">
        <v>0</v>
      </c>
      <c r="T270" s="561">
        <v>0</v>
      </c>
      <c r="U270" s="560">
        <f>V270+W270</f>
        <v>0</v>
      </c>
      <c r="V270" s="561">
        <v>0</v>
      </c>
      <c r="W270" s="561">
        <v>0</v>
      </c>
    </row>
    <row r="271" spans="1:23" s="558" customFormat="1" ht="14.25" hidden="1" customHeight="1">
      <c r="A271" s="903"/>
      <c r="B271" s="904"/>
      <c r="C271" s="905"/>
      <c r="D271" s="906"/>
      <c r="E271" s="906"/>
      <c r="F271" s="906"/>
      <c r="G271" s="557" t="s">
        <v>356</v>
      </c>
      <c r="H271" s="557" t="s">
        <v>356</v>
      </c>
      <c r="I271" s="901" t="s">
        <v>2</v>
      </c>
      <c r="J271" s="890">
        <f t="shared" ref="J271:W271" si="55">J268+J270</f>
        <v>1000000</v>
      </c>
      <c r="K271" s="890">
        <f t="shared" si="55"/>
        <v>0</v>
      </c>
      <c r="L271" s="890">
        <f t="shared" si="55"/>
        <v>0</v>
      </c>
      <c r="M271" s="890">
        <f t="shared" si="55"/>
        <v>0</v>
      </c>
      <c r="N271" s="890">
        <f t="shared" si="55"/>
        <v>1000000</v>
      </c>
      <c r="O271" s="890">
        <f t="shared" si="55"/>
        <v>1000000</v>
      </c>
      <c r="P271" s="890">
        <f t="shared" si="55"/>
        <v>1000000</v>
      </c>
      <c r="Q271" s="890">
        <f t="shared" si="55"/>
        <v>0</v>
      </c>
      <c r="R271" s="890">
        <f t="shared" si="55"/>
        <v>0</v>
      </c>
      <c r="S271" s="890">
        <f t="shared" si="55"/>
        <v>0</v>
      </c>
      <c r="T271" s="890">
        <f t="shared" si="55"/>
        <v>0</v>
      </c>
      <c r="U271" s="890">
        <f t="shared" si="55"/>
        <v>0</v>
      </c>
      <c r="V271" s="890">
        <f t="shared" si="55"/>
        <v>0</v>
      </c>
      <c r="W271" s="890">
        <f t="shared" si="55"/>
        <v>0</v>
      </c>
    </row>
    <row r="272" spans="1:23" s="558" customFormat="1" ht="14.25" hidden="1" customHeight="1">
      <c r="A272" s="903"/>
      <c r="B272" s="904"/>
      <c r="C272" s="905"/>
      <c r="D272" s="906"/>
      <c r="E272" s="906"/>
      <c r="F272" s="906"/>
      <c r="G272" s="557" t="s">
        <v>356</v>
      </c>
      <c r="H272" s="557" t="s">
        <v>356</v>
      </c>
      <c r="I272" s="902"/>
      <c r="J272" s="891"/>
      <c r="K272" s="891"/>
      <c r="L272" s="891"/>
      <c r="M272" s="891"/>
      <c r="N272" s="891"/>
      <c r="O272" s="891"/>
      <c r="P272" s="891"/>
      <c r="Q272" s="891"/>
      <c r="R272" s="891"/>
      <c r="S272" s="891"/>
      <c r="T272" s="891"/>
      <c r="U272" s="891"/>
      <c r="V272" s="891"/>
      <c r="W272" s="891"/>
    </row>
    <row r="273" spans="1:23" s="563" customFormat="1">
      <c r="A273" s="892" t="s">
        <v>1024</v>
      </c>
      <c r="B273" s="893"/>
      <c r="C273" s="893"/>
      <c r="D273" s="893"/>
      <c r="E273" s="893"/>
      <c r="F273" s="894"/>
      <c r="G273" s="562" t="s">
        <v>356</v>
      </c>
      <c r="H273" s="562" t="s">
        <v>356</v>
      </c>
      <c r="I273" s="888" t="s">
        <v>0</v>
      </c>
      <c r="J273" s="886">
        <f>J228+J233+J238+J243+J248+J253+J258+J263+J268</f>
        <v>34324863</v>
      </c>
      <c r="K273" s="886">
        <f t="shared" ref="K273:W273" si="56">K228+K233+K238+K243+K248+K253+K258+K263+K268</f>
        <v>0</v>
      </c>
      <c r="L273" s="886">
        <f t="shared" si="56"/>
        <v>0</v>
      </c>
      <c r="M273" s="886">
        <f t="shared" si="56"/>
        <v>0</v>
      </c>
      <c r="N273" s="886">
        <f t="shared" si="56"/>
        <v>34324863</v>
      </c>
      <c r="O273" s="886">
        <f t="shared" si="56"/>
        <v>34324863</v>
      </c>
      <c r="P273" s="886">
        <f t="shared" si="56"/>
        <v>13343702</v>
      </c>
      <c r="Q273" s="886">
        <f t="shared" si="56"/>
        <v>20981161</v>
      </c>
      <c r="R273" s="886">
        <f t="shared" si="56"/>
        <v>0</v>
      </c>
      <c r="S273" s="886">
        <f t="shared" si="56"/>
        <v>0</v>
      </c>
      <c r="T273" s="886">
        <f t="shared" si="56"/>
        <v>0</v>
      </c>
      <c r="U273" s="886">
        <f t="shared" si="56"/>
        <v>0</v>
      </c>
      <c r="V273" s="886">
        <f t="shared" si="56"/>
        <v>0</v>
      </c>
      <c r="W273" s="886">
        <f t="shared" si="56"/>
        <v>0</v>
      </c>
    </row>
    <row r="274" spans="1:23" s="563" customFormat="1">
      <c r="A274" s="895"/>
      <c r="B274" s="896"/>
      <c r="C274" s="896"/>
      <c r="D274" s="896"/>
      <c r="E274" s="896"/>
      <c r="F274" s="897"/>
      <c r="G274" s="562" t="s">
        <v>356</v>
      </c>
      <c r="H274" s="562" t="s">
        <v>356</v>
      </c>
      <c r="I274" s="889"/>
      <c r="J274" s="887"/>
      <c r="K274" s="887"/>
      <c r="L274" s="887"/>
      <c r="M274" s="887"/>
      <c r="N274" s="887"/>
      <c r="O274" s="887"/>
      <c r="P274" s="887"/>
      <c r="Q274" s="887"/>
      <c r="R274" s="887"/>
      <c r="S274" s="887"/>
      <c r="T274" s="887"/>
      <c r="U274" s="887"/>
      <c r="V274" s="887"/>
      <c r="W274" s="887"/>
    </row>
    <row r="275" spans="1:23" s="563" customFormat="1">
      <c r="A275" s="895"/>
      <c r="B275" s="896"/>
      <c r="C275" s="896"/>
      <c r="D275" s="896"/>
      <c r="E275" s="896"/>
      <c r="F275" s="897"/>
      <c r="G275" s="562" t="s">
        <v>356</v>
      </c>
      <c r="H275" s="562" t="s">
        <v>356</v>
      </c>
      <c r="I275" s="564" t="s">
        <v>1</v>
      </c>
      <c r="J275" s="565">
        <f>J230+J235+J240+J245+J250+J255+J260+J265+J270</f>
        <v>-940109</v>
      </c>
      <c r="K275" s="565">
        <f t="shared" ref="K275:W275" si="57">K230+K235+K240+K245+K250+K255+K260+K265+K270</f>
        <v>0</v>
      </c>
      <c r="L275" s="565">
        <f t="shared" si="57"/>
        <v>0</v>
      </c>
      <c r="M275" s="565">
        <f t="shared" si="57"/>
        <v>0</v>
      </c>
      <c r="N275" s="565">
        <f t="shared" si="57"/>
        <v>-940109</v>
      </c>
      <c r="O275" s="565">
        <f t="shared" si="57"/>
        <v>-940109</v>
      </c>
      <c r="P275" s="565">
        <f t="shared" si="57"/>
        <v>969556</v>
      </c>
      <c r="Q275" s="565">
        <f t="shared" si="57"/>
        <v>-1909665</v>
      </c>
      <c r="R275" s="565">
        <f t="shared" si="57"/>
        <v>0</v>
      </c>
      <c r="S275" s="565">
        <f t="shared" si="57"/>
        <v>0</v>
      </c>
      <c r="T275" s="565">
        <f t="shared" si="57"/>
        <v>0</v>
      </c>
      <c r="U275" s="565">
        <f t="shared" si="57"/>
        <v>0</v>
      </c>
      <c r="V275" s="565">
        <f t="shared" si="57"/>
        <v>0</v>
      </c>
      <c r="W275" s="565">
        <f t="shared" si="57"/>
        <v>0</v>
      </c>
    </row>
    <row r="276" spans="1:23" s="563" customFormat="1">
      <c r="A276" s="895"/>
      <c r="B276" s="896"/>
      <c r="C276" s="896"/>
      <c r="D276" s="896"/>
      <c r="E276" s="896"/>
      <c r="F276" s="897"/>
      <c r="G276" s="562" t="s">
        <v>356</v>
      </c>
      <c r="H276" s="562" t="s">
        <v>356</v>
      </c>
      <c r="I276" s="888" t="s">
        <v>2</v>
      </c>
      <c r="J276" s="886">
        <f>J273+J275</f>
        <v>33384754</v>
      </c>
      <c r="K276" s="886">
        <f t="shared" ref="K276:W276" si="58">K273+K275</f>
        <v>0</v>
      </c>
      <c r="L276" s="886">
        <f t="shared" si="58"/>
        <v>0</v>
      </c>
      <c r="M276" s="886">
        <f t="shared" si="58"/>
        <v>0</v>
      </c>
      <c r="N276" s="886">
        <f t="shared" si="58"/>
        <v>33384754</v>
      </c>
      <c r="O276" s="886">
        <f t="shared" si="58"/>
        <v>33384754</v>
      </c>
      <c r="P276" s="886">
        <f t="shared" si="58"/>
        <v>14313258</v>
      </c>
      <c r="Q276" s="886">
        <f t="shared" si="58"/>
        <v>19071496</v>
      </c>
      <c r="R276" s="886">
        <f t="shared" si="58"/>
        <v>0</v>
      </c>
      <c r="S276" s="886">
        <f t="shared" si="58"/>
        <v>0</v>
      </c>
      <c r="T276" s="886">
        <f t="shared" si="58"/>
        <v>0</v>
      </c>
      <c r="U276" s="886">
        <f t="shared" si="58"/>
        <v>0</v>
      </c>
      <c r="V276" s="886">
        <f t="shared" si="58"/>
        <v>0</v>
      </c>
      <c r="W276" s="886">
        <f t="shared" si="58"/>
        <v>0</v>
      </c>
    </row>
    <row r="277" spans="1:23" s="563" customFormat="1">
      <c r="A277" s="898"/>
      <c r="B277" s="899"/>
      <c r="C277" s="899"/>
      <c r="D277" s="899"/>
      <c r="E277" s="899"/>
      <c r="F277" s="900"/>
      <c r="G277" s="562" t="s">
        <v>356</v>
      </c>
      <c r="H277" s="562" t="s">
        <v>356</v>
      </c>
      <c r="I277" s="889"/>
      <c r="J277" s="887"/>
      <c r="K277" s="887"/>
      <c r="L277" s="887"/>
      <c r="M277" s="887"/>
      <c r="N277" s="887"/>
      <c r="O277" s="887"/>
      <c r="P277" s="887"/>
      <c r="Q277" s="887"/>
      <c r="R277" s="887"/>
      <c r="S277" s="887"/>
      <c r="T277" s="887"/>
      <c r="U277" s="887"/>
      <c r="V277" s="887"/>
      <c r="W277" s="887"/>
    </row>
    <row r="278" spans="1:23" s="563" customFormat="1" ht="19.5" customHeight="1">
      <c r="A278" s="877" t="s">
        <v>920</v>
      </c>
      <c r="B278" s="878"/>
      <c r="C278" s="878"/>
      <c r="D278" s="878"/>
      <c r="E278" s="878"/>
      <c r="F278" s="879"/>
      <c r="G278" s="566">
        <f t="shared" ref="G278:H282" si="59">G220+G177</f>
        <v>899607525</v>
      </c>
      <c r="H278" s="566">
        <f t="shared" si="59"/>
        <v>160895879</v>
      </c>
      <c r="I278" s="875" t="s">
        <v>0</v>
      </c>
      <c r="J278" s="873">
        <f>J177+J220+J273</f>
        <v>346893667</v>
      </c>
      <c r="K278" s="873">
        <f t="shared" ref="K278:W278" si="60">K177+K220+K273</f>
        <v>270858912</v>
      </c>
      <c r="L278" s="873">
        <f t="shared" si="60"/>
        <v>176476029</v>
      </c>
      <c r="M278" s="873">
        <f t="shared" si="60"/>
        <v>94382883</v>
      </c>
      <c r="N278" s="873">
        <f t="shared" si="60"/>
        <v>76034755</v>
      </c>
      <c r="O278" s="873">
        <f t="shared" si="60"/>
        <v>50576268</v>
      </c>
      <c r="P278" s="873">
        <f t="shared" si="60"/>
        <v>21401969</v>
      </c>
      <c r="Q278" s="873">
        <f t="shared" si="60"/>
        <v>29174299</v>
      </c>
      <c r="R278" s="873">
        <f t="shared" si="60"/>
        <v>25180515</v>
      </c>
      <c r="S278" s="873">
        <f t="shared" si="60"/>
        <v>18097846</v>
      </c>
      <c r="T278" s="873">
        <f t="shared" si="60"/>
        <v>7082669</v>
      </c>
      <c r="U278" s="873">
        <f t="shared" si="60"/>
        <v>277972</v>
      </c>
      <c r="V278" s="873">
        <f t="shared" si="60"/>
        <v>277972</v>
      </c>
      <c r="W278" s="873">
        <f t="shared" si="60"/>
        <v>0</v>
      </c>
    </row>
    <row r="279" spans="1:23" s="563" customFormat="1" ht="19.5" customHeight="1">
      <c r="A279" s="880"/>
      <c r="B279" s="881"/>
      <c r="C279" s="881"/>
      <c r="D279" s="881"/>
      <c r="E279" s="881"/>
      <c r="F279" s="882"/>
      <c r="G279" s="566">
        <f t="shared" si="59"/>
        <v>779238804</v>
      </c>
      <c r="H279" s="566">
        <f t="shared" si="59"/>
        <v>139972342</v>
      </c>
      <c r="I279" s="876"/>
      <c r="J279" s="874"/>
      <c r="K279" s="874"/>
      <c r="L279" s="874"/>
      <c r="M279" s="874"/>
      <c r="N279" s="874"/>
      <c r="O279" s="874"/>
      <c r="P279" s="874"/>
      <c r="Q279" s="874"/>
      <c r="R279" s="874"/>
      <c r="S279" s="874"/>
      <c r="T279" s="874"/>
      <c r="U279" s="874"/>
      <c r="V279" s="874"/>
      <c r="W279" s="874"/>
    </row>
    <row r="280" spans="1:23" s="563" customFormat="1" ht="19.5" customHeight="1">
      <c r="A280" s="880"/>
      <c r="B280" s="881"/>
      <c r="C280" s="881"/>
      <c r="D280" s="881"/>
      <c r="E280" s="881"/>
      <c r="F280" s="882"/>
      <c r="G280" s="566">
        <f t="shared" si="59"/>
        <v>31978963</v>
      </c>
      <c r="H280" s="566">
        <f t="shared" si="59"/>
        <v>6303444</v>
      </c>
      <c r="I280" s="567" t="s">
        <v>1</v>
      </c>
      <c r="J280" s="568">
        <f>J179+J222+J275</f>
        <v>7754547</v>
      </c>
      <c r="K280" s="568">
        <f t="shared" ref="K280:W280" si="61">K179+K222+K275</f>
        <v>7435698</v>
      </c>
      <c r="L280" s="568">
        <f t="shared" si="61"/>
        <v>8240961</v>
      </c>
      <c r="M280" s="568">
        <f t="shared" si="61"/>
        <v>-805263</v>
      </c>
      <c r="N280" s="568">
        <f t="shared" si="61"/>
        <v>318849</v>
      </c>
      <c r="O280" s="568">
        <f t="shared" si="61"/>
        <v>-814152</v>
      </c>
      <c r="P280" s="568">
        <f t="shared" si="61"/>
        <v>1190250</v>
      </c>
      <c r="Q280" s="568">
        <f t="shared" si="61"/>
        <v>-2004402</v>
      </c>
      <c r="R280" s="568">
        <f t="shared" si="61"/>
        <v>1133001</v>
      </c>
      <c r="S280" s="568">
        <f t="shared" si="61"/>
        <v>1007801</v>
      </c>
      <c r="T280" s="568">
        <f t="shared" si="61"/>
        <v>125200</v>
      </c>
      <c r="U280" s="568">
        <f t="shared" si="61"/>
        <v>0</v>
      </c>
      <c r="V280" s="568">
        <f t="shared" si="61"/>
        <v>0</v>
      </c>
      <c r="W280" s="568">
        <f t="shared" si="61"/>
        <v>0</v>
      </c>
    </row>
    <row r="281" spans="1:23" s="563" customFormat="1" ht="19.5" customHeight="1">
      <c r="A281" s="880"/>
      <c r="B281" s="881"/>
      <c r="C281" s="881"/>
      <c r="D281" s="881"/>
      <c r="E281" s="881"/>
      <c r="F281" s="882"/>
      <c r="G281" s="566">
        <f t="shared" si="59"/>
        <v>87568905</v>
      </c>
      <c r="H281" s="566">
        <f t="shared" si="59"/>
        <v>14620093</v>
      </c>
      <c r="I281" s="875" t="s">
        <v>2</v>
      </c>
      <c r="J281" s="873">
        <f t="shared" ref="J281:W281" si="62">J278+J280</f>
        <v>354648214</v>
      </c>
      <c r="K281" s="873">
        <f t="shared" si="62"/>
        <v>278294610</v>
      </c>
      <c r="L281" s="873">
        <f t="shared" si="62"/>
        <v>184716990</v>
      </c>
      <c r="M281" s="873">
        <f t="shared" si="62"/>
        <v>93577620</v>
      </c>
      <c r="N281" s="873">
        <f t="shared" si="62"/>
        <v>76353604</v>
      </c>
      <c r="O281" s="873">
        <f t="shared" si="62"/>
        <v>49762116</v>
      </c>
      <c r="P281" s="873">
        <f t="shared" si="62"/>
        <v>22592219</v>
      </c>
      <c r="Q281" s="873">
        <f t="shared" si="62"/>
        <v>27169897</v>
      </c>
      <c r="R281" s="873">
        <f t="shared" si="62"/>
        <v>26313516</v>
      </c>
      <c r="S281" s="873">
        <f t="shared" si="62"/>
        <v>19105647</v>
      </c>
      <c r="T281" s="873">
        <f t="shared" si="62"/>
        <v>7207869</v>
      </c>
      <c r="U281" s="873">
        <f t="shared" si="62"/>
        <v>277972</v>
      </c>
      <c r="V281" s="873">
        <f t="shared" si="62"/>
        <v>277972</v>
      </c>
      <c r="W281" s="873">
        <f t="shared" si="62"/>
        <v>0</v>
      </c>
    </row>
    <row r="282" spans="1:23" s="563" customFormat="1" ht="19.5" customHeight="1">
      <c r="A282" s="883"/>
      <c r="B282" s="884"/>
      <c r="C282" s="884"/>
      <c r="D282" s="884"/>
      <c r="E282" s="884"/>
      <c r="F282" s="885"/>
      <c r="G282" s="566">
        <f t="shared" si="59"/>
        <v>820853</v>
      </c>
      <c r="H282" s="566">
        <f t="shared" si="59"/>
        <v>0</v>
      </c>
      <c r="I282" s="876"/>
      <c r="J282" s="874"/>
      <c r="K282" s="874"/>
      <c r="L282" s="874"/>
      <c r="M282" s="874"/>
      <c r="N282" s="874"/>
      <c r="O282" s="874"/>
      <c r="P282" s="874"/>
      <c r="Q282" s="874"/>
      <c r="R282" s="874"/>
      <c r="S282" s="874"/>
      <c r="T282" s="874"/>
      <c r="U282" s="874"/>
      <c r="V282" s="874"/>
      <c r="W282" s="874"/>
    </row>
    <row r="283" spans="1:23" ht="9" customHeight="1">
      <c r="G283" s="570"/>
    </row>
    <row r="284" spans="1:23" ht="11.25" customHeight="1">
      <c r="A284" s="571" t="s">
        <v>94</v>
      </c>
      <c r="B284" s="572"/>
      <c r="G284" s="570"/>
    </row>
    <row r="285" spans="1:23">
      <c r="A285" s="573" t="s">
        <v>0</v>
      </c>
      <c r="B285" s="574" t="s">
        <v>101</v>
      </c>
      <c r="G285" s="570"/>
    </row>
    <row r="286" spans="1:23">
      <c r="A286" s="573" t="s">
        <v>1</v>
      </c>
      <c r="B286" s="574" t="s">
        <v>562</v>
      </c>
      <c r="G286" s="570"/>
    </row>
    <row r="287" spans="1:23">
      <c r="A287" s="573" t="s">
        <v>2</v>
      </c>
      <c r="B287" s="574" t="s">
        <v>1043</v>
      </c>
      <c r="G287" s="570"/>
    </row>
    <row r="288" spans="1:23">
      <c r="G288" s="570"/>
    </row>
    <row r="289" spans="7:7">
      <c r="G289" s="570"/>
    </row>
    <row r="290" spans="7:7">
      <c r="G290" s="570"/>
    </row>
    <row r="291" spans="7:7">
      <c r="G291" s="570"/>
    </row>
    <row r="292" spans="7:7">
      <c r="G292" s="570"/>
    </row>
    <row r="293" spans="7:7">
      <c r="G293" s="570"/>
    </row>
    <row r="294" spans="7:7">
      <c r="G294" s="570"/>
    </row>
    <row r="295" spans="7:7">
      <c r="G295" s="570"/>
    </row>
    <row r="296" spans="7:7">
      <c r="G296" s="570"/>
    </row>
    <row r="297" spans="7:7">
      <c r="G297" s="570"/>
    </row>
    <row r="298" spans="7:7">
      <c r="G298" s="570"/>
    </row>
    <row r="299" spans="7:7">
      <c r="G299" s="570"/>
    </row>
    <row r="300" spans="7:7">
      <c r="G300" s="570"/>
    </row>
    <row r="301" spans="7:7">
      <c r="G301" s="570"/>
    </row>
    <row r="302" spans="7:7">
      <c r="G302" s="570"/>
    </row>
    <row r="303" spans="7:7">
      <c r="G303" s="570"/>
    </row>
    <row r="304" spans="7:7">
      <c r="G304" s="570"/>
    </row>
    <row r="305" spans="7:7">
      <c r="G305" s="570"/>
    </row>
    <row r="306" spans="7:7">
      <c r="G306" s="570"/>
    </row>
    <row r="307" spans="7:7">
      <c r="G307" s="570"/>
    </row>
    <row r="308" spans="7:7">
      <c r="G308" s="570"/>
    </row>
    <row r="309" spans="7:7">
      <c r="G309" s="570"/>
    </row>
    <row r="310" spans="7:7">
      <c r="G310" s="570"/>
    </row>
    <row r="311" spans="7:7">
      <c r="G311" s="570"/>
    </row>
    <row r="312" spans="7:7">
      <c r="G312" s="570"/>
    </row>
    <row r="313" spans="7:7">
      <c r="G313" s="570"/>
    </row>
    <row r="314" spans="7:7">
      <c r="G314" s="570"/>
    </row>
    <row r="315" spans="7:7">
      <c r="G315" s="570"/>
    </row>
    <row r="316" spans="7:7">
      <c r="G316" s="570"/>
    </row>
    <row r="317" spans="7:7">
      <c r="G317" s="570"/>
    </row>
  </sheetData>
  <sheetProtection algorithmName="SHA-512" hashValue="CJe4p7uTFNpc4+Csr+XHW2nlXnldHArH80H7V5hGXDN8YjcvVxgbLlcE7fxYHO4VgyTFvgHiK7uXgmAt5ZhLxA==" saltValue="4yftLhBqNKwK9ccreheQrw==" spinCount="100000" sheet="1" objects="1" scenarios="1"/>
  <mergeCells count="1894"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  <mergeCell ref="W25:W26"/>
    <mergeCell ref="W22:W23"/>
    <mergeCell ref="I17:I18"/>
    <mergeCell ref="J17:J18"/>
    <mergeCell ref="K17:K18"/>
    <mergeCell ref="L17:L18"/>
    <mergeCell ref="M17:M18"/>
    <mergeCell ref="N17:N18"/>
    <mergeCell ref="A17:A21"/>
    <mergeCell ref="B17:B21"/>
    <mergeCell ref="C17:C21"/>
    <mergeCell ref="D17:D21"/>
    <mergeCell ref="E17:E21"/>
    <mergeCell ref="F17:F21"/>
    <mergeCell ref="U11:U12"/>
    <mergeCell ref="V11:V12"/>
    <mergeCell ref="W11:W12"/>
    <mergeCell ref="A14:W14"/>
    <mergeCell ref="A15:W15"/>
    <mergeCell ref="A16:W16"/>
    <mergeCell ref="V20:V21"/>
    <mergeCell ref="W20:W21"/>
    <mergeCell ref="P20:P21"/>
    <mergeCell ref="Q20:Q21"/>
    <mergeCell ref="R20:R21"/>
    <mergeCell ref="S20:S21"/>
    <mergeCell ref="T20:T21"/>
    <mergeCell ref="U20:U21"/>
    <mergeCell ref="U17:U18"/>
    <mergeCell ref="V17:V18"/>
    <mergeCell ref="W17:W18"/>
    <mergeCell ref="I20:I21"/>
    <mergeCell ref="J20:J21"/>
    <mergeCell ref="K20:K21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T17:T18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A22:A26"/>
    <mergeCell ref="B22:B26"/>
    <mergeCell ref="C22:C26"/>
    <mergeCell ref="D22:D26"/>
    <mergeCell ref="E22:E26"/>
    <mergeCell ref="F22:F26"/>
    <mergeCell ref="I22:I23"/>
    <mergeCell ref="J22:J23"/>
    <mergeCell ref="I27:I28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R25:R26"/>
    <mergeCell ref="S25:S26"/>
    <mergeCell ref="T25:T26"/>
    <mergeCell ref="U25:U26"/>
    <mergeCell ref="V25:V26"/>
    <mergeCell ref="V30:V31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I37:I38"/>
    <mergeCell ref="J37:J38"/>
    <mergeCell ref="K37:K38"/>
    <mergeCell ref="L37:L38"/>
    <mergeCell ref="M37:M38"/>
    <mergeCell ref="N37:N38"/>
    <mergeCell ref="A37:A41"/>
    <mergeCell ref="B37:B41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U37:U38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I47:I48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V50:V51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I57:I58"/>
    <mergeCell ref="J57:J58"/>
    <mergeCell ref="K57:K58"/>
    <mergeCell ref="L57:L58"/>
    <mergeCell ref="M57:M58"/>
    <mergeCell ref="N57:N58"/>
    <mergeCell ref="A57:A61"/>
    <mergeCell ref="B57:B61"/>
    <mergeCell ref="C57:C61"/>
    <mergeCell ref="D57:D61"/>
    <mergeCell ref="E57:E61"/>
    <mergeCell ref="F57:F61"/>
    <mergeCell ref="R55:R56"/>
    <mergeCell ref="S55:S56"/>
    <mergeCell ref="T55:T56"/>
    <mergeCell ref="U55:U56"/>
    <mergeCell ref="V55:V56"/>
    <mergeCell ref="V60:V61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I67:I68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I77:I78"/>
    <mergeCell ref="J77:J78"/>
    <mergeCell ref="K77:K78"/>
    <mergeCell ref="L77:L78"/>
    <mergeCell ref="M77:M78"/>
    <mergeCell ref="N77:N78"/>
    <mergeCell ref="A77:A81"/>
    <mergeCell ref="B77:B81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V80:V81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W85:W86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I87:I88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R85:R86"/>
    <mergeCell ref="S85:S86"/>
    <mergeCell ref="T85:T86"/>
    <mergeCell ref="U85:U86"/>
    <mergeCell ref="V85:V86"/>
    <mergeCell ref="V90:V91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W95:W96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I97:I98"/>
    <mergeCell ref="J97:J98"/>
    <mergeCell ref="K97:K98"/>
    <mergeCell ref="L97:L98"/>
    <mergeCell ref="M97:M98"/>
    <mergeCell ref="N97:N98"/>
    <mergeCell ref="A97:A101"/>
    <mergeCell ref="B97:B101"/>
    <mergeCell ref="C97:C101"/>
    <mergeCell ref="D97:D101"/>
    <mergeCell ref="E97:E101"/>
    <mergeCell ref="F97:F101"/>
    <mergeCell ref="R95:R96"/>
    <mergeCell ref="S95:S96"/>
    <mergeCell ref="T95:T96"/>
    <mergeCell ref="U95:U96"/>
    <mergeCell ref="V95:V96"/>
    <mergeCell ref="V100:V101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U97:U98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W105:W106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I107:I108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V110:V111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W115:W116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I117:I118"/>
    <mergeCell ref="J117:J118"/>
    <mergeCell ref="K117:K118"/>
    <mergeCell ref="L117:L118"/>
    <mergeCell ref="M117:M118"/>
    <mergeCell ref="N117:N118"/>
    <mergeCell ref="A117:A121"/>
    <mergeCell ref="B117:B121"/>
    <mergeCell ref="C117:C121"/>
    <mergeCell ref="D117:D121"/>
    <mergeCell ref="E117:E121"/>
    <mergeCell ref="F117:F121"/>
    <mergeCell ref="R115:R116"/>
    <mergeCell ref="S115:S116"/>
    <mergeCell ref="T115:T116"/>
    <mergeCell ref="U115:U116"/>
    <mergeCell ref="V115:V116"/>
    <mergeCell ref="V120:V121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W125:W126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I127:I128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R125:R126"/>
    <mergeCell ref="S125:S126"/>
    <mergeCell ref="T125:T126"/>
    <mergeCell ref="U125:U126"/>
    <mergeCell ref="V125:V126"/>
    <mergeCell ref="V130:V131"/>
    <mergeCell ref="W130:W131"/>
    <mergeCell ref="A132:A136"/>
    <mergeCell ref="B132:B136"/>
    <mergeCell ref="C132:C136"/>
    <mergeCell ref="D132:D136"/>
    <mergeCell ref="E132:E136"/>
    <mergeCell ref="F132:F136"/>
    <mergeCell ref="I132:I133"/>
    <mergeCell ref="J132:J133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W135:W136"/>
    <mergeCell ref="W132:W133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I137:I138"/>
    <mergeCell ref="J137:J138"/>
    <mergeCell ref="K137:K138"/>
    <mergeCell ref="L137:L138"/>
    <mergeCell ref="M137:M138"/>
    <mergeCell ref="N137:N138"/>
    <mergeCell ref="A137:A141"/>
    <mergeCell ref="B137:B141"/>
    <mergeCell ref="C137:C141"/>
    <mergeCell ref="D137:D141"/>
    <mergeCell ref="E137:E141"/>
    <mergeCell ref="F137:F141"/>
    <mergeCell ref="R135:R136"/>
    <mergeCell ref="S135:S136"/>
    <mergeCell ref="T135:T136"/>
    <mergeCell ref="U135:U136"/>
    <mergeCell ref="V135:V136"/>
    <mergeCell ref="V140:V141"/>
    <mergeCell ref="W140:W141"/>
    <mergeCell ref="A142:A146"/>
    <mergeCell ref="B142:B146"/>
    <mergeCell ref="C142:C146"/>
    <mergeCell ref="D142:D146"/>
    <mergeCell ref="E142:E146"/>
    <mergeCell ref="F142:F146"/>
    <mergeCell ref="I142:I143"/>
    <mergeCell ref="J142:J143"/>
    <mergeCell ref="P140:P141"/>
    <mergeCell ref="Q140:Q141"/>
    <mergeCell ref="R140:R141"/>
    <mergeCell ref="S140:S141"/>
    <mergeCell ref="T140:T141"/>
    <mergeCell ref="U140:U141"/>
    <mergeCell ref="U137:U138"/>
    <mergeCell ref="V137:V138"/>
    <mergeCell ref="W137:W138"/>
    <mergeCell ref="I140:I141"/>
    <mergeCell ref="J140:J141"/>
    <mergeCell ref="K140:K141"/>
    <mergeCell ref="L140:L141"/>
    <mergeCell ref="M140:M141"/>
    <mergeCell ref="N140:N141"/>
    <mergeCell ref="O140:O141"/>
    <mergeCell ref="O137:O138"/>
    <mergeCell ref="P137:P138"/>
    <mergeCell ref="Q137:Q138"/>
    <mergeCell ref="R137:R138"/>
    <mergeCell ref="S137:S138"/>
    <mergeCell ref="T137:T138"/>
    <mergeCell ref="W145:W146"/>
    <mergeCell ref="W142:W143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I147:I148"/>
    <mergeCell ref="J147:J148"/>
    <mergeCell ref="K147:K148"/>
    <mergeCell ref="L147:L148"/>
    <mergeCell ref="M147:M148"/>
    <mergeCell ref="N147:N148"/>
    <mergeCell ref="A147:A151"/>
    <mergeCell ref="B147:B151"/>
    <mergeCell ref="C147:C151"/>
    <mergeCell ref="D147:D151"/>
    <mergeCell ref="E147:E151"/>
    <mergeCell ref="F147:F151"/>
    <mergeCell ref="R145:R146"/>
    <mergeCell ref="S145:S146"/>
    <mergeCell ref="T145:T146"/>
    <mergeCell ref="U145:U146"/>
    <mergeCell ref="V145:V146"/>
    <mergeCell ref="V150:V151"/>
    <mergeCell ref="W150:W151"/>
    <mergeCell ref="A152:A156"/>
    <mergeCell ref="B152:B156"/>
    <mergeCell ref="C152:C156"/>
    <mergeCell ref="D152:D156"/>
    <mergeCell ref="E152:E156"/>
    <mergeCell ref="F152:F156"/>
    <mergeCell ref="I152:I153"/>
    <mergeCell ref="J152:J153"/>
    <mergeCell ref="P150:P151"/>
    <mergeCell ref="Q150:Q151"/>
    <mergeCell ref="R150:R151"/>
    <mergeCell ref="S150:S151"/>
    <mergeCell ref="T150:T151"/>
    <mergeCell ref="U150:U151"/>
    <mergeCell ref="U147:U148"/>
    <mergeCell ref="V147:V148"/>
    <mergeCell ref="W147:W148"/>
    <mergeCell ref="I150:I151"/>
    <mergeCell ref="J150:J151"/>
    <mergeCell ref="K150:K151"/>
    <mergeCell ref="L150:L151"/>
    <mergeCell ref="M150:M151"/>
    <mergeCell ref="N150:N151"/>
    <mergeCell ref="O150:O151"/>
    <mergeCell ref="O147:O148"/>
    <mergeCell ref="P147:P148"/>
    <mergeCell ref="Q147:Q148"/>
    <mergeCell ref="R147:R148"/>
    <mergeCell ref="S147:S148"/>
    <mergeCell ref="T147:T148"/>
    <mergeCell ref="W155:W156"/>
    <mergeCell ref="W152:W153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I157:I158"/>
    <mergeCell ref="J157:J158"/>
    <mergeCell ref="K157:K158"/>
    <mergeCell ref="L157:L158"/>
    <mergeCell ref="M157:M158"/>
    <mergeCell ref="N157:N158"/>
    <mergeCell ref="A157:A161"/>
    <mergeCell ref="B157:B161"/>
    <mergeCell ref="C157:C161"/>
    <mergeCell ref="D157:D161"/>
    <mergeCell ref="E157:E161"/>
    <mergeCell ref="F157:F161"/>
    <mergeCell ref="R155:R156"/>
    <mergeCell ref="S155:S156"/>
    <mergeCell ref="T155:T156"/>
    <mergeCell ref="U155:U156"/>
    <mergeCell ref="V155:V156"/>
    <mergeCell ref="V160:V161"/>
    <mergeCell ref="W160:W161"/>
    <mergeCell ref="A162:A166"/>
    <mergeCell ref="B162:B166"/>
    <mergeCell ref="C162:C166"/>
    <mergeCell ref="D162:D166"/>
    <mergeCell ref="E162:E166"/>
    <mergeCell ref="F162:F166"/>
    <mergeCell ref="I162:I163"/>
    <mergeCell ref="J162:J163"/>
    <mergeCell ref="P160:P161"/>
    <mergeCell ref="Q160:Q161"/>
    <mergeCell ref="R160:R161"/>
    <mergeCell ref="S160:S161"/>
    <mergeCell ref="T160:T161"/>
    <mergeCell ref="U160:U161"/>
    <mergeCell ref="U157:U158"/>
    <mergeCell ref="V157:V158"/>
    <mergeCell ref="W157:W158"/>
    <mergeCell ref="I160:I161"/>
    <mergeCell ref="J160:J161"/>
    <mergeCell ref="K160:K161"/>
    <mergeCell ref="L160:L161"/>
    <mergeCell ref="M160:M161"/>
    <mergeCell ref="N160:N161"/>
    <mergeCell ref="O160:O161"/>
    <mergeCell ref="O157:O158"/>
    <mergeCell ref="P157:P158"/>
    <mergeCell ref="Q157:Q158"/>
    <mergeCell ref="R157:R158"/>
    <mergeCell ref="S157:S158"/>
    <mergeCell ref="T157:T158"/>
    <mergeCell ref="W165:W166"/>
    <mergeCell ref="W162:W163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I167:I168"/>
    <mergeCell ref="J167:J168"/>
    <mergeCell ref="K167:K168"/>
    <mergeCell ref="L167:L168"/>
    <mergeCell ref="M167:M168"/>
    <mergeCell ref="N167:N168"/>
    <mergeCell ref="A167:A171"/>
    <mergeCell ref="B167:B171"/>
    <mergeCell ref="C167:C171"/>
    <mergeCell ref="D167:D171"/>
    <mergeCell ref="E167:E171"/>
    <mergeCell ref="F167:F171"/>
    <mergeCell ref="R165:R166"/>
    <mergeCell ref="S165:S166"/>
    <mergeCell ref="T165:T166"/>
    <mergeCell ref="U165:U166"/>
    <mergeCell ref="V165:V166"/>
    <mergeCell ref="V170:V171"/>
    <mergeCell ref="W170:W171"/>
    <mergeCell ref="A172:A176"/>
    <mergeCell ref="B172:B176"/>
    <mergeCell ref="C172:C176"/>
    <mergeCell ref="D172:D176"/>
    <mergeCell ref="E172:E176"/>
    <mergeCell ref="F172:F176"/>
    <mergeCell ref="I172:I173"/>
    <mergeCell ref="J172:J173"/>
    <mergeCell ref="P170:P171"/>
    <mergeCell ref="Q170:Q171"/>
    <mergeCell ref="R170:R171"/>
    <mergeCell ref="S170:S171"/>
    <mergeCell ref="T170:T171"/>
    <mergeCell ref="U170:U171"/>
    <mergeCell ref="U167:U168"/>
    <mergeCell ref="V167:V168"/>
    <mergeCell ref="W167:W168"/>
    <mergeCell ref="I170:I171"/>
    <mergeCell ref="J170:J171"/>
    <mergeCell ref="K170:K171"/>
    <mergeCell ref="L170:L171"/>
    <mergeCell ref="M170:M171"/>
    <mergeCell ref="N170:N171"/>
    <mergeCell ref="O170:O171"/>
    <mergeCell ref="O167:O168"/>
    <mergeCell ref="P167:P168"/>
    <mergeCell ref="Q167:Q168"/>
    <mergeCell ref="R167:R168"/>
    <mergeCell ref="S167:S168"/>
    <mergeCell ref="T167:T168"/>
    <mergeCell ref="R175:R176"/>
    <mergeCell ref="S175:S176"/>
    <mergeCell ref="T175:T176"/>
    <mergeCell ref="U175:U176"/>
    <mergeCell ref="V175:V176"/>
    <mergeCell ref="W175:W176"/>
    <mergeCell ref="W172:W173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Q175:Q176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T177:T178"/>
    <mergeCell ref="U177:U178"/>
    <mergeCell ref="V177:V178"/>
    <mergeCell ref="W177:W178"/>
    <mergeCell ref="I180:I181"/>
    <mergeCell ref="J180:J181"/>
    <mergeCell ref="K180:K181"/>
    <mergeCell ref="L180:L181"/>
    <mergeCell ref="M180:M181"/>
    <mergeCell ref="N180:N181"/>
    <mergeCell ref="N177:N178"/>
    <mergeCell ref="O177:O178"/>
    <mergeCell ref="P177:P178"/>
    <mergeCell ref="Q177:Q178"/>
    <mergeCell ref="R177:R178"/>
    <mergeCell ref="S177:S178"/>
    <mergeCell ref="A177:F181"/>
    <mergeCell ref="I177:I178"/>
    <mergeCell ref="J177:J178"/>
    <mergeCell ref="K177:K178"/>
    <mergeCell ref="L177:L178"/>
    <mergeCell ref="M177:M178"/>
    <mergeCell ref="W193:W194"/>
    <mergeCell ref="W190:W191"/>
    <mergeCell ref="I185:I186"/>
    <mergeCell ref="J185:J186"/>
    <mergeCell ref="K185:K186"/>
    <mergeCell ref="L185:L186"/>
    <mergeCell ref="M185:M186"/>
    <mergeCell ref="N185:N186"/>
    <mergeCell ref="A185:A189"/>
    <mergeCell ref="B185:B189"/>
    <mergeCell ref="C185:C189"/>
    <mergeCell ref="D185:D189"/>
    <mergeCell ref="E185:E189"/>
    <mergeCell ref="F185:F189"/>
    <mergeCell ref="U180:U181"/>
    <mergeCell ref="V180:V181"/>
    <mergeCell ref="W180:W181"/>
    <mergeCell ref="A182:W182"/>
    <mergeCell ref="A183:W183"/>
    <mergeCell ref="A184:W184"/>
    <mergeCell ref="O180:O181"/>
    <mergeCell ref="P180:P181"/>
    <mergeCell ref="Q180:Q181"/>
    <mergeCell ref="R180:R181"/>
    <mergeCell ref="S180:S181"/>
    <mergeCell ref="T180:T181"/>
    <mergeCell ref="V188:V189"/>
    <mergeCell ref="W188:W189"/>
    <mergeCell ref="P188:P189"/>
    <mergeCell ref="Q188:Q189"/>
    <mergeCell ref="R188:R189"/>
    <mergeCell ref="S188:S189"/>
    <mergeCell ref="T188:T189"/>
    <mergeCell ref="U188:U189"/>
    <mergeCell ref="U185:U186"/>
    <mergeCell ref="V185:V186"/>
    <mergeCell ref="W185:W186"/>
    <mergeCell ref="I188:I189"/>
    <mergeCell ref="J188:J189"/>
    <mergeCell ref="K188:K189"/>
    <mergeCell ref="L188:L189"/>
    <mergeCell ref="M188:M189"/>
    <mergeCell ref="N188:N189"/>
    <mergeCell ref="O188:O189"/>
    <mergeCell ref="O185:O186"/>
    <mergeCell ref="P185:P186"/>
    <mergeCell ref="Q185:Q186"/>
    <mergeCell ref="R185:R186"/>
    <mergeCell ref="S185:S186"/>
    <mergeCell ref="T185:T186"/>
    <mergeCell ref="Q190:Q191"/>
    <mergeCell ref="R190:R191"/>
    <mergeCell ref="S190:S191"/>
    <mergeCell ref="T190:T191"/>
    <mergeCell ref="U190:U191"/>
    <mergeCell ref="V190:V191"/>
    <mergeCell ref="K190:K191"/>
    <mergeCell ref="L190:L191"/>
    <mergeCell ref="M190:M191"/>
    <mergeCell ref="N190:N191"/>
    <mergeCell ref="O190:O191"/>
    <mergeCell ref="P190:P191"/>
    <mergeCell ref="A190:A194"/>
    <mergeCell ref="B190:B194"/>
    <mergeCell ref="C190:C194"/>
    <mergeCell ref="D190:D194"/>
    <mergeCell ref="E190:E194"/>
    <mergeCell ref="F190:F194"/>
    <mergeCell ref="I190:I191"/>
    <mergeCell ref="J190:J191"/>
    <mergeCell ref="I195:I196"/>
    <mergeCell ref="J195:J196"/>
    <mergeCell ref="K195:K196"/>
    <mergeCell ref="L195:L196"/>
    <mergeCell ref="M195:M196"/>
    <mergeCell ref="N195:N196"/>
    <mergeCell ref="A195:A199"/>
    <mergeCell ref="B195:B199"/>
    <mergeCell ref="C195:C199"/>
    <mergeCell ref="D195:D199"/>
    <mergeCell ref="E195:E199"/>
    <mergeCell ref="F195:F199"/>
    <mergeCell ref="R193:R194"/>
    <mergeCell ref="S193:S194"/>
    <mergeCell ref="T193:T194"/>
    <mergeCell ref="U193:U194"/>
    <mergeCell ref="V193:V194"/>
    <mergeCell ref="V198:V199"/>
    <mergeCell ref="I193:I194"/>
    <mergeCell ref="J193:J194"/>
    <mergeCell ref="K193:K194"/>
    <mergeCell ref="L193:L194"/>
    <mergeCell ref="M193:M194"/>
    <mergeCell ref="N193:N194"/>
    <mergeCell ref="O193:O194"/>
    <mergeCell ref="P193:P194"/>
    <mergeCell ref="Q193:Q194"/>
    <mergeCell ref="W198:W199"/>
    <mergeCell ref="A200:A204"/>
    <mergeCell ref="B200:B204"/>
    <mergeCell ref="C200:C204"/>
    <mergeCell ref="D200:D204"/>
    <mergeCell ref="E200:E204"/>
    <mergeCell ref="F200:F204"/>
    <mergeCell ref="I200:I201"/>
    <mergeCell ref="J200:J201"/>
    <mergeCell ref="P198:P199"/>
    <mergeCell ref="Q198:Q199"/>
    <mergeCell ref="R198:R199"/>
    <mergeCell ref="S198:S199"/>
    <mergeCell ref="T198:T199"/>
    <mergeCell ref="U198:U199"/>
    <mergeCell ref="U195:U196"/>
    <mergeCell ref="V195:V196"/>
    <mergeCell ref="W195:W196"/>
    <mergeCell ref="I198:I199"/>
    <mergeCell ref="J198:J199"/>
    <mergeCell ref="K198:K199"/>
    <mergeCell ref="L198:L199"/>
    <mergeCell ref="M198:M199"/>
    <mergeCell ref="N198:N199"/>
    <mergeCell ref="O198:O199"/>
    <mergeCell ref="O195:O196"/>
    <mergeCell ref="P195:P196"/>
    <mergeCell ref="Q195:Q196"/>
    <mergeCell ref="R195:R196"/>
    <mergeCell ref="S195:S196"/>
    <mergeCell ref="T195:T196"/>
    <mergeCell ref="R203:R204"/>
    <mergeCell ref="V203:V204"/>
    <mergeCell ref="W203:W204"/>
    <mergeCell ref="W200:W201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Q200:Q201"/>
    <mergeCell ref="R200:R201"/>
    <mergeCell ref="S200:S201"/>
    <mergeCell ref="T200:T201"/>
    <mergeCell ref="U200:U201"/>
    <mergeCell ref="V200:V201"/>
    <mergeCell ref="K200:K201"/>
    <mergeCell ref="L200:L201"/>
    <mergeCell ref="M200:M201"/>
    <mergeCell ref="N200:N201"/>
    <mergeCell ref="O200:O201"/>
    <mergeCell ref="P200:P201"/>
    <mergeCell ref="N208:N209"/>
    <mergeCell ref="O208:O209"/>
    <mergeCell ref="O205:O206"/>
    <mergeCell ref="P205:P206"/>
    <mergeCell ref="Q205:Q206"/>
    <mergeCell ref="R205:R206"/>
    <mergeCell ref="S205:S206"/>
    <mergeCell ref="T205:T206"/>
    <mergeCell ref="I205:I206"/>
    <mergeCell ref="J205:J206"/>
    <mergeCell ref="K205:K206"/>
    <mergeCell ref="L205:L206"/>
    <mergeCell ref="M205:M206"/>
    <mergeCell ref="N205:N206"/>
    <mergeCell ref="S203:S204"/>
    <mergeCell ref="T203:T204"/>
    <mergeCell ref="U203:U204"/>
    <mergeCell ref="O210:O211"/>
    <mergeCell ref="P210:P211"/>
    <mergeCell ref="V208:V209"/>
    <mergeCell ref="W208:W209"/>
    <mergeCell ref="A210:A214"/>
    <mergeCell ref="B210:B214"/>
    <mergeCell ref="C210:C214"/>
    <mergeCell ref="D210:D214"/>
    <mergeCell ref="E210:E214"/>
    <mergeCell ref="F210:F214"/>
    <mergeCell ref="I210:I211"/>
    <mergeCell ref="J210:J211"/>
    <mergeCell ref="P208:P209"/>
    <mergeCell ref="Q208:Q209"/>
    <mergeCell ref="R208:R209"/>
    <mergeCell ref="S208:S209"/>
    <mergeCell ref="T208:T209"/>
    <mergeCell ref="U208:U209"/>
    <mergeCell ref="A205:A209"/>
    <mergeCell ref="B205:B209"/>
    <mergeCell ref="C205:C209"/>
    <mergeCell ref="D205:D209"/>
    <mergeCell ref="E205:E209"/>
    <mergeCell ref="F205:F209"/>
    <mergeCell ref="U205:U206"/>
    <mergeCell ref="V205:V206"/>
    <mergeCell ref="W205:W206"/>
    <mergeCell ref="I208:I209"/>
    <mergeCell ref="J208:J209"/>
    <mergeCell ref="K208:K209"/>
    <mergeCell ref="L208:L209"/>
    <mergeCell ref="M208:M209"/>
    <mergeCell ref="A215:A219"/>
    <mergeCell ref="B215:B219"/>
    <mergeCell ref="C215:C219"/>
    <mergeCell ref="D215:D219"/>
    <mergeCell ref="E215:E219"/>
    <mergeCell ref="F215:F219"/>
    <mergeCell ref="R213:R214"/>
    <mergeCell ref="S213:S214"/>
    <mergeCell ref="T213:T214"/>
    <mergeCell ref="U213:U214"/>
    <mergeCell ref="V213:V214"/>
    <mergeCell ref="W213:W214"/>
    <mergeCell ref="W210:W211"/>
    <mergeCell ref="I213:I214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Q210:Q211"/>
    <mergeCell ref="R210:R211"/>
    <mergeCell ref="S210:S211"/>
    <mergeCell ref="T210:T211"/>
    <mergeCell ref="U210:U211"/>
    <mergeCell ref="V210:V211"/>
    <mergeCell ref="K210:K211"/>
    <mergeCell ref="L210:L211"/>
    <mergeCell ref="M210:M211"/>
    <mergeCell ref="N210:N211"/>
    <mergeCell ref="U215:U216"/>
    <mergeCell ref="V215:V216"/>
    <mergeCell ref="W215:W216"/>
    <mergeCell ref="I218:I219"/>
    <mergeCell ref="J218:J219"/>
    <mergeCell ref="K218:K219"/>
    <mergeCell ref="L218:L219"/>
    <mergeCell ref="M218:M219"/>
    <mergeCell ref="N218:N219"/>
    <mergeCell ref="O218:O219"/>
    <mergeCell ref="O215:O216"/>
    <mergeCell ref="P215:P216"/>
    <mergeCell ref="Q215:Q216"/>
    <mergeCell ref="R215:R216"/>
    <mergeCell ref="S215:S216"/>
    <mergeCell ref="T215:T216"/>
    <mergeCell ref="I215:I216"/>
    <mergeCell ref="J215:J216"/>
    <mergeCell ref="K215:K216"/>
    <mergeCell ref="L215:L216"/>
    <mergeCell ref="M215:M216"/>
    <mergeCell ref="N215:N216"/>
    <mergeCell ref="L223:L224"/>
    <mergeCell ref="M223:M224"/>
    <mergeCell ref="N223:N224"/>
    <mergeCell ref="O223:O224"/>
    <mergeCell ref="P223:P224"/>
    <mergeCell ref="P220:P221"/>
    <mergeCell ref="Q220:Q221"/>
    <mergeCell ref="R220:R221"/>
    <mergeCell ref="S220:S221"/>
    <mergeCell ref="T220:T221"/>
    <mergeCell ref="U220:U221"/>
    <mergeCell ref="V218:V219"/>
    <mergeCell ref="W218:W219"/>
    <mergeCell ref="I220:I221"/>
    <mergeCell ref="J220:J221"/>
    <mergeCell ref="K220:K221"/>
    <mergeCell ref="L220:L221"/>
    <mergeCell ref="M220:M221"/>
    <mergeCell ref="N220:N221"/>
    <mergeCell ref="O220:O221"/>
    <mergeCell ref="P218:P219"/>
    <mergeCell ref="Q218:Q219"/>
    <mergeCell ref="R218:R219"/>
    <mergeCell ref="S218:S219"/>
    <mergeCell ref="T218:T219"/>
    <mergeCell ref="U218:U219"/>
    <mergeCell ref="W236:W237"/>
    <mergeCell ref="W233:W234"/>
    <mergeCell ref="I228:I229"/>
    <mergeCell ref="J228:J229"/>
    <mergeCell ref="K228:K229"/>
    <mergeCell ref="L228:L229"/>
    <mergeCell ref="M228:M229"/>
    <mergeCell ref="N228:N229"/>
    <mergeCell ref="W223:W224"/>
    <mergeCell ref="A225:W225"/>
    <mergeCell ref="A226:W226"/>
    <mergeCell ref="A227:W227"/>
    <mergeCell ref="A228:A232"/>
    <mergeCell ref="B228:B232"/>
    <mergeCell ref="C228:C232"/>
    <mergeCell ref="D228:D232"/>
    <mergeCell ref="E228:E232"/>
    <mergeCell ref="F228:F232"/>
    <mergeCell ref="Q223:Q224"/>
    <mergeCell ref="R223:R224"/>
    <mergeCell ref="S223:S224"/>
    <mergeCell ref="T223:T224"/>
    <mergeCell ref="U223:U224"/>
    <mergeCell ref="V223:V224"/>
    <mergeCell ref="A220:F224"/>
    <mergeCell ref="V231:V232"/>
    <mergeCell ref="W231:W232"/>
    <mergeCell ref="V220:V221"/>
    <mergeCell ref="W220:W221"/>
    <mergeCell ref="I223:I224"/>
    <mergeCell ref="J223:J224"/>
    <mergeCell ref="K223:K224"/>
    <mergeCell ref="P231:P232"/>
    <mergeCell ref="Q231:Q232"/>
    <mergeCell ref="R231:R232"/>
    <mergeCell ref="S231:S232"/>
    <mergeCell ref="T231:T232"/>
    <mergeCell ref="U231:U232"/>
    <mergeCell ref="U228:U229"/>
    <mergeCell ref="V228:V229"/>
    <mergeCell ref="W228:W229"/>
    <mergeCell ref="I231:I232"/>
    <mergeCell ref="J231:J232"/>
    <mergeCell ref="K231:K232"/>
    <mergeCell ref="L231:L232"/>
    <mergeCell ref="M231:M232"/>
    <mergeCell ref="N231:N232"/>
    <mergeCell ref="O231:O232"/>
    <mergeCell ref="O228:O229"/>
    <mergeCell ref="P228:P229"/>
    <mergeCell ref="Q228:Q229"/>
    <mergeCell ref="R228:R229"/>
    <mergeCell ref="S228:S229"/>
    <mergeCell ref="T228:T229"/>
    <mergeCell ref="Q233:Q234"/>
    <mergeCell ref="R233:R234"/>
    <mergeCell ref="S233:S234"/>
    <mergeCell ref="T233:T234"/>
    <mergeCell ref="U233:U234"/>
    <mergeCell ref="V233:V234"/>
    <mergeCell ref="K233:K234"/>
    <mergeCell ref="L233:L234"/>
    <mergeCell ref="M233:M234"/>
    <mergeCell ref="N233:N234"/>
    <mergeCell ref="O233:O234"/>
    <mergeCell ref="P233:P234"/>
    <mergeCell ref="A233:A237"/>
    <mergeCell ref="B233:B237"/>
    <mergeCell ref="C233:C237"/>
    <mergeCell ref="D233:D237"/>
    <mergeCell ref="E233:E237"/>
    <mergeCell ref="F233:F237"/>
    <mergeCell ref="I233:I234"/>
    <mergeCell ref="J233:J234"/>
    <mergeCell ref="I238:I239"/>
    <mergeCell ref="J238:J239"/>
    <mergeCell ref="K238:K239"/>
    <mergeCell ref="L238:L239"/>
    <mergeCell ref="M238:M239"/>
    <mergeCell ref="N238:N239"/>
    <mergeCell ref="A238:A242"/>
    <mergeCell ref="B238:B242"/>
    <mergeCell ref="C238:C242"/>
    <mergeCell ref="D238:D242"/>
    <mergeCell ref="E238:E242"/>
    <mergeCell ref="F238:F242"/>
    <mergeCell ref="R236:R237"/>
    <mergeCell ref="S236:S237"/>
    <mergeCell ref="T236:T237"/>
    <mergeCell ref="U236:U237"/>
    <mergeCell ref="V236:V237"/>
    <mergeCell ref="V241:V242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Q236:Q237"/>
    <mergeCell ref="W241:W242"/>
    <mergeCell ref="A243:A247"/>
    <mergeCell ref="B243:B247"/>
    <mergeCell ref="C243:C247"/>
    <mergeCell ref="D243:D247"/>
    <mergeCell ref="E243:E247"/>
    <mergeCell ref="F243:F247"/>
    <mergeCell ref="I243:I244"/>
    <mergeCell ref="J243:J244"/>
    <mergeCell ref="P241:P242"/>
    <mergeCell ref="Q241:Q242"/>
    <mergeCell ref="R241:R242"/>
    <mergeCell ref="S241:S242"/>
    <mergeCell ref="T241:T242"/>
    <mergeCell ref="U241:U242"/>
    <mergeCell ref="U238:U239"/>
    <mergeCell ref="V238:V239"/>
    <mergeCell ref="W238:W239"/>
    <mergeCell ref="I241:I242"/>
    <mergeCell ref="J241:J242"/>
    <mergeCell ref="K241:K242"/>
    <mergeCell ref="L241:L242"/>
    <mergeCell ref="M241:M242"/>
    <mergeCell ref="N241:N242"/>
    <mergeCell ref="O241:O242"/>
    <mergeCell ref="O238:O239"/>
    <mergeCell ref="P238:P239"/>
    <mergeCell ref="Q238:Q239"/>
    <mergeCell ref="R238:R239"/>
    <mergeCell ref="S238:S239"/>
    <mergeCell ref="T238:T239"/>
    <mergeCell ref="W246:W247"/>
    <mergeCell ref="W243:W244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Q243:Q244"/>
    <mergeCell ref="R243:R244"/>
    <mergeCell ref="S243:S244"/>
    <mergeCell ref="T243:T244"/>
    <mergeCell ref="U243:U244"/>
    <mergeCell ref="V243:V244"/>
    <mergeCell ref="K243:K244"/>
    <mergeCell ref="L243:L244"/>
    <mergeCell ref="M243:M244"/>
    <mergeCell ref="N243:N244"/>
    <mergeCell ref="O243:O244"/>
    <mergeCell ref="P243:P244"/>
    <mergeCell ref="I248:I249"/>
    <mergeCell ref="J248:J249"/>
    <mergeCell ref="K248:K249"/>
    <mergeCell ref="L248:L249"/>
    <mergeCell ref="M248:M249"/>
    <mergeCell ref="N248:N249"/>
    <mergeCell ref="A248:A252"/>
    <mergeCell ref="B248:B252"/>
    <mergeCell ref="C248:C252"/>
    <mergeCell ref="D248:D252"/>
    <mergeCell ref="E248:E252"/>
    <mergeCell ref="F248:F252"/>
    <mergeCell ref="R246:R247"/>
    <mergeCell ref="S246:S247"/>
    <mergeCell ref="T246:T247"/>
    <mergeCell ref="U246:U247"/>
    <mergeCell ref="V246:V247"/>
    <mergeCell ref="V251:V252"/>
    <mergeCell ref="W251:W252"/>
    <mergeCell ref="A253:A257"/>
    <mergeCell ref="B253:B257"/>
    <mergeCell ref="C253:C257"/>
    <mergeCell ref="D253:D257"/>
    <mergeCell ref="E253:E257"/>
    <mergeCell ref="F253:F257"/>
    <mergeCell ref="I253:I254"/>
    <mergeCell ref="J253:J254"/>
    <mergeCell ref="P251:P252"/>
    <mergeCell ref="Q251:Q252"/>
    <mergeCell ref="R251:R252"/>
    <mergeCell ref="S251:S252"/>
    <mergeCell ref="T251:T252"/>
    <mergeCell ref="U251:U252"/>
    <mergeCell ref="U248:U249"/>
    <mergeCell ref="V248:V249"/>
    <mergeCell ref="W248:W249"/>
    <mergeCell ref="I251:I252"/>
    <mergeCell ref="J251:J252"/>
    <mergeCell ref="K251:K252"/>
    <mergeCell ref="L251:L252"/>
    <mergeCell ref="M251:M252"/>
    <mergeCell ref="N251:N252"/>
    <mergeCell ref="O251:O252"/>
    <mergeCell ref="O248:O249"/>
    <mergeCell ref="P248:P249"/>
    <mergeCell ref="Q248:Q249"/>
    <mergeCell ref="R248:R249"/>
    <mergeCell ref="S248:S249"/>
    <mergeCell ref="T248:T249"/>
    <mergeCell ref="W256:W257"/>
    <mergeCell ref="W253:W254"/>
    <mergeCell ref="I256:I257"/>
    <mergeCell ref="J256:J257"/>
    <mergeCell ref="K256:K257"/>
    <mergeCell ref="L256:L257"/>
    <mergeCell ref="M256:M257"/>
    <mergeCell ref="N256:N257"/>
    <mergeCell ref="O256:O257"/>
    <mergeCell ref="P256:P257"/>
    <mergeCell ref="Q256:Q257"/>
    <mergeCell ref="Q253:Q254"/>
    <mergeCell ref="R253:R254"/>
    <mergeCell ref="S253:S254"/>
    <mergeCell ref="T253:T254"/>
    <mergeCell ref="U253:U254"/>
    <mergeCell ref="V253:V254"/>
    <mergeCell ref="K253:K254"/>
    <mergeCell ref="L253:L254"/>
    <mergeCell ref="M253:M254"/>
    <mergeCell ref="N253:N254"/>
    <mergeCell ref="O253:O254"/>
    <mergeCell ref="P253:P254"/>
    <mergeCell ref="I258:I259"/>
    <mergeCell ref="J258:J259"/>
    <mergeCell ref="K258:K259"/>
    <mergeCell ref="L258:L259"/>
    <mergeCell ref="M258:M259"/>
    <mergeCell ref="N258:N259"/>
    <mergeCell ref="A258:A262"/>
    <mergeCell ref="B258:B262"/>
    <mergeCell ref="C258:C262"/>
    <mergeCell ref="D258:D262"/>
    <mergeCell ref="E258:E262"/>
    <mergeCell ref="F258:F262"/>
    <mergeCell ref="R256:R257"/>
    <mergeCell ref="S256:S257"/>
    <mergeCell ref="T256:T257"/>
    <mergeCell ref="U256:U257"/>
    <mergeCell ref="V256:V257"/>
    <mergeCell ref="V261:V262"/>
    <mergeCell ref="W261:W262"/>
    <mergeCell ref="A263:A267"/>
    <mergeCell ref="B263:B267"/>
    <mergeCell ref="C263:C267"/>
    <mergeCell ref="D263:D267"/>
    <mergeCell ref="E263:E267"/>
    <mergeCell ref="F263:F267"/>
    <mergeCell ref="I263:I264"/>
    <mergeCell ref="J263:J264"/>
    <mergeCell ref="P261:P262"/>
    <mergeCell ref="Q261:Q262"/>
    <mergeCell ref="R261:R262"/>
    <mergeCell ref="S261:S262"/>
    <mergeCell ref="T261:T262"/>
    <mergeCell ref="U261:U262"/>
    <mergeCell ref="U258:U259"/>
    <mergeCell ref="V258:V259"/>
    <mergeCell ref="W258:W259"/>
    <mergeCell ref="I261:I262"/>
    <mergeCell ref="J261:J262"/>
    <mergeCell ref="K261:K262"/>
    <mergeCell ref="L261:L262"/>
    <mergeCell ref="M261:M262"/>
    <mergeCell ref="N261:N262"/>
    <mergeCell ref="O261:O262"/>
    <mergeCell ref="O258:O259"/>
    <mergeCell ref="P258:P259"/>
    <mergeCell ref="Q258:Q259"/>
    <mergeCell ref="R258:R259"/>
    <mergeCell ref="S258:S259"/>
    <mergeCell ref="T258:T259"/>
    <mergeCell ref="W266:W267"/>
    <mergeCell ref="W263:W264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Q263:Q264"/>
    <mergeCell ref="R263:R264"/>
    <mergeCell ref="S263:S264"/>
    <mergeCell ref="T263:T264"/>
    <mergeCell ref="U263:U264"/>
    <mergeCell ref="V263:V264"/>
    <mergeCell ref="K263:K264"/>
    <mergeCell ref="L263:L264"/>
    <mergeCell ref="M263:M264"/>
    <mergeCell ref="N263:N264"/>
    <mergeCell ref="O263:O264"/>
    <mergeCell ref="P263:P264"/>
    <mergeCell ref="I268:I269"/>
    <mergeCell ref="J268:J269"/>
    <mergeCell ref="K268:K269"/>
    <mergeCell ref="L268:L269"/>
    <mergeCell ref="M268:M269"/>
    <mergeCell ref="N268:N269"/>
    <mergeCell ref="A268:A272"/>
    <mergeCell ref="B268:B272"/>
    <mergeCell ref="C268:C272"/>
    <mergeCell ref="D268:D272"/>
    <mergeCell ref="E268:E272"/>
    <mergeCell ref="F268:F272"/>
    <mergeCell ref="R266:R267"/>
    <mergeCell ref="S266:S267"/>
    <mergeCell ref="T266:T267"/>
    <mergeCell ref="U266:U267"/>
    <mergeCell ref="V266:V267"/>
    <mergeCell ref="V271:V272"/>
    <mergeCell ref="W271:W272"/>
    <mergeCell ref="A273:F277"/>
    <mergeCell ref="I273:I274"/>
    <mergeCell ref="J273:J274"/>
    <mergeCell ref="K273:K274"/>
    <mergeCell ref="L273:L274"/>
    <mergeCell ref="M273:M274"/>
    <mergeCell ref="N273:N274"/>
    <mergeCell ref="O273:O274"/>
    <mergeCell ref="P271:P272"/>
    <mergeCell ref="Q271:Q272"/>
    <mergeCell ref="R271:R272"/>
    <mergeCell ref="S271:S272"/>
    <mergeCell ref="T271:T272"/>
    <mergeCell ref="U271:U272"/>
    <mergeCell ref="U268:U269"/>
    <mergeCell ref="V268:V269"/>
    <mergeCell ref="W268:W269"/>
    <mergeCell ref="I271:I272"/>
    <mergeCell ref="J271:J272"/>
    <mergeCell ref="K271:K272"/>
    <mergeCell ref="L271:L272"/>
    <mergeCell ref="M271:M272"/>
    <mergeCell ref="N271:N272"/>
    <mergeCell ref="O271:O272"/>
    <mergeCell ref="O268:O269"/>
    <mergeCell ref="P268:P269"/>
    <mergeCell ref="Q268:Q269"/>
    <mergeCell ref="R268:R269"/>
    <mergeCell ref="S268:S269"/>
    <mergeCell ref="T268:T269"/>
    <mergeCell ref="W276:W277"/>
    <mergeCell ref="A278:F282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Q276:Q277"/>
    <mergeCell ref="R276:R277"/>
    <mergeCell ref="S276:S277"/>
    <mergeCell ref="T276:T277"/>
    <mergeCell ref="U276:U277"/>
    <mergeCell ref="V276:V277"/>
    <mergeCell ref="V273:V274"/>
    <mergeCell ref="W273:W274"/>
    <mergeCell ref="I276:I277"/>
    <mergeCell ref="J276:J277"/>
    <mergeCell ref="K276:K277"/>
    <mergeCell ref="L276:L277"/>
    <mergeCell ref="M276:M277"/>
    <mergeCell ref="N276:N277"/>
    <mergeCell ref="O276:O277"/>
    <mergeCell ref="P276:P277"/>
    <mergeCell ref="P273:P274"/>
    <mergeCell ref="Q273:Q274"/>
    <mergeCell ref="R273:R274"/>
    <mergeCell ref="S273:S274"/>
    <mergeCell ref="T273:T274"/>
    <mergeCell ref="U273:U274"/>
    <mergeCell ref="R281:R282"/>
    <mergeCell ref="S281:S282"/>
    <mergeCell ref="T281:T282"/>
    <mergeCell ref="U281:U282"/>
    <mergeCell ref="V281:V282"/>
    <mergeCell ref="W281:W282"/>
    <mergeCell ref="W278:W279"/>
    <mergeCell ref="I281:I282"/>
    <mergeCell ref="J281:J282"/>
    <mergeCell ref="K281:K282"/>
    <mergeCell ref="L281:L282"/>
    <mergeCell ref="M281:M282"/>
    <mergeCell ref="N281:N282"/>
    <mergeCell ref="O281:O282"/>
    <mergeCell ref="P281:P282"/>
    <mergeCell ref="Q281:Q282"/>
    <mergeCell ref="Q278:Q279"/>
    <mergeCell ref="R278:R279"/>
    <mergeCell ref="S278:S279"/>
    <mergeCell ref="T278:T279"/>
    <mergeCell ref="U278:U279"/>
    <mergeCell ref="V278:V279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fitToHeight="2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F3EC-CF1A-415D-B8B4-A6B72F6915C0}">
  <dimension ref="A1:X141"/>
  <sheetViews>
    <sheetView view="pageBreakPreview" topLeftCell="A100" zoomScaleNormal="100" zoomScaleSheetLayoutView="100" workbookViewId="0">
      <selection activeCell="D138" sqref="D138"/>
    </sheetView>
  </sheetViews>
  <sheetFormatPr defaultRowHeight="15"/>
  <cols>
    <col min="1" max="1" width="5.375" style="569" customWidth="1"/>
    <col min="2" max="2" width="13.125" style="569" customWidth="1"/>
    <col min="3" max="3" width="43.875" style="569" customWidth="1"/>
    <col min="4" max="4" width="13.25" style="569" customWidth="1"/>
    <col min="5" max="5" width="10.375" style="569" customWidth="1"/>
    <col min="6" max="6" width="11" style="569" customWidth="1"/>
    <col min="7" max="8" width="12.125" style="569" customWidth="1"/>
    <col min="9" max="9" width="3.625" style="569" customWidth="1"/>
    <col min="10" max="10" width="12.875" style="569" customWidth="1"/>
    <col min="11" max="12" width="12.125" style="569" customWidth="1"/>
    <col min="13" max="13" width="11.375" style="569" customWidth="1"/>
    <col min="14" max="15" width="11.875" style="569" customWidth="1"/>
    <col min="16" max="16" width="11.75" style="569" customWidth="1"/>
    <col min="17" max="17" width="11.375" style="569" customWidth="1"/>
    <col min="18" max="18" width="11.875" style="569" customWidth="1"/>
    <col min="19" max="19" width="11.375" style="569" customWidth="1"/>
    <col min="20" max="20" width="10.375" style="569" customWidth="1"/>
    <col min="21" max="21" width="12.875" style="569" customWidth="1"/>
    <col min="22" max="22" width="11.75" style="569" customWidth="1"/>
    <col min="23" max="23" width="11" style="569" customWidth="1"/>
    <col min="24" max="256" width="9" style="569"/>
    <col min="257" max="257" width="5.375" style="569" customWidth="1"/>
    <col min="258" max="258" width="13.125" style="569" customWidth="1"/>
    <col min="259" max="259" width="43.875" style="569" customWidth="1"/>
    <col min="260" max="260" width="13.25" style="569" customWidth="1"/>
    <col min="261" max="261" width="10.375" style="569" customWidth="1"/>
    <col min="262" max="262" width="11" style="569" customWidth="1"/>
    <col min="263" max="264" width="12.125" style="569" customWidth="1"/>
    <col min="265" max="265" width="3.625" style="569" customWidth="1"/>
    <col min="266" max="266" width="12.875" style="569" customWidth="1"/>
    <col min="267" max="268" width="12.125" style="569" customWidth="1"/>
    <col min="269" max="269" width="11.375" style="569" customWidth="1"/>
    <col min="270" max="271" width="11.875" style="569" customWidth="1"/>
    <col min="272" max="272" width="11.75" style="569" customWidth="1"/>
    <col min="273" max="273" width="11.375" style="569" customWidth="1"/>
    <col min="274" max="274" width="11.875" style="569" customWidth="1"/>
    <col min="275" max="275" width="11.375" style="569" customWidth="1"/>
    <col min="276" max="276" width="10.375" style="569" customWidth="1"/>
    <col min="277" max="277" width="12.875" style="569" customWidth="1"/>
    <col min="278" max="278" width="11.75" style="569" customWidth="1"/>
    <col min="279" max="279" width="11" style="569" customWidth="1"/>
    <col min="280" max="512" width="9" style="569"/>
    <col min="513" max="513" width="5.375" style="569" customWidth="1"/>
    <col min="514" max="514" width="13.125" style="569" customWidth="1"/>
    <col min="515" max="515" width="43.875" style="569" customWidth="1"/>
    <col min="516" max="516" width="13.25" style="569" customWidth="1"/>
    <col min="517" max="517" width="10.375" style="569" customWidth="1"/>
    <col min="518" max="518" width="11" style="569" customWidth="1"/>
    <col min="519" max="520" width="12.125" style="569" customWidth="1"/>
    <col min="521" max="521" width="3.625" style="569" customWidth="1"/>
    <col min="522" max="522" width="12.875" style="569" customWidth="1"/>
    <col min="523" max="524" width="12.125" style="569" customWidth="1"/>
    <col min="525" max="525" width="11.375" style="569" customWidth="1"/>
    <col min="526" max="527" width="11.875" style="569" customWidth="1"/>
    <col min="528" max="528" width="11.75" style="569" customWidth="1"/>
    <col min="529" max="529" width="11.375" style="569" customWidth="1"/>
    <col min="530" max="530" width="11.875" style="569" customWidth="1"/>
    <col min="531" max="531" width="11.375" style="569" customWidth="1"/>
    <col min="532" max="532" width="10.375" style="569" customWidth="1"/>
    <col min="533" max="533" width="12.875" style="569" customWidth="1"/>
    <col min="534" max="534" width="11.75" style="569" customWidth="1"/>
    <col min="535" max="535" width="11" style="569" customWidth="1"/>
    <col min="536" max="768" width="9" style="569"/>
    <col min="769" max="769" width="5.375" style="569" customWidth="1"/>
    <col min="770" max="770" width="13.125" style="569" customWidth="1"/>
    <col min="771" max="771" width="43.875" style="569" customWidth="1"/>
    <col min="772" max="772" width="13.25" style="569" customWidth="1"/>
    <col min="773" max="773" width="10.375" style="569" customWidth="1"/>
    <col min="774" max="774" width="11" style="569" customWidth="1"/>
    <col min="775" max="776" width="12.125" style="569" customWidth="1"/>
    <col min="777" max="777" width="3.625" style="569" customWidth="1"/>
    <col min="778" max="778" width="12.875" style="569" customWidth="1"/>
    <col min="779" max="780" width="12.125" style="569" customWidth="1"/>
    <col min="781" max="781" width="11.375" style="569" customWidth="1"/>
    <col min="782" max="783" width="11.875" style="569" customWidth="1"/>
    <col min="784" max="784" width="11.75" style="569" customWidth="1"/>
    <col min="785" max="785" width="11.375" style="569" customWidth="1"/>
    <col min="786" max="786" width="11.875" style="569" customWidth="1"/>
    <col min="787" max="787" width="11.375" style="569" customWidth="1"/>
    <col min="788" max="788" width="10.375" style="569" customWidth="1"/>
    <col min="789" max="789" width="12.875" style="569" customWidth="1"/>
    <col min="790" max="790" width="11.75" style="569" customWidth="1"/>
    <col min="791" max="791" width="11" style="569" customWidth="1"/>
    <col min="792" max="1024" width="9" style="569"/>
    <col min="1025" max="1025" width="5.375" style="569" customWidth="1"/>
    <col min="1026" max="1026" width="13.125" style="569" customWidth="1"/>
    <col min="1027" max="1027" width="43.875" style="569" customWidth="1"/>
    <col min="1028" max="1028" width="13.25" style="569" customWidth="1"/>
    <col min="1029" max="1029" width="10.375" style="569" customWidth="1"/>
    <col min="1030" max="1030" width="11" style="569" customWidth="1"/>
    <col min="1031" max="1032" width="12.125" style="569" customWidth="1"/>
    <col min="1033" max="1033" width="3.625" style="569" customWidth="1"/>
    <col min="1034" max="1034" width="12.875" style="569" customWidth="1"/>
    <col min="1035" max="1036" width="12.125" style="569" customWidth="1"/>
    <col min="1037" max="1037" width="11.375" style="569" customWidth="1"/>
    <col min="1038" max="1039" width="11.875" style="569" customWidth="1"/>
    <col min="1040" max="1040" width="11.75" style="569" customWidth="1"/>
    <col min="1041" max="1041" width="11.375" style="569" customWidth="1"/>
    <col min="1042" max="1042" width="11.875" style="569" customWidth="1"/>
    <col min="1043" max="1043" width="11.375" style="569" customWidth="1"/>
    <col min="1044" max="1044" width="10.375" style="569" customWidth="1"/>
    <col min="1045" max="1045" width="12.875" style="569" customWidth="1"/>
    <col min="1046" max="1046" width="11.75" style="569" customWidth="1"/>
    <col min="1047" max="1047" width="11" style="569" customWidth="1"/>
    <col min="1048" max="1280" width="9" style="569"/>
    <col min="1281" max="1281" width="5.375" style="569" customWidth="1"/>
    <col min="1282" max="1282" width="13.125" style="569" customWidth="1"/>
    <col min="1283" max="1283" width="43.875" style="569" customWidth="1"/>
    <col min="1284" max="1284" width="13.25" style="569" customWidth="1"/>
    <col min="1285" max="1285" width="10.375" style="569" customWidth="1"/>
    <col min="1286" max="1286" width="11" style="569" customWidth="1"/>
    <col min="1287" max="1288" width="12.125" style="569" customWidth="1"/>
    <col min="1289" max="1289" width="3.625" style="569" customWidth="1"/>
    <col min="1290" max="1290" width="12.875" style="569" customWidth="1"/>
    <col min="1291" max="1292" width="12.125" style="569" customWidth="1"/>
    <col min="1293" max="1293" width="11.375" style="569" customWidth="1"/>
    <col min="1294" max="1295" width="11.875" style="569" customWidth="1"/>
    <col min="1296" max="1296" width="11.75" style="569" customWidth="1"/>
    <col min="1297" max="1297" width="11.375" style="569" customWidth="1"/>
    <col min="1298" max="1298" width="11.875" style="569" customWidth="1"/>
    <col min="1299" max="1299" width="11.375" style="569" customWidth="1"/>
    <col min="1300" max="1300" width="10.375" style="569" customWidth="1"/>
    <col min="1301" max="1301" width="12.875" style="569" customWidth="1"/>
    <col min="1302" max="1302" width="11.75" style="569" customWidth="1"/>
    <col min="1303" max="1303" width="11" style="569" customWidth="1"/>
    <col min="1304" max="1536" width="9" style="569"/>
    <col min="1537" max="1537" width="5.375" style="569" customWidth="1"/>
    <col min="1538" max="1538" width="13.125" style="569" customWidth="1"/>
    <col min="1539" max="1539" width="43.875" style="569" customWidth="1"/>
    <col min="1540" max="1540" width="13.25" style="569" customWidth="1"/>
    <col min="1541" max="1541" width="10.375" style="569" customWidth="1"/>
    <col min="1542" max="1542" width="11" style="569" customWidth="1"/>
    <col min="1543" max="1544" width="12.125" style="569" customWidth="1"/>
    <col min="1545" max="1545" width="3.625" style="569" customWidth="1"/>
    <col min="1546" max="1546" width="12.875" style="569" customWidth="1"/>
    <col min="1547" max="1548" width="12.125" style="569" customWidth="1"/>
    <col min="1549" max="1549" width="11.375" style="569" customWidth="1"/>
    <col min="1550" max="1551" width="11.875" style="569" customWidth="1"/>
    <col min="1552" max="1552" width="11.75" style="569" customWidth="1"/>
    <col min="1553" max="1553" width="11.375" style="569" customWidth="1"/>
    <col min="1554" max="1554" width="11.875" style="569" customWidth="1"/>
    <col min="1555" max="1555" width="11.375" style="569" customWidth="1"/>
    <col min="1556" max="1556" width="10.375" style="569" customWidth="1"/>
    <col min="1557" max="1557" width="12.875" style="569" customWidth="1"/>
    <col min="1558" max="1558" width="11.75" style="569" customWidth="1"/>
    <col min="1559" max="1559" width="11" style="569" customWidth="1"/>
    <col min="1560" max="1792" width="9" style="569"/>
    <col min="1793" max="1793" width="5.375" style="569" customWidth="1"/>
    <col min="1794" max="1794" width="13.125" style="569" customWidth="1"/>
    <col min="1795" max="1795" width="43.875" style="569" customWidth="1"/>
    <col min="1796" max="1796" width="13.25" style="569" customWidth="1"/>
    <col min="1797" max="1797" width="10.375" style="569" customWidth="1"/>
    <col min="1798" max="1798" width="11" style="569" customWidth="1"/>
    <col min="1799" max="1800" width="12.125" style="569" customWidth="1"/>
    <col min="1801" max="1801" width="3.625" style="569" customWidth="1"/>
    <col min="1802" max="1802" width="12.875" style="569" customWidth="1"/>
    <col min="1803" max="1804" width="12.125" style="569" customWidth="1"/>
    <col min="1805" max="1805" width="11.375" style="569" customWidth="1"/>
    <col min="1806" max="1807" width="11.875" style="569" customWidth="1"/>
    <col min="1808" max="1808" width="11.75" style="569" customWidth="1"/>
    <col min="1809" max="1809" width="11.375" style="569" customWidth="1"/>
    <col min="1810" max="1810" width="11.875" style="569" customWidth="1"/>
    <col min="1811" max="1811" width="11.375" style="569" customWidth="1"/>
    <col min="1812" max="1812" width="10.375" style="569" customWidth="1"/>
    <col min="1813" max="1813" width="12.875" style="569" customWidth="1"/>
    <col min="1814" max="1814" width="11.75" style="569" customWidth="1"/>
    <col min="1815" max="1815" width="11" style="569" customWidth="1"/>
    <col min="1816" max="2048" width="9" style="569"/>
    <col min="2049" max="2049" width="5.375" style="569" customWidth="1"/>
    <col min="2050" max="2050" width="13.125" style="569" customWidth="1"/>
    <col min="2051" max="2051" width="43.875" style="569" customWidth="1"/>
    <col min="2052" max="2052" width="13.25" style="569" customWidth="1"/>
    <col min="2053" max="2053" width="10.375" style="569" customWidth="1"/>
    <col min="2054" max="2054" width="11" style="569" customWidth="1"/>
    <col min="2055" max="2056" width="12.125" style="569" customWidth="1"/>
    <col min="2057" max="2057" width="3.625" style="569" customWidth="1"/>
    <col min="2058" max="2058" width="12.875" style="569" customWidth="1"/>
    <col min="2059" max="2060" width="12.125" style="569" customWidth="1"/>
    <col min="2061" max="2061" width="11.375" style="569" customWidth="1"/>
    <col min="2062" max="2063" width="11.875" style="569" customWidth="1"/>
    <col min="2064" max="2064" width="11.75" style="569" customWidth="1"/>
    <col min="2065" max="2065" width="11.375" style="569" customWidth="1"/>
    <col min="2066" max="2066" width="11.875" style="569" customWidth="1"/>
    <col min="2067" max="2067" width="11.375" style="569" customWidth="1"/>
    <col min="2068" max="2068" width="10.375" style="569" customWidth="1"/>
    <col min="2069" max="2069" width="12.875" style="569" customWidth="1"/>
    <col min="2070" max="2070" width="11.75" style="569" customWidth="1"/>
    <col min="2071" max="2071" width="11" style="569" customWidth="1"/>
    <col min="2072" max="2304" width="9" style="569"/>
    <col min="2305" max="2305" width="5.375" style="569" customWidth="1"/>
    <col min="2306" max="2306" width="13.125" style="569" customWidth="1"/>
    <col min="2307" max="2307" width="43.875" style="569" customWidth="1"/>
    <col min="2308" max="2308" width="13.25" style="569" customWidth="1"/>
    <col min="2309" max="2309" width="10.375" style="569" customWidth="1"/>
    <col min="2310" max="2310" width="11" style="569" customWidth="1"/>
    <col min="2311" max="2312" width="12.125" style="569" customWidth="1"/>
    <col min="2313" max="2313" width="3.625" style="569" customWidth="1"/>
    <col min="2314" max="2314" width="12.875" style="569" customWidth="1"/>
    <col min="2315" max="2316" width="12.125" style="569" customWidth="1"/>
    <col min="2317" max="2317" width="11.375" style="569" customWidth="1"/>
    <col min="2318" max="2319" width="11.875" style="569" customWidth="1"/>
    <col min="2320" max="2320" width="11.75" style="569" customWidth="1"/>
    <col min="2321" max="2321" width="11.375" style="569" customWidth="1"/>
    <col min="2322" max="2322" width="11.875" style="569" customWidth="1"/>
    <col min="2323" max="2323" width="11.375" style="569" customWidth="1"/>
    <col min="2324" max="2324" width="10.375" style="569" customWidth="1"/>
    <col min="2325" max="2325" width="12.875" style="569" customWidth="1"/>
    <col min="2326" max="2326" width="11.75" style="569" customWidth="1"/>
    <col min="2327" max="2327" width="11" style="569" customWidth="1"/>
    <col min="2328" max="2560" width="9" style="569"/>
    <col min="2561" max="2561" width="5.375" style="569" customWidth="1"/>
    <col min="2562" max="2562" width="13.125" style="569" customWidth="1"/>
    <col min="2563" max="2563" width="43.875" style="569" customWidth="1"/>
    <col min="2564" max="2564" width="13.25" style="569" customWidth="1"/>
    <col min="2565" max="2565" width="10.375" style="569" customWidth="1"/>
    <col min="2566" max="2566" width="11" style="569" customWidth="1"/>
    <col min="2567" max="2568" width="12.125" style="569" customWidth="1"/>
    <col min="2569" max="2569" width="3.625" style="569" customWidth="1"/>
    <col min="2570" max="2570" width="12.875" style="569" customWidth="1"/>
    <col min="2571" max="2572" width="12.125" style="569" customWidth="1"/>
    <col min="2573" max="2573" width="11.375" style="569" customWidth="1"/>
    <col min="2574" max="2575" width="11.875" style="569" customWidth="1"/>
    <col min="2576" max="2576" width="11.75" style="569" customWidth="1"/>
    <col min="2577" max="2577" width="11.375" style="569" customWidth="1"/>
    <col min="2578" max="2578" width="11.875" style="569" customWidth="1"/>
    <col min="2579" max="2579" width="11.375" style="569" customWidth="1"/>
    <col min="2580" max="2580" width="10.375" style="569" customWidth="1"/>
    <col min="2581" max="2581" width="12.875" style="569" customWidth="1"/>
    <col min="2582" max="2582" width="11.75" style="569" customWidth="1"/>
    <col min="2583" max="2583" width="11" style="569" customWidth="1"/>
    <col min="2584" max="2816" width="9" style="569"/>
    <col min="2817" max="2817" width="5.375" style="569" customWidth="1"/>
    <col min="2818" max="2818" width="13.125" style="569" customWidth="1"/>
    <col min="2819" max="2819" width="43.875" style="569" customWidth="1"/>
    <col min="2820" max="2820" width="13.25" style="569" customWidth="1"/>
    <col min="2821" max="2821" width="10.375" style="569" customWidth="1"/>
    <col min="2822" max="2822" width="11" style="569" customWidth="1"/>
    <col min="2823" max="2824" width="12.125" style="569" customWidth="1"/>
    <col min="2825" max="2825" width="3.625" style="569" customWidth="1"/>
    <col min="2826" max="2826" width="12.875" style="569" customWidth="1"/>
    <col min="2827" max="2828" width="12.125" style="569" customWidth="1"/>
    <col min="2829" max="2829" width="11.375" style="569" customWidth="1"/>
    <col min="2830" max="2831" width="11.875" style="569" customWidth="1"/>
    <col min="2832" max="2832" width="11.75" style="569" customWidth="1"/>
    <col min="2833" max="2833" width="11.375" style="569" customWidth="1"/>
    <col min="2834" max="2834" width="11.875" style="569" customWidth="1"/>
    <col min="2835" max="2835" width="11.375" style="569" customWidth="1"/>
    <col min="2836" max="2836" width="10.375" style="569" customWidth="1"/>
    <col min="2837" max="2837" width="12.875" style="569" customWidth="1"/>
    <col min="2838" max="2838" width="11.75" style="569" customWidth="1"/>
    <col min="2839" max="2839" width="11" style="569" customWidth="1"/>
    <col min="2840" max="3072" width="9" style="569"/>
    <col min="3073" max="3073" width="5.375" style="569" customWidth="1"/>
    <col min="3074" max="3074" width="13.125" style="569" customWidth="1"/>
    <col min="3075" max="3075" width="43.875" style="569" customWidth="1"/>
    <col min="3076" max="3076" width="13.25" style="569" customWidth="1"/>
    <col min="3077" max="3077" width="10.375" style="569" customWidth="1"/>
    <col min="3078" max="3078" width="11" style="569" customWidth="1"/>
    <col min="3079" max="3080" width="12.125" style="569" customWidth="1"/>
    <col min="3081" max="3081" width="3.625" style="569" customWidth="1"/>
    <col min="3082" max="3082" width="12.875" style="569" customWidth="1"/>
    <col min="3083" max="3084" width="12.125" style="569" customWidth="1"/>
    <col min="3085" max="3085" width="11.375" style="569" customWidth="1"/>
    <col min="3086" max="3087" width="11.875" style="569" customWidth="1"/>
    <col min="3088" max="3088" width="11.75" style="569" customWidth="1"/>
    <col min="3089" max="3089" width="11.375" style="569" customWidth="1"/>
    <col min="3090" max="3090" width="11.875" style="569" customWidth="1"/>
    <col min="3091" max="3091" width="11.375" style="569" customWidth="1"/>
    <col min="3092" max="3092" width="10.375" style="569" customWidth="1"/>
    <col min="3093" max="3093" width="12.875" style="569" customWidth="1"/>
    <col min="3094" max="3094" width="11.75" style="569" customWidth="1"/>
    <col min="3095" max="3095" width="11" style="569" customWidth="1"/>
    <col min="3096" max="3328" width="9" style="569"/>
    <col min="3329" max="3329" width="5.375" style="569" customWidth="1"/>
    <col min="3330" max="3330" width="13.125" style="569" customWidth="1"/>
    <col min="3331" max="3331" width="43.875" style="569" customWidth="1"/>
    <col min="3332" max="3332" width="13.25" style="569" customWidth="1"/>
    <col min="3333" max="3333" width="10.375" style="569" customWidth="1"/>
    <col min="3334" max="3334" width="11" style="569" customWidth="1"/>
    <col min="3335" max="3336" width="12.125" style="569" customWidth="1"/>
    <col min="3337" max="3337" width="3.625" style="569" customWidth="1"/>
    <col min="3338" max="3338" width="12.875" style="569" customWidth="1"/>
    <col min="3339" max="3340" width="12.125" style="569" customWidth="1"/>
    <col min="3341" max="3341" width="11.375" style="569" customWidth="1"/>
    <col min="3342" max="3343" width="11.875" style="569" customWidth="1"/>
    <col min="3344" max="3344" width="11.75" style="569" customWidth="1"/>
    <col min="3345" max="3345" width="11.375" style="569" customWidth="1"/>
    <col min="3346" max="3346" width="11.875" style="569" customWidth="1"/>
    <col min="3347" max="3347" width="11.375" style="569" customWidth="1"/>
    <col min="3348" max="3348" width="10.375" style="569" customWidth="1"/>
    <col min="3349" max="3349" width="12.875" style="569" customWidth="1"/>
    <col min="3350" max="3350" width="11.75" style="569" customWidth="1"/>
    <col min="3351" max="3351" width="11" style="569" customWidth="1"/>
    <col min="3352" max="3584" width="9" style="569"/>
    <col min="3585" max="3585" width="5.375" style="569" customWidth="1"/>
    <col min="3586" max="3586" width="13.125" style="569" customWidth="1"/>
    <col min="3587" max="3587" width="43.875" style="569" customWidth="1"/>
    <col min="3588" max="3588" width="13.25" style="569" customWidth="1"/>
    <col min="3589" max="3589" width="10.375" style="569" customWidth="1"/>
    <col min="3590" max="3590" width="11" style="569" customWidth="1"/>
    <col min="3591" max="3592" width="12.125" style="569" customWidth="1"/>
    <col min="3593" max="3593" width="3.625" style="569" customWidth="1"/>
    <col min="3594" max="3594" width="12.875" style="569" customWidth="1"/>
    <col min="3595" max="3596" width="12.125" style="569" customWidth="1"/>
    <col min="3597" max="3597" width="11.375" style="569" customWidth="1"/>
    <col min="3598" max="3599" width="11.875" style="569" customWidth="1"/>
    <col min="3600" max="3600" width="11.75" style="569" customWidth="1"/>
    <col min="3601" max="3601" width="11.375" style="569" customWidth="1"/>
    <col min="3602" max="3602" width="11.875" style="569" customWidth="1"/>
    <col min="3603" max="3603" width="11.375" style="569" customWidth="1"/>
    <col min="3604" max="3604" width="10.375" style="569" customWidth="1"/>
    <col min="3605" max="3605" width="12.875" style="569" customWidth="1"/>
    <col min="3606" max="3606" width="11.75" style="569" customWidth="1"/>
    <col min="3607" max="3607" width="11" style="569" customWidth="1"/>
    <col min="3608" max="3840" width="9" style="569"/>
    <col min="3841" max="3841" width="5.375" style="569" customWidth="1"/>
    <col min="3842" max="3842" width="13.125" style="569" customWidth="1"/>
    <col min="3843" max="3843" width="43.875" style="569" customWidth="1"/>
    <col min="3844" max="3844" width="13.25" style="569" customWidth="1"/>
    <col min="3845" max="3845" width="10.375" style="569" customWidth="1"/>
    <col min="3846" max="3846" width="11" style="569" customWidth="1"/>
    <col min="3847" max="3848" width="12.125" style="569" customWidth="1"/>
    <col min="3849" max="3849" width="3.625" style="569" customWidth="1"/>
    <col min="3850" max="3850" width="12.875" style="569" customWidth="1"/>
    <col min="3851" max="3852" width="12.125" style="569" customWidth="1"/>
    <col min="3853" max="3853" width="11.375" style="569" customWidth="1"/>
    <col min="3854" max="3855" width="11.875" style="569" customWidth="1"/>
    <col min="3856" max="3856" width="11.75" style="569" customWidth="1"/>
    <col min="3857" max="3857" width="11.375" style="569" customWidth="1"/>
    <col min="3858" max="3858" width="11.875" style="569" customWidth="1"/>
    <col min="3859" max="3859" width="11.375" style="569" customWidth="1"/>
    <col min="3860" max="3860" width="10.375" style="569" customWidth="1"/>
    <col min="3861" max="3861" width="12.875" style="569" customWidth="1"/>
    <col min="3862" max="3862" width="11.75" style="569" customWidth="1"/>
    <col min="3863" max="3863" width="11" style="569" customWidth="1"/>
    <col min="3864" max="4096" width="9" style="569"/>
    <col min="4097" max="4097" width="5.375" style="569" customWidth="1"/>
    <col min="4098" max="4098" width="13.125" style="569" customWidth="1"/>
    <col min="4099" max="4099" width="43.875" style="569" customWidth="1"/>
    <col min="4100" max="4100" width="13.25" style="569" customWidth="1"/>
    <col min="4101" max="4101" width="10.375" style="569" customWidth="1"/>
    <col min="4102" max="4102" width="11" style="569" customWidth="1"/>
    <col min="4103" max="4104" width="12.125" style="569" customWidth="1"/>
    <col min="4105" max="4105" width="3.625" style="569" customWidth="1"/>
    <col min="4106" max="4106" width="12.875" style="569" customWidth="1"/>
    <col min="4107" max="4108" width="12.125" style="569" customWidth="1"/>
    <col min="4109" max="4109" width="11.375" style="569" customWidth="1"/>
    <col min="4110" max="4111" width="11.875" style="569" customWidth="1"/>
    <col min="4112" max="4112" width="11.75" style="569" customWidth="1"/>
    <col min="4113" max="4113" width="11.375" style="569" customWidth="1"/>
    <col min="4114" max="4114" width="11.875" style="569" customWidth="1"/>
    <col min="4115" max="4115" width="11.375" style="569" customWidth="1"/>
    <col min="4116" max="4116" width="10.375" style="569" customWidth="1"/>
    <col min="4117" max="4117" width="12.875" style="569" customWidth="1"/>
    <col min="4118" max="4118" width="11.75" style="569" customWidth="1"/>
    <col min="4119" max="4119" width="11" style="569" customWidth="1"/>
    <col min="4120" max="4352" width="9" style="569"/>
    <col min="4353" max="4353" width="5.375" style="569" customWidth="1"/>
    <col min="4354" max="4354" width="13.125" style="569" customWidth="1"/>
    <col min="4355" max="4355" width="43.875" style="569" customWidth="1"/>
    <col min="4356" max="4356" width="13.25" style="569" customWidth="1"/>
    <col min="4357" max="4357" width="10.375" style="569" customWidth="1"/>
    <col min="4358" max="4358" width="11" style="569" customWidth="1"/>
    <col min="4359" max="4360" width="12.125" style="569" customWidth="1"/>
    <col min="4361" max="4361" width="3.625" style="569" customWidth="1"/>
    <col min="4362" max="4362" width="12.875" style="569" customWidth="1"/>
    <col min="4363" max="4364" width="12.125" style="569" customWidth="1"/>
    <col min="4365" max="4365" width="11.375" style="569" customWidth="1"/>
    <col min="4366" max="4367" width="11.875" style="569" customWidth="1"/>
    <col min="4368" max="4368" width="11.75" style="569" customWidth="1"/>
    <col min="4369" max="4369" width="11.375" style="569" customWidth="1"/>
    <col min="4370" max="4370" width="11.875" style="569" customWidth="1"/>
    <col min="4371" max="4371" width="11.375" style="569" customWidth="1"/>
    <col min="4372" max="4372" width="10.375" style="569" customWidth="1"/>
    <col min="4373" max="4373" width="12.875" style="569" customWidth="1"/>
    <col min="4374" max="4374" width="11.75" style="569" customWidth="1"/>
    <col min="4375" max="4375" width="11" style="569" customWidth="1"/>
    <col min="4376" max="4608" width="9" style="569"/>
    <col min="4609" max="4609" width="5.375" style="569" customWidth="1"/>
    <col min="4610" max="4610" width="13.125" style="569" customWidth="1"/>
    <col min="4611" max="4611" width="43.875" style="569" customWidth="1"/>
    <col min="4612" max="4612" width="13.25" style="569" customWidth="1"/>
    <col min="4613" max="4613" width="10.375" style="569" customWidth="1"/>
    <col min="4614" max="4614" width="11" style="569" customWidth="1"/>
    <col min="4615" max="4616" width="12.125" style="569" customWidth="1"/>
    <col min="4617" max="4617" width="3.625" style="569" customWidth="1"/>
    <col min="4618" max="4618" width="12.875" style="569" customWidth="1"/>
    <col min="4619" max="4620" width="12.125" style="569" customWidth="1"/>
    <col min="4621" max="4621" width="11.375" style="569" customWidth="1"/>
    <col min="4622" max="4623" width="11.875" style="569" customWidth="1"/>
    <col min="4624" max="4624" width="11.75" style="569" customWidth="1"/>
    <col min="4625" max="4625" width="11.375" style="569" customWidth="1"/>
    <col min="4626" max="4626" width="11.875" style="569" customWidth="1"/>
    <col min="4627" max="4627" width="11.375" style="569" customWidth="1"/>
    <col min="4628" max="4628" width="10.375" style="569" customWidth="1"/>
    <col min="4629" max="4629" width="12.875" style="569" customWidth="1"/>
    <col min="4630" max="4630" width="11.75" style="569" customWidth="1"/>
    <col min="4631" max="4631" width="11" style="569" customWidth="1"/>
    <col min="4632" max="4864" width="9" style="569"/>
    <col min="4865" max="4865" width="5.375" style="569" customWidth="1"/>
    <col min="4866" max="4866" width="13.125" style="569" customWidth="1"/>
    <col min="4867" max="4867" width="43.875" style="569" customWidth="1"/>
    <col min="4868" max="4868" width="13.25" style="569" customWidth="1"/>
    <col min="4869" max="4869" width="10.375" style="569" customWidth="1"/>
    <col min="4870" max="4870" width="11" style="569" customWidth="1"/>
    <col min="4871" max="4872" width="12.125" style="569" customWidth="1"/>
    <col min="4873" max="4873" width="3.625" style="569" customWidth="1"/>
    <col min="4874" max="4874" width="12.875" style="569" customWidth="1"/>
    <col min="4875" max="4876" width="12.125" style="569" customWidth="1"/>
    <col min="4877" max="4877" width="11.375" style="569" customWidth="1"/>
    <col min="4878" max="4879" width="11.875" style="569" customWidth="1"/>
    <col min="4880" max="4880" width="11.75" style="569" customWidth="1"/>
    <col min="4881" max="4881" width="11.375" style="569" customWidth="1"/>
    <col min="4882" max="4882" width="11.875" style="569" customWidth="1"/>
    <col min="4883" max="4883" width="11.375" style="569" customWidth="1"/>
    <col min="4884" max="4884" width="10.375" style="569" customWidth="1"/>
    <col min="4885" max="4885" width="12.875" style="569" customWidth="1"/>
    <col min="4886" max="4886" width="11.75" style="569" customWidth="1"/>
    <col min="4887" max="4887" width="11" style="569" customWidth="1"/>
    <col min="4888" max="5120" width="9" style="569"/>
    <col min="5121" max="5121" width="5.375" style="569" customWidth="1"/>
    <col min="5122" max="5122" width="13.125" style="569" customWidth="1"/>
    <col min="5123" max="5123" width="43.875" style="569" customWidth="1"/>
    <col min="5124" max="5124" width="13.25" style="569" customWidth="1"/>
    <col min="5125" max="5125" width="10.375" style="569" customWidth="1"/>
    <col min="5126" max="5126" width="11" style="569" customWidth="1"/>
    <col min="5127" max="5128" width="12.125" style="569" customWidth="1"/>
    <col min="5129" max="5129" width="3.625" style="569" customWidth="1"/>
    <col min="5130" max="5130" width="12.875" style="569" customWidth="1"/>
    <col min="5131" max="5132" width="12.125" style="569" customWidth="1"/>
    <col min="5133" max="5133" width="11.375" style="569" customWidth="1"/>
    <col min="5134" max="5135" width="11.875" style="569" customWidth="1"/>
    <col min="5136" max="5136" width="11.75" style="569" customWidth="1"/>
    <col min="5137" max="5137" width="11.375" style="569" customWidth="1"/>
    <col min="5138" max="5138" width="11.875" style="569" customWidth="1"/>
    <col min="5139" max="5139" width="11.375" style="569" customWidth="1"/>
    <col min="5140" max="5140" width="10.375" style="569" customWidth="1"/>
    <col min="5141" max="5141" width="12.875" style="569" customWidth="1"/>
    <col min="5142" max="5142" width="11.75" style="569" customWidth="1"/>
    <col min="5143" max="5143" width="11" style="569" customWidth="1"/>
    <col min="5144" max="5376" width="9" style="569"/>
    <col min="5377" max="5377" width="5.375" style="569" customWidth="1"/>
    <col min="5378" max="5378" width="13.125" style="569" customWidth="1"/>
    <col min="5379" max="5379" width="43.875" style="569" customWidth="1"/>
    <col min="5380" max="5380" width="13.25" style="569" customWidth="1"/>
    <col min="5381" max="5381" width="10.375" style="569" customWidth="1"/>
    <col min="5382" max="5382" width="11" style="569" customWidth="1"/>
    <col min="5383" max="5384" width="12.125" style="569" customWidth="1"/>
    <col min="5385" max="5385" width="3.625" style="569" customWidth="1"/>
    <col min="5386" max="5386" width="12.875" style="569" customWidth="1"/>
    <col min="5387" max="5388" width="12.125" style="569" customWidth="1"/>
    <col min="5389" max="5389" width="11.375" style="569" customWidth="1"/>
    <col min="5390" max="5391" width="11.875" style="569" customWidth="1"/>
    <col min="5392" max="5392" width="11.75" style="569" customWidth="1"/>
    <col min="5393" max="5393" width="11.375" style="569" customWidth="1"/>
    <col min="5394" max="5394" width="11.875" style="569" customWidth="1"/>
    <col min="5395" max="5395" width="11.375" style="569" customWidth="1"/>
    <col min="5396" max="5396" width="10.375" style="569" customWidth="1"/>
    <col min="5397" max="5397" width="12.875" style="569" customWidth="1"/>
    <col min="5398" max="5398" width="11.75" style="569" customWidth="1"/>
    <col min="5399" max="5399" width="11" style="569" customWidth="1"/>
    <col min="5400" max="5632" width="9" style="569"/>
    <col min="5633" max="5633" width="5.375" style="569" customWidth="1"/>
    <col min="5634" max="5634" width="13.125" style="569" customWidth="1"/>
    <col min="5635" max="5635" width="43.875" style="569" customWidth="1"/>
    <col min="5636" max="5636" width="13.25" style="569" customWidth="1"/>
    <col min="5637" max="5637" width="10.375" style="569" customWidth="1"/>
    <col min="5638" max="5638" width="11" style="569" customWidth="1"/>
    <col min="5639" max="5640" width="12.125" style="569" customWidth="1"/>
    <col min="5641" max="5641" width="3.625" style="569" customWidth="1"/>
    <col min="5642" max="5642" width="12.875" style="569" customWidth="1"/>
    <col min="5643" max="5644" width="12.125" style="569" customWidth="1"/>
    <col min="5645" max="5645" width="11.375" style="569" customWidth="1"/>
    <col min="5646" max="5647" width="11.875" style="569" customWidth="1"/>
    <col min="5648" max="5648" width="11.75" style="569" customWidth="1"/>
    <col min="5649" max="5649" width="11.375" style="569" customWidth="1"/>
    <col min="5650" max="5650" width="11.875" style="569" customWidth="1"/>
    <col min="5651" max="5651" width="11.375" style="569" customWidth="1"/>
    <col min="5652" max="5652" width="10.375" style="569" customWidth="1"/>
    <col min="5653" max="5653" width="12.875" style="569" customWidth="1"/>
    <col min="5654" max="5654" width="11.75" style="569" customWidth="1"/>
    <col min="5655" max="5655" width="11" style="569" customWidth="1"/>
    <col min="5656" max="5888" width="9" style="569"/>
    <col min="5889" max="5889" width="5.375" style="569" customWidth="1"/>
    <col min="5890" max="5890" width="13.125" style="569" customWidth="1"/>
    <col min="5891" max="5891" width="43.875" style="569" customWidth="1"/>
    <col min="5892" max="5892" width="13.25" style="569" customWidth="1"/>
    <col min="5893" max="5893" width="10.375" style="569" customWidth="1"/>
    <col min="5894" max="5894" width="11" style="569" customWidth="1"/>
    <col min="5895" max="5896" width="12.125" style="569" customWidth="1"/>
    <col min="5897" max="5897" width="3.625" style="569" customWidth="1"/>
    <col min="5898" max="5898" width="12.875" style="569" customWidth="1"/>
    <col min="5899" max="5900" width="12.125" style="569" customWidth="1"/>
    <col min="5901" max="5901" width="11.375" style="569" customWidth="1"/>
    <col min="5902" max="5903" width="11.875" style="569" customWidth="1"/>
    <col min="5904" max="5904" width="11.75" style="569" customWidth="1"/>
    <col min="5905" max="5905" width="11.375" style="569" customWidth="1"/>
    <col min="5906" max="5906" width="11.875" style="569" customWidth="1"/>
    <col min="5907" max="5907" width="11.375" style="569" customWidth="1"/>
    <col min="5908" max="5908" width="10.375" style="569" customWidth="1"/>
    <col min="5909" max="5909" width="12.875" style="569" customWidth="1"/>
    <col min="5910" max="5910" width="11.75" style="569" customWidth="1"/>
    <col min="5911" max="5911" width="11" style="569" customWidth="1"/>
    <col min="5912" max="6144" width="9" style="569"/>
    <col min="6145" max="6145" width="5.375" style="569" customWidth="1"/>
    <col min="6146" max="6146" width="13.125" style="569" customWidth="1"/>
    <col min="6147" max="6147" width="43.875" style="569" customWidth="1"/>
    <col min="6148" max="6148" width="13.25" style="569" customWidth="1"/>
    <col min="6149" max="6149" width="10.375" style="569" customWidth="1"/>
    <col min="6150" max="6150" width="11" style="569" customWidth="1"/>
    <col min="6151" max="6152" width="12.125" style="569" customWidth="1"/>
    <col min="6153" max="6153" width="3.625" style="569" customWidth="1"/>
    <col min="6154" max="6154" width="12.875" style="569" customWidth="1"/>
    <col min="6155" max="6156" width="12.125" style="569" customWidth="1"/>
    <col min="6157" max="6157" width="11.375" style="569" customWidth="1"/>
    <col min="6158" max="6159" width="11.875" style="569" customWidth="1"/>
    <col min="6160" max="6160" width="11.75" style="569" customWidth="1"/>
    <col min="6161" max="6161" width="11.375" style="569" customWidth="1"/>
    <col min="6162" max="6162" width="11.875" style="569" customWidth="1"/>
    <col min="6163" max="6163" width="11.375" style="569" customWidth="1"/>
    <col min="6164" max="6164" width="10.375" style="569" customWidth="1"/>
    <col min="6165" max="6165" width="12.875" style="569" customWidth="1"/>
    <col min="6166" max="6166" width="11.75" style="569" customWidth="1"/>
    <col min="6167" max="6167" width="11" style="569" customWidth="1"/>
    <col min="6168" max="6400" width="9" style="569"/>
    <col min="6401" max="6401" width="5.375" style="569" customWidth="1"/>
    <col min="6402" max="6402" width="13.125" style="569" customWidth="1"/>
    <col min="6403" max="6403" width="43.875" style="569" customWidth="1"/>
    <col min="6404" max="6404" width="13.25" style="569" customWidth="1"/>
    <col min="6405" max="6405" width="10.375" style="569" customWidth="1"/>
    <col min="6406" max="6406" width="11" style="569" customWidth="1"/>
    <col min="6407" max="6408" width="12.125" style="569" customWidth="1"/>
    <col min="6409" max="6409" width="3.625" style="569" customWidth="1"/>
    <col min="6410" max="6410" width="12.875" style="569" customWidth="1"/>
    <col min="6411" max="6412" width="12.125" style="569" customWidth="1"/>
    <col min="6413" max="6413" width="11.375" style="569" customWidth="1"/>
    <col min="6414" max="6415" width="11.875" style="569" customWidth="1"/>
    <col min="6416" max="6416" width="11.75" style="569" customWidth="1"/>
    <col min="6417" max="6417" width="11.375" style="569" customWidth="1"/>
    <col min="6418" max="6418" width="11.875" style="569" customWidth="1"/>
    <col min="6419" max="6419" width="11.375" style="569" customWidth="1"/>
    <col min="6420" max="6420" width="10.375" style="569" customWidth="1"/>
    <col min="6421" max="6421" width="12.875" style="569" customWidth="1"/>
    <col min="6422" max="6422" width="11.75" style="569" customWidth="1"/>
    <col min="6423" max="6423" width="11" style="569" customWidth="1"/>
    <col min="6424" max="6656" width="9" style="569"/>
    <col min="6657" max="6657" width="5.375" style="569" customWidth="1"/>
    <col min="6658" max="6658" width="13.125" style="569" customWidth="1"/>
    <col min="6659" max="6659" width="43.875" style="569" customWidth="1"/>
    <col min="6660" max="6660" width="13.25" style="569" customWidth="1"/>
    <col min="6661" max="6661" width="10.375" style="569" customWidth="1"/>
    <col min="6662" max="6662" width="11" style="569" customWidth="1"/>
    <col min="6663" max="6664" width="12.125" style="569" customWidth="1"/>
    <col min="6665" max="6665" width="3.625" style="569" customWidth="1"/>
    <col min="6666" max="6666" width="12.875" style="569" customWidth="1"/>
    <col min="6667" max="6668" width="12.125" style="569" customWidth="1"/>
    <col min="6669" max="6669" width="11.375" style="569" customWidth="1"/>
    <col min="6670" max="6671" width="11.875" style="569" customWidth="1"/>
    <col min="6672" max="6672" width="11.75" style="569" customWidth="1"/>
    <col min="6673" max="6673" width="11.375" style="569" customWidth="1"/>
    <col min="6674" max="6674" width="11.875" style="569" customWidth="1"/>
    <col min="6675" max="6675" width="11.375" style="569" customWidth="1"/>
    <col min="6676" max="6676" width="10.375" style="569" customWidth="1"/>
    <col min="6677" max="6677" width="12.875" style="569" customWidth="1"/>
    <col min="6678" max="6678" width="11.75" style="569" customWidth="1"/>
    <col min="6679" max="6679" width="11" style="569" customWidth="1"/>
    <col min="6680" max="6912" width="9" style="569"/>
    <col min="6913" max="6913" width="5.375" style="569" customWidth="1"/>
    <col min="6914" max="6914" width="13.125" style="569" customWidth="1"/>
    <col min="6915" max="6915" width="43.875" style="569" customWidth="1"/>
    <col min="6916" max="6916" width="13.25" style="569" customWidth="1"/>
    <col min="6917" max="6917" width="10.375" style="569" customWidth="1"/>
    <col min="6918" max="6918" width="11" style="569" customWidth="1"/>
    <col min="6919" max="6920" width="12.125" style="569" customWidth="1"/>
    <col min="6921" max="6921" width="3.625" style="569" customWidth="1"/>
    <col min="6922" max="6922" width="12.875" style="569" customWidth="1"/>
    <col min="6923" max="6924" width="12.125" style="569" customWidth="1"/>
    <col min="6925" max="6925" width="11.375" style="569" customWidth="1"/>
    <col min="6926" max="6927" width="11.875" style="569" customWidth="1"/>
    <col min="6928" max="6928" width="11.75" style="569" customWidth="1"/>
    <col min="6929" max="6929" width="11.375" style="569" customWidth="1"/>
    <col min="6930" max="6930" width="11.875" style="569" customWidth="1"/>
    <col min="6931" max="6931" width="11.375" style="569" customWidth="1"/>
    <col min="6932" max="6932" width="10.375" style="569" customWidth="1"/>
    <col min="6933" max="6933" width="12.875" style="569" customWidth="1"/>
    <col min="6934" max="6934" width="11.75" style="569" customWidth="1"/>
    <col min="6935" max="6935" width="11" style="569" customWidth="1"/>
    <col min="6936" max="7168" width="9" style="569"/>
    <col min="7169" max="7169" width="5.375" style="569" customWidth="1"/>
    <col min="7170" max="7170" width="13.125" style="569" customWidth="1"/>
    <col min="7171" max="7171" width="43.875" style="569" customWidth="1"/>
    <col min="7172" max="7172" width="13.25" style="569" customWidth="1"/>
    <col min="7173" max="7173" width="10.375" style="569" customWidth="1"/>
    <col min="7174" max="7174" width="11" style="569" customWidth="1"/>
    <col min="7175" max="7176" width="12.125" style="569" customWidth="1"/>
    <col min="7177" max="7177" width="3.625" style="569" customWidth="1"/>
    <col min="7178" max="7178" width="12.875" style="569" customWidth="1"/>
    <col min="7179" max="7180" width="12.125" style="569" customWidth="1"/>
    <col min="7181" max="7181" width="11.375" style="569" customWidth="1"/>
    <col min="7182" max="7183" width="11.875" style="569" customWidth="1"/>
    <col min="7184" max="7184" width="11.75" style="569" customWidth="1"/>
    <col min="7185" max="7185" width="11.375" style="569" customWidth="1"/>
    <col min="7186" max="7186" width="11.875" style="569" customWidth="1"/>
    <col min="7187" max="7187" width="11.375" style="569" customWidth="1"/>
    <col min="7188" max="7188" width="10.375" style="569" customWidth="1"/>
    <col min="7189" max="7189" width="12.875" style="569" customWidth="1"/>
    <col min="7190" max="7190" width="11.75" style="569" customWidth="1"/>
    <col min="7191" max="7191" width="11" style="569" customWidth="1"/>
    <col min="7192" max="7424" width="9" style="569"/>
    <col min="7425" max="7425" width="5.375" style="569" customWidth="1"/>
    <col min="7426" max="7426" width="13.125" style="569" customWidth="1"/>
    <col min="7427" max="7427" width="43.875" style="569" customWidth="1"/>
    <col min="7428" max="7428" width="13.25" style="569" customWidth="1"/>
    <col min="7429" max="7429" width="10.375" style="569" customWidth="1"/>
    <col min="7430" max="7430" width="11" style="569" customWidth="1"/>
    <col min="7431" max="7432" width="12.125" style="569" customWidth="1"/>
    <col min="7433" max="7433" width="3.625" style="569" customWidth="1"/>
    <col min="7434" max="7434" width="12.875" style="569" customWidth="1"/>
    <col min="7435" max="7436" width="12.125" style="569" customWidth="1"/>
    <col min="7437" max="7437" width="11.375" style="569" customWidth="1"/>
    <col min="7438" max="7439" width="11.875" style="569" customWidth="1"/>
    <col min="7440" max="7440" width="11.75" style="569" customWidth="1"/>
    <col min="7441" max="7441" width="11.375" style="569" customWidth="1"/>
    <col min="7442" max="7442" width="11.875" style="569" customWidth="1"/>
    <col min="7443" max="7443" width="11.375" style="569" customWidth="1"/>
    <col min="7444" max="7444" width="10.375" style="569" customWidth="1"/>
    <col min="7445" max="7445" width="12.875" style="569" customWidth="1"/>
    <col min="7446" max="7446" width="11.75" style="569" customWidth="1"/>
    <col min="7447" max="7447" width="11" style="569" customWidth="1"/>
    <col min="7448" max="7680" width="9" style="569"/>
    <col min="7681" max="7681" width="5.375" style="569" customWidth="1"/>
    <col min="7682" max="7682" width="13.125" style="569" customWidth="1"/>
    <col min="7683" max="7683" width="43.875" style="569" customWidth="1"/>
    <col min="7684" max="7684" width="13.25" style="569" customWidth="1"/>
    <col min="7685" max="7685" width="10.375" style="569" customWidth="1"/>
    <col min="7686" max="7686" width="11" style="569" customWidth="1"/>
    <col min="7687" max="7688" width="12.125" style="569" customWidth="1"/>
    <col min="7689" max="7689" width="3.625" style="569" customWidth="1"/>
    <col min="7690" max="7690" width="12.875" style="569" customWidth="1"/>
    <col min="7691" max="7692" width="12.125" style="569" customWidth="1"/>
    <col min="7693" max="7693" width="11.375" style="569" customWidth="1"/>
    <col min="7694" max="7695" width="11.875" style="569" customWidth="1"/>
    <col min="7696" max="7696" width="11.75" style="569" customWidth="1"/>
    <col min="7697" max="7697" width="11.375" style="569" customWidth="1"/>
    <col min="7698" max="7698" width="11.875" style="569" customWidth="1"/>
    <col min="7699" max="7699" width="11.375" style="569" customWidth="1"/>
    <col min="7700" max="7700" width="10.375" style="569" customWidth="1"/>
    <col min="7701" max="7701" width="12.875" style="569" customWidth="1"/>
    <col min="7702" max="7702" width="11.75" style="569" customWidth="1"/>
    <col min="7703" max="7703" width="11" style="569" customWidth="1"/>
    <col min="7704" max="7936" width="9" style="569"/>
    <col min="7937" max="7937" width="5.375" style="569" customWidth="1"/>
    <col min="7938" max="7938" width="13.125" style="569" customWidth="1"/>
    <col min="7939" max="7939" width="43.875" style="569" customWidth="1"/>
    <col min="7940" max="7940" width="13.25" style="569" customWidth="1"/>
    <col min="7941" max="7941" width="10.375" style="569" customWidth="1"/>
    <col min="7942" max="7942" width="11" style="569" customWidth="1"/>
    <col min="7943" max="7944" width="12.125" style="569" customWidth="1"/>
    <col min="7945" max="7945" width="3.625" style="569" customWidth="1"/>
    <col min="7946" max="7946" width="12.875" style="569" customWidth="1"/>
    <col min="7947" max="7948" width="12.125" style="569" customWidth="1"/>
    <col min="7949" max="7949" width="11.375" style="569" customWidth="1"/>
    <col min="7950" max="7951" width="11.875" style="569" customWidth="1"/>
    <col min="7952" max="7952" width="11.75" style="569" customWidth="1"/>
    <col min="7953" max="7953" width="11.375" style="569" customWidth="1"/>
    <col min="7954" max="7954" width="11.875" style="569" customWidth="1"/>
    <col min="7955" max="7955" width="11.375" style="569" customWidth="1"/>
    <col min="7956" max="7956" width="10.375" style="569" customWidth="1"/>
    <col min="7957" max="7957" width="12.875" style="569" customWidth="1"/>
    <col min="7958" max="7958" width="11.75" style="569" customWidth="1"/>
    <col min="7959" max="7959" width="11" style="569" customWidth="1"/>
    <col min="7960" max="8192" width="9" style="569"/>
    <col min="8193" max="8193" width="5.375" style="569" customWidth="1"/>
    <col min="8194" max="8194" width="13.125" style="569" customWidth="1"/>
    <col min="8195" max="8195" width="43.875" style="569" customWidth="1"/>
    <col min="8196" max="8196" width="13.25" style="569" customWidth="1"/>
    <col min="8197" max="8197" width="10.375" style="569" customWidth="1"/>
    <col min="8198" max="8198" width="11" style="569" customWidth="1"/>
    <col min="8199" max="8200" width="12.125" style="569" customWidth="1"/>
    <col min="8201" max="8201" width="3.625" style="569" customWidth="1"/>
    <col min="8202" max="8202" width="12.875" style="569" customWidth="1"/>
    <col min="8203" max="8204" width="12.125" style="569" customWidth="1"/>
    <col min="8205" max="8205" width="11.375" style="569" customWidth="1"/>
    <col min="8206" max="8207" width="11.875" style="569" customWidth="1"/>
    <col min="8208" max="8208" width="11.75" style="569" customWidth="1"/>
    <col min="8209" max="8209" width="11.375" style="569" customWidth="1"/>
    <col min="8210" max="8210" width="11.875" style="569" customWidth="1"/>
    <col min="8211" max="8211" width="11.375" style="569" customWidth="1"/>
    <col min="8212" max="8212" width="10.375" style="569" customWidth="1"/>
    <col min="8213" max="8213" width="12.875" style="569" customWidth="1"/>
    <col min="8214" max="8214" width="11.75" style="569" customWidth="1"/>
    <col min="8215" max="8215" width="11" style="569" customWidth="1"/>
    <col min="8216" max="8448" width="9" style="569"/>
    <col min="8449" max="8449" width="5.375" style="569" customWidth="1"/>
    <col min="8450" max="8450" width="13.125" style="569" customWidth="1"/>
    <col min="8451" max="8451" width="43.875" style="569" customWidth="1"/>
    <col min="8452" max="8452" width="13.25" style="569" customWidth="1"/>
    <col min="8453" max="8453" width="10.375" style="569" customWidth="1"/>
    <col min="8454" max="8454" width="11" style="569" customWidth="1"/>
    <col min="8455" max="8456" width="12.125" style="569" customWidth="1"/>
    <col min="8457" max="8457" width="3.625" style="569" customWidth="1"/>
    <col min="8458" max="8458" width="12.875" style="569" customWidth="1"/>
    <col min="8459" max="8460" width="12.125" style="569" customWidth="1"/>
    <col min="8461" max="8461" width="11.375" style="569" customWidth="1"/>
    <col min="8462" max="8463" width="11.875" style="569" customWidth="1"/>
    <col min="8464" max="8464" width="11.75" style="569" customWidth="1"/>
    <col min="8465" max="8465" width="11.375" style="569" customWidth="1"/>
    <col min="8466" max="8466" width="11.875" style="569" customWidth="1"/>
    <col min="8467" max="8467" width="11.375" style="569" customWidth="1"/>
    <col min="8468" max="8468" width="10.375" style="569" customWidth="1"/>
    <col min="8469" max="8469" width="12.875" style="569" customWidth="1"/>
    <col min="8470" max="8470" width="11.75" style="569" customWidth="1"/>
    <col min="8471" max="8471" width="11" style="569" customWidth="1"/>
    <col min="8472" max="8704" width="9" style="569"/>
    <col min="8705" max="8705" width="5.375" style="569" customWidth="1"/>
    <col min="8706" max="8706" width="13.125" style="569" customWidth="1"/>
    <col min="8707" max="8707" width="43.875" style="569" customWidth="1"/>
    <col min="8708" max="8708" width="13.25" style="569" customWidth="1"/>
    <col min="8709" max="8709" width="10.375" style="569" customWidth="1"/>
    <col min="8710" max="8710" width="11" style="569" customWidth="1"/>
    <col min="8711" max="8712" width="12.125" style="569" customWidth="1"/>
    <col min="8713" max="8713" width="3.625" style="569" customWidth="1"/>
    <col min="8714" max="8714" width="12.875" style="569" customWidth="1"/>
    <col min="8715" max="8716" width="12.125" style="569" customWidth="1"/>
    <col min="8717" max="8717" width="11.375" style="569" customWidth="1"/>
    <col min="8718" max="8719" width="11.875" style="569" customWidth="1"/>
    <col min="8720" max="8720" width="11.75" style="569" customWidth="1"/>
    <col min="8721" max="8721" width="11.375" style="569" customWidth="1"/>
    <col min="8722" max="8722" width="11.875" style="569" customWidth="1"/>
    <col min="8723" max="8723" width="11.375" style="569" customWidth="1"/>
    <col min="8724" max="8724" width="10.375" style="569" customWidth="1"/>
    <col min="8725" max="8725" width="12.875" style="569" customWidth="1"/>
    <col min="8726" max="8726" width="11.75" style="569" customWidth="1"/>
    <col min="8727" max="8727" width="11" style="569" customWidth="1"/>
    <col min="8728" max="8960" width="9" style="569"/>
    <col min="8961" max="8961" width="5.375" style="569" customWidth="1"/>
    <col min="8962" max="8962" width="13.125" style="569" customWidth="1"/>
    <col min="8963" max="8963" width="43.875" style="569" customWidth="1"/>
    <col min="8964" max="8964" width="13.25" style="569" customWidth="1"/>
    <col min="8965" max="8965" width="10.375" style="569" customWidth="1"/>
    <col min="8966" max="8966" width="11" style="569" customWidth="1"/>
    <col min="8967" max="8968" width="12.125" style="569" customWidth="1"/>
    <col min="8969" max="8969" width="3.625" style="569" customWidth="1"/>
    <col min="8970" max="8970" width="12.875" style="569" customWidth="1"/>
    <col min="8971" max="8972" width="12.125" style="569" customWidth="1"/>
    <col min="8973" max="8973" width="11.375" style="569" customWidth="1"/>
    <col min="8974" max="8975" width="11.875" style="569" customWidth="1"/>
    <col min="8976" max="8976" width="11.75" style="569" customWidth="1"/>
    <col min="8977" max="8977" width="11.375" style="569" customWidth="1"/>
    <col min="8978" max="8978" width="11.875" style="569" customWidth="1"/>
    <col min="8979" max="8979" width="11.375" style="569" customWidth="1"/>
    <col min="8980" max="8980" width="10.375" style="569" customWidth="1"/>
    <col min="8981" max="8981" width="12.875" style="569" customWidth="1"/>
    <col min="8982" max="8982" width="11.75" style="569" customWidth="1"/>
    <col min="8983" max="8983" width="11" style="569" customWidth="1"/>
    <col min="8984" max="9216" width="9" style="569"/>
    <col min="9217" max="9217" width="5.375" style="569" customWidth="1"/>
    <col min="9218" max="9218" width="13.125" style="569" customWidth="1"/>
    <col min="9219" max="9219" width="43.875" style="569" customWidth="1"/>
    <col min="9220" max="9220" width="13.25" style="569" customWidth="1"/>
    <col min="9221" max="9221" width="10.375" style="569" customWidth="1"/>
    <col min="9222" max="9222" width="11" style="569" customWidth="1"/>
    <col min="9223" max="9224" width="12.125" style="569" customWidth="1"/>
    <col min="9225" max="9225" width="3.625" style="569" customWidth="1"/>
    <col min="9226" max="9226" width="12.875" style="569" customWidth="1"/>
    <col min="9227" max="9228" width="12.125" style="569" customWidth="1"/>
    <col min="9229" max="9229" width="11.375" style="569" customWidth="1"/>
    <col min="9230" max="9231" width="11.875" style="569" customWidth="1"/>
    <col min="9232" max="9232" width="11.75" style="569" customWidth="1"/>
    <col min="9233" max="9233" width="11.375" style="569" customWidth="1"/>
    <col min="9234" max="9234" width="11.875" style="569" customWidth="1"/>
    <col min="9235" max="9235" width="11.375" style="569" customWidth="1"/>
    <col min="9236" max="9236" width="10.375" style="569" customWidth="1"/>
    <col min="9237" max="9237" width="12.875" style="569" customWidth="1"/>
    <col min="9238" max="9238" width="11.75" style="569" customWidth="1"/>
    <col min="9239" max="9239" width="11" style="569" customWidth="1"/>
    <col min="9240" max="9472" width="9" style="569"/>
    <col min="9473" max="9473" width="5.375" style="569" customWidth="1"/>
    <col min="9474" max="9474" width="13.125" style="569" customWidth="1"/>
    <col min="9475" max="9475" width="43.875" style="569" customWidth="1"/>
    <col min="9476" max="9476" width="13.25" style="569" customWidth="1"/>
    <col min="9477" max="9477" width="10.375" style="569" customWidth="1"/>
    <col min="9478" max="9478" width="11" style="569" customWidth="1"/>
    <col min="9479" max="9480" width="12.125" style="569" customWidth="1"/>
    <col min="9481" max="9481" width="3.625" style="569" customWidth="1"/>
    <col min="9482" max="9482" width="12.875" style="569" customWidth="1"/>
    <col min="9483" max="9484" width="12.125" style="569" customWidth="1"/>
    <col min="9485" max="9485" width="11.375" style="569" customWidth="1"/>
    <col min="9486" max="9487" width="11.875" style="569" customWidth="1"/>
    <col min="9488" max="9488" width="11.75" style="569" customWidth="1"/>
    <col min="9489" max="9489" width="11.375" style="569" customWidth="1"/>
    <col min="9490" max="9490" width="11.875" style="569" customWidth="1"/>
    <col min="9491" max="9491" width="11.375" style="569" customWidth="1"/>
    <col min="9492" max="9492" width="10.375" style="569" customWidth="1"/>
    <col min="9493" max="9493" width="12.875" style="569" customWidth="1"/>
    <col min="9494" max="9494" width="11.75" style="569" customWidth="1"/>
    <col min="9495" max="9495" width="11" style="569" customWidth="1"/>
    <col min="9496" max="9728" width="9" style="569"/>
    <col min="9729" max="9729" width="5.375" style="569" customWidth="1"/>
    <col min="9730" max="9730" width="13.125" style="569" customWidth="1"/>
    <col min="9731" max="9731" width="43.875" style="569" customWidth="1"/>
    <col min="9732" max="9732" width="13.25" style="569" customWidth="1"/>
    <col min="9733" max="9733" width="10.375" style="569" customWidth="1"/>
    <col min="9734" max="9734" width="11" style="569" customWidth="1"/>
    <col min="9735" max="9736" width="12.125" style="569" customWidth="1"/>
    <col min="9737" max="9737" width="3.625" style="569" customWidth="1"/>
    <col min="9738" max="9738" width="12.875" style="569" customWidth="1"/>
    <col min="9739" max="9740" width="12.125" style="569" customWidth="1"/>
    <col min="9741" max="9741" width="11.375" style="569" customWidth="1"/>
    <col min="9742" max="9743" width="11.875" style="569" customWidth="1"/>
    <col min="9744" max="9744" width="11.75" style="569" customWidth="1"/>
    <col min="9745" max="9745" width="11.375" style="569" customWidth="1"/>
    <col min="9746" max="9746" width="11.875" style="569" customWidth="1"/>
    <col min="9747" max="9747" width="11.375" style="569" customWidth="1"/>
    <col min="9748" max="9748" width="10.375" style="569" customWidth="1"/>
    <col min="9749" max="9749" width="12.875" style="569" customWidth="1"/>
    <col min="9750" max="9750" width="11.75" style="569" customWidth="1"/>
    <col min="9751" max="9751" width="11" style="569" customWidth="1"/>
    <col min="9752" max="9984" width="9" style="569"/>
    <col min="9985" max="9985" width="5.375" style="569" customWidth="1"/>
    <col min="9986" max="9986" width="13.125" style="569" customWidth="1"/>
    <col min="9987" max="9987" width="43.875" style="569" customWidth="1"/>
    <col min="9988" max="9988" width="13.25" style="569" customWidth="1"/>
    <col min="9989" max="9989" width="10.375" style="569" customWidth="1"/>
    <col min="9990" max="9990" width="11" style="569" customWidth="1"/>
    <col min="9991" max="9992" width="12.125" style="569" customWidth="1"/>
    <col min="9993" max="9993" width="3.625" style="569" customWidth="1"/>
    <col min="9994" max="9994" width="12.875" style="569" customWidth="1"/>
    <col min="9995" max="9996" width="12.125" style="569" customWidth="1"/>
    <col min="9997" max="9997" width="11.375" style="569" customWidth="1"/>
    <col min="9998" max="9999" width="11.875" style="569" customWidth="1"/>
    <col min="10000" max="10000" width="11.75" style="569" customWidth="1"/>
    <col min="10001" max="10001" width="11.375" style="569" customWidth="1"/>
    <col min="10002" max="10002" width="11.875" style="569" customWidth="1"/>
    <col min="10003" max="10003" width="11.375" style="569" customWidth="1"/>
    <col min="10004" max="10004" width="10.375" style="569" customWidth="1"/>
    <col min="10005" max="10005" width="12.875" style="569" customWidth="1"/>
    <col min="10006" max="10006" width="11.75" style="569" customWidth="1"/>
    <col min="10007" max="10007" width="11" style="569" customWidth="1"/>
    <col min="10008" max="10240" width="9" style="569"/>
    <col min="10241" max="10241" width="5.375" style="569" customWidth="1"/>
    <col min="10242" max="10242" width="13.125" style="569" customWidth="1"/>
    <col min="10243" max="10243" width="43.875" style="569" customWidth="1"/>
    <col min="10244" max="10244" width="13.25" style="569" customWidth="1"/>
    <col min="10245" max="10245" width="10.375" style="569" customWidth="1"/>
    <col min="10246" max="10246" width="11" style="569" customWidth="1"/>
    <col min="10247" max="10248" width="12.125" style="569" customWidth="1"/>
    <col min="10249" max="10249" width="3.625" style="569" customWidth="1"/>
    <col min="10250" max="10250" width="12.875" style="569" customWidth="1"/>
    <col min="10251" max="10252" width="12.125" style="569" customWidth="1"/>
    <col min="10253" max="10253" width="11.375" style="569" customWidth="1"/>
    <col min="10254" max="10255" width="11.875" style="569" customWidth="1"/>
    <col min="10256" max="10256" width="11.75" style="569" customWidth="1"/>
    <col min="10257" max="10257" width="11.375" style="569" customWidth="1"/>
    <col min="10258" max="10258" width="11.875" style="569" customWidth="1"/>
    <col min="10259" max="10259" width="11.375" style="569" customWidth="1"/>
    <col min="10260" max="10260" width="10.375" style="569" customWidth="1"/>
    <col min="10261" max="10261" width="12.875" style="569" customWidth="1"/>
    <col min="10262" max="10262" width="11.75" style="569" customWidth="1"/>
    <col min="10263" max="10263" width="11" style="569" customWidth="1"/>
    <col min="10264" max="10496" width="9" style="569"/>
    <col min="10497" max="10497" width="5.375" style="569" customWidth="1"/>
    <col min="10498" max="10498" width="13.125" style="569" customWidth="1"/>
    <col min="10499" max="10499" width="43.875" style="569" customWidth="1"/>
    <col min="10500" max="10500" width="13.25" style="569" customWidth="1"/>
    <col min="10501" max="10501" width="10.375" style="569" customWidth="1"/>
    <col min="10502" max="10502" width="11" style="569" customWidth="1"/>
    <col min="10503" max="10504" width="12.125" style="569" customWidth="1"/>
    <col min="10505" max="10505" width="3.625" style="569" customWidth="1"/>
    <col min="10506" max="10506" width="12.875" style="569" customWidth="1"/>
    <col min="10507" max="10508" width="12.125" style="569" customWidth="1"/>
    <col min="10509" max="10509" width="11.375" style="569" customWidth="1"/>
    <col min="10510" max="10511" width="11.875" style="569" customWidth="1"/>
    <col min="10512" max="10512" width="11.75" style="569" customWidth="1"/>
    <col min="10513" max="10513" width="11.375" style="569" customWidth="1"/>
    <col min="10514" max="10514" width="11.875" style="569" customWidth="1"/>
    <col min="10515" max="10515" width="11.375" style="569" customWidth="1"/>
    <col min="10516" max="10516" width="10.375" style="569" customWidth="1"/>
    <col min="10517" max="10517" width="12.875" style="569" customWidth="1"/>
    <col min="10518" max="10518" width="11.75" style="569" customWidth="1"/>
    <col min="10519" max="10519" width="11" style="569" customWidth="1"/>
    <col min="10520" max="10752" width="9" style="569"/>
    <col min="10753" max="10753" width="5.375" style="569" customWidth="1"/>
    <col min="10754" max="10754" width="13.125" style="569" customWidth="1"/>
    <col min="10755" max="10755" width="43.875" style="569" customWidth="1"/>
    <col min="10756" max="10756" width="13.25" style="569" customWidth="1"/>
    <col min="10757" max="10757" width="10.375" style="569" customWidth="1"/>
    <col min="10758" max="10758" width="11" style="569" customWidth="1"/>
    <col min="10759" max="10760" width="12.125" style="569" customWidth="1"/>
    <col min="10761" max="10761" width="3.625" style="569" customWidth="1"/>
    <col min="10762" max="10762" width="12.875" style="569" customWidth="1"/>
    <col min="10763" max="10764" width="12.125" style="569" customWidth="1"/>
    <col min="10765" max="10765" width="11.375" style="569" customWidth="1"/>
    <col min="10766" max="10767" width="11.875" style="569" customWidth="1"/>
    <col min="10768" max="10768" width="11.75" style="569" customWidth="1"/>
    <col min="10769" max="10769" width="11.375" style="569" customWidth="1"/>
    <col min="10770" max="10770" width="11.875" style="569" customWidth="1"/>
    <col min="10771" max="10771" width="11.375" style="569" customWidth="1"/>
    <col min="10772" max="10772" width="10.375" style="569" customWidth="1"/>
    <col min="10773" max="10773" width="12.875" style="569" customWidth="1"/>
    <col min="10774" max="10774" width="11.75" style="569" customWidth="1"/>
    <col min="10775" max="10775" width="11" style="569" customWidth="1"/>
    <col min="10776" max="11008" width="9" style="569"/>
    <col min="11009" max="11009" width="5.375" style="569" customWidth="1"/>
    <col min="11010" max="11010" width="13.125" style="569" customWidth="1"/>
    <col min="11011" max="11011" width="43.875" style="569" customWidth="1"/>
    <col min="11012" max="11012" width="13.25" style="569" customWidth="1"/>
    <col min="11013" max="11013" width="10.375" style="569" customWidth="1"/>
    <col min="11014" max="11014" width="11" style="569" customWidth="1"/>
    <col min="11015" max="11016" width="12.125" style="569" customWidth="1"/>
    <col min="11017" max="11017" width="3.625" style="569" customWidth="1"/>
    <col min="11018" max="11018" width="12.875" style="569" customWidth="1"/>
    <col min="11019" max="11020" width="12.125" style="569" customWidth="1"/>
    <col min="11021" max="11021" width="11.375" style="569" customWidth="1"/>
    <col min="11022" max="11023" width="11.875" style="569" customWidth="1"/>
    <col min="11024" max="11024" width="11.75" style="569" customWidth="1"/>
    <col min="11025" max="11025" width="11.375" style="569" customWidth="1"/>
    <col min="11026" max="11026" width="11.875" style="569" customWidth="1"/>
    <col min="11027" max="11027" width="11.375" style="569" customWidth="1"/>
    <col min="11028" max="11028" width="10.375" style="569" customWidth="1"/>
    <col min="11029" max="11029" width="12.875" style="569" customWidth="1"/>
    <col min="11030" max="11030" width="11.75" style="569" customWidth="1"/>
    <col min="11031" max="11031" width="11" style="569" customWidth="1"/>
    <col min="11032" max="11264" width="9" style="569"/>
    <col min="11265" max="11265" width="5.375" style="569" customWidth="1"/>
    <col min="11266" max="11266" width="13.125" style="569" customWidth="1"/>
    <col min="11267" max="11267" width="43.875" style="569" customWidth="1"/>
    <col min="11268" max="11268" width="13.25" style="569" customWidth="1"/>
    <col min="11269" max="11269" width="10.375" style="569" customWidth="1"/>
    <col min="11270" max="11270" width="11" style="569" customWidth="1"/>
    <col min="11271" max="11272" width="12.125" style="569" customWidth="1"/>
    <col min="11273" max="11273" width="3.625" style="569" customWidth="1"/>
    <col min="11274" max="11274" width="12.875" style="569" customWidth="1"/>
    <col min="11275" max="11276" width="12.125" style="569" customWidth="1"/>
    <col min="11277" max="11277" width="11.375" style="569" customWidth="1"/>
    <col min="11278" max="11279" width="11.875" style="569" customWidth="1"/>
    <col min="11280" max="11280" width="11.75" style="569" customWidth="1"/>
    <col min="11281" max="11281" width="11.375" style="569" customWidth="1"/>
    <col min="11282" max="11282" width="11.875" style="569" customWidth="1"/>
    <col min="11283" max="11283" width="11.375" style="569" customWidth="1"/>
    <col min="11284" max="11284" width="10.375" style="569" customWidth="1"/>
    <col min="11285" max="11285" width="12.875" style="569" customWidth="1"/>
    <col min="11286" max="11286" width="11.75" style="569" customWidth="1"/>
    <col min="11287" max="11287" width="11" style="569" customWidth="1"/>
    <col min="11288" max="11520" width="9" style="569"/>
    <col min="11521" max="11521" width="5.375" style="569" customWidth="1"/>
    <col min="11522" max="11522" width="13.125" style="569" customWidth="1"/>
    <col min="11523" max="11523" width="43.875" style="569" customWidth="1"/>
    <col min="11524" max="11524" width="13.25" style="569" customWidth="1"/>
    <col min="11525" max="11525" width="10.375" style="569" customWidth="1"/>
    <col min="11526" max="11526" width="11" style="569" customWidth="1"/>
    <col min="11527" max="11528" width="12.125" style="569" customWidth="1"/>
    <col min="11529" max="11529" width="3.625" style="569" customWidth="1"/>
    <col min="11530" max="11530" width="12.875" style="569" customWidth="1"/>
    <col min="11531" max="11532" width="12.125" style="569" customWidth="1"/>
    <col min="11533" max="11533" width="11.375" style="569" customWidth="1"/>
    <col min="11534" max="11535" width="11.875" style="569" customWidth="1"/>
    <col min="11536" max="11536" width="11.75" style="569" customWidth="1"/>
    <col min="11537" max="11537" width="11.375" style="569" customWidth="1"/>
    <col min="11538" max="11538" width="11.875" style="569" customWidth="1"/>
    <col min="11539" max="11539" width="11.375" style="569" customWidth="1"/>
    <col min="11540" max="11540" width="10.375" style="569" customWidth="1"/>
    <col min="11541" max="11541" width="12.875" style="569" customWidth="1"/>
    <col min="11542" max="11542" width="11.75" style="569" customWidth="1"/>
    <col min="11543" max="11543" width="11" style="569" customWidth="1"/>
    <col min="11544" max="11776" width="9" style="569"/>
    <col min="11777" max="11777" width="5.375" style="569" customWidth="1"/>
    <col min="11778" max="11778" width="13.125" style="569" customWidth="1"/>
    <col min="11779" max="11779" width="43.875" style="569" customWidth="1"/>
    <col min="11780" max="11780" width="13.25" style="569" customWidth="1"/>
    <col min="11781" max="11781" width="10.375" style="569" customWidth="1"/>
    <col min="11782" max="11782" width="11" style="569" customWidth="1"/>
    <col min="11783" max="11784" width="12.125" style="569" customWidth="1"/>
    <col min="11785" max="11785" width="3.625" style="569" customWidth="1"/>
    <col min="11786" max="11786" width="12.875" style="569" customWidth="1"/>
    <col min="11787" max="11788" width="12.125" style="569" customWidth="1"/>
    <col min="11789" max="11789" width="11.375" style="569" customWidth="1"/>
    <col min="11790" max="11791" width="11.875" style="569" customWidth="1"/>
    <col min="11792" max="11792" width="11.75" style="569" customWidth="1"/>
    <col min="11793" max="11793" width="11.375" style="569" customWidth="1"/>
    <col min="11794" max="11794" width="11.875" style="569" customWidth="1"/>
    <col min="11795" max="11795" width="11.375" style="569" customWidth="1"/>
    <col min="11796" max="11796" width="10.375" style="569" customWidth="1"/>
    <col min="11797" max="11797" width="12.875" style="569" customWidth="1"/>
    <col min="11798" max="11798" width="11.75" style="569" customWidth="1"/>
    <col min="11799" max="11799" width="11" style="569" customWidth="1"/>
    <col min="11800" max="12032" width="9" style="569"/>
    <col min="12033" max="12033" width="5.375" style="569" customWidth="1"/>
    <col min="12034" max="12034" width="13.125" style="569" customWidth="1"/>
    <col min="12035" max="12035" width="43.875" style="569" customWidth="1"/>
    <col min="12036" max="12036" width="13.25" style="569" customWidth="1"/>
    <col min="12037" max="12037" width="10.375" style="569" customWidth="1"/>
    <col min="12038" max="12038" width="11" style="569" customWidth="1"/>
    <col min="12039" max="12040" width="12.125" style="569" customWidth="1"/>
    <col min="12041" max="12041" width="3.625" style="569" customWidth="1"/>
    <col min="12042" max="12042" width="12.875" style="569" customWidth="1"/>
    <col min="12043" max="12044" width="12.125" style="569" customWidth="1"/>
    <col min="12045" max="12045" width="11.375" style="569" customWidth="1"/>
    <col min="12046" max="12047" width="11.875" style="569" customWidth="1"/>
    <col min="12048" max="12048" width="11.75" style="569" customWidth="1"/>
    <col min="12049" max="12049" width="11.375" style="569" customWidth="1"/>
    <col min="12050" max="12050" width="11.875" style="569" customWidth="1"/>
    <col min="12051" max="12051" width="11.375" style="569" customWidth="1"/>
    <col min="12052" max="12052" width="10.375" style="569" customWidth="1"/>
    <col min="12053" max="12053" width="12.875" style="569" customWidth="1"/>
    <col min="12054" max="12054" width="11.75" style="569" customWidth="1"/>
    <col min="12055" max="12055" width="11" style="569" customWidth="1"/>
    <col min="12056" max="12288" width="9" style="569"/>
    <col min="12289" max="12289" width="5.375" style="569" customWidth="1"/>
    <col min="12290" max="12290" width="13.125" style="569" customWidth="1"/>
    <col min="12291" max="12291" width="43.875" style="569" customWidth="1"/>
    <col min="12292" max="12292" width="13.25" style="569" customWidth="1"/>
    <col min="12293" max="12293" width="10.375" style="569" customWidth="1"/>
    <col min="12294" max="12294" width="11" style="569" customWidth="1"/>
    <col min="12295" max="12296" width="12.125" style="569" customWidth="1"/>
    <col min="12297" max="12297" width="3.625" style="569" customWidth="1"/>
    <col min="12298" max="12298" width="12.875" style="569" customWidth="1"/>
    <col min="12299" max="12300" width="12.125" style="569" customWidth="1"/>
    <col min="12301" max="12301" width="11.375" style="569" customWidth="1"/>
    <col min="12302" max="12303" width="11.875" style="569" customWidth="1"/>
    <col min="12304" max="12304" width="11.75" style="569" customWidth="1"/>
    <col min="12305" max="12305" width="11.375" style="569" customWidth="1"/>
    <col min="12306" max="12306" width="11.875" style="569" customWidth="1"/>
    <col min="12307" max="12307" width="11.375" style="569" customWidth="1"/>
    <col min="12308" max="12308" width="10.375" style="569" customWidth="1"/>
    <col min="12309" max="12309" width="12.875" style="569" customWidth="1"/>
    <col min="12310" max="12310" width="11.75" style="569" customWidth="1"/>
    <col min="12311" max="12311" width="11" style="569" customWidth="1"/>
    <col min="12312" max="12544" width="9" style="569"/>
    <col min="12545" max="12545" width="5.375" style="569" customWidth="1"/>
    <col min="12546" max="12546" width="13.125" style="569" customWidth="1"/>
    <col min="12547" max="12547" width="43.875" style="569" customWidth="1"/>
    <col min="12548" max="12548" width="13.25" style="569" customWidth="1"/>
    <col min="12549" max="12549" width="10.375" style="569" customWidth="1"/>
    <col min="12550" max="12550" width="11" style="569" customWidth="1"/>
    <col min="12551" max="12552" width="12.125" style="569" customWidth="1"/>
    <col min="12553" max="12553" width="3.625" style="569" customWidth="1"/>
    <col min="12554" max="12554" width="12.875" style="569" customWidth="1"/>
    <col min="12555" max="12556" width="12.125" style="569" customWidth="1"/>
    <col min="12557" max="12557" width="11.375" style="569" customWidth="1"/>
    <col min="12558" max="12559" width="11.875" style="569" customWidth="1"/>
    <col min="12560" max="12560" width="11.75" style="569" customWidth="1"/>
    <col min="12561" max="12561" width="11.375" style="569" customWidth="1"/>
    <col min="12562" max="12562" width="11.875" style="569" customWidth="1"/>
    <col min="12563" max="12563" width="11.375" style="569" customWidth="1"/>
    <col min="12564" max="12564" width="10.375" style="569" customWidth="1"/>
    <col min="12565" max="12565" width="12.875" style="569" customWidth="1"/>
    <col min="12566" max="12566" width="11.75" style="569" customWidth="1"/>
    <col min="12567" max="12567" width="11" style="569" customWidth="1"/>
    <col min="12568" max="12800" width="9" style="569"/>
    <col min="12801" max="12801" width="5.375" style="569" customWidth="1"/>
    <col min="12802" max="12802" width="13.125" style="569" customWidth="1"/>
    <col min="12803" max="12803" width="43.875" style="569" customWidth="1"/>
    <col min="12804" max="12804" width="13.25" style="569" customWidth="1"/>
    <col min="12805" max="12805" width="10.375" style="569" customWidth="1"/>
    <col min="12806" max="12806" width="11" style="569" customWidth="1"/>
    <col min="12807" max="12808" width="12.125" style="569" customWidth="1"/>
    <col min="12809" max="12809" width="3.625" style="569" customWidth="1"/>
    <col min="12810" max="12810" width="12.875" style="569" customWidth="1"/>
    <col min="12811" max="12812" width="12.125" style="569" customWidth="1"/>
    <col min="12813" max="12813" width="11.375" style="569" customWidth="1"/>
    <col min="12814" max="12815" width="11.875" style="569" customWidth="1"/>
    <col min="12816" max="12816" width="11.75" style="569" customWidth="1"/>
    <col min="12817" max="12817" width="11.375" style="569" customWidth="1"/>
    <col min="12818" max="12818" width="11.875" style="569" customWidth="1"/>
    <col min="12819" max="12819" width="11.375" style="569" customWidth="1"/>
    <col min="12820" max="12820" width="10.375" style="569" customWidth="1"/>
    <col min="12821" max="12821" width="12.875" style="569" customWidth="1"/>
    <col min="12822" max="12822" width="11.75" style="569" customWidth="1"/>
    <col min="12823" max="12823" width="11" style="569" customWidth="1"/>
    <col min="12824" max="13056" width="9" style="569"/>
    <col min="13057" max="13057" width="5.375" style="569" customWidth="1"/>
    <col min="13058" max="13058" width="13.125" style="569" customWidth="1"/>
    <col min="13059" max="13059" width="43.875" style="569" customWidth="1"/>
    <col min="13060" max="13060" width="13.25" style="569" customWidth="1"/>
    <col min="13061" max="13061" width="10.375" style="569" customWidth="1"/>
    <col min="13062" max="13062" width="11" style="569" customWidth="1"/>
    <col min="13063" max="13064" width="12.125" style="569" customWidth="1"/>
    <col min="13065" max="13065" width="3.625" style="569" customWidth="1"/>
    <col min="13066" max="13066" width="12.875" style="569" customWidth="1"/>
    <col min="13067" max="13068" width="12.125" style="569" customWidth="1"/>
    <col min="13069" max="13069" width="11.375" style="569" customWidth="1"/>
    <col min="13070" max="13071" width="11.875" style="569" customWidth="1"/>
    <col min="13072" max="13072" width="11.75" style="569" customWidth="1"/>
    <col min="13073" max="13073" width="11.375" style="569" customWidth="1"/>
    <col min="13074" max="13074" width="11.875" style="569" customWidth="1"/>
    <col min="13075" max="13075" width="11.375" style="569" customWidth="1"/>
    <col min="13076" max="13076" width="10.375" style="569" customWidth="1"/>
    <col min="13077" max="13077" width="12.875" style="569" customWidth="1"/>
    <col min="13078" max="13078" width="11.75" style="569" customWidth="1"/>
    <col min="13079" max="13079" width="11" style="569" customWidth="1"/>
    <col min="13080" max="13312" width="9" style="569"/>
    <col min="13313" max="13313" width="5.375" style="569" customWidth="1"/>
    <col min="13314" max="13314" width="13.125" style="569" customWidth="1"/>
    <col min="13315" max="13315" width="43.875" style="569" customWidth="1"/>
    <col min="13316" max="13316" width="13.25" style="569" customWidth="1"/>
    <col min="13317" max="13317" width="10.375" style="569" customWidth="1"/>
    <col min="13318" max="13318" width="11" style="569" customWidth="1"/>
    <col min="13319" max="13320" width="12.125" style="569" customWidth="1"/>
    <col min="13321" max="13321" width="3.625" style="569" customWidth="1"/>
    <col min="13322" max="13322" width="12.875" style="569" customWidth="1"/>
    <col min="13323" max="13324" width="12.125" style="569" customWidth="1"/>
    <col min="13325" max="13325" width="11.375" style="569" customWidth="1"/>
    <col min="13326" max="13327" width="11.875" style="569" customWidth="1"/>
    <col min="13328" max="13328" width="11.75" style="569" customWidth="1"/>
    <col min="13329" max="13329" width="11.375" style="569" customWidth="1"/>
    <col min="13330" max="13330" width="11.875" style="569" customWidth="1"/>
    <col min="13331" max="13331" width="11.375" style="569" customWidth="1"/>
    <col min="13332" max="13332" width="10.375" style="569" customWidth="1"/>
    <col min="13333" max="13333" width="12.875" style="569" customWidth="1"/>
    <col min="13334" max="13334" width="11.75" style="569" customWidth="1"/>
    <col min="13335" max="13335" width="11" style="569" customWidth="1"/>
    <col min="13336" max="13568" width="9" style="569"/>
    <col min="13569" max="13569" width="5.375" style="569" customWidth="1"/>
    <col min="13570" max="13570" width="13.125" style="569" customWidth="1"/>
    <col min="13571" max="13571" width="43.875" style="569" customWidth="1"/>
    <col min="13572" max="13572" width="13.25" style="569" customWidth="1"/>
    <col min="13573" max="13573" width="10.375" style="569" customWidth="1"/>
    <col min="13574" max="13574" width="11" style="569" customWidth="1"/>
    <col min="13575" max="13576" width="12.125" style="569" customWidth="1"/>
    <col min="13577" max="13577" width="3.625" style="569" customWidth="1"/>
    <col min="13578" max="13578" width="12.875" style="569" customWidth="1"/>
    <col min="13579" max="13580" width="12.125" style="569" customWidth="1"/>
    <col min="13581" max="13581" width="11.375" style="569" customWidth="1"/>
    <col min="13582" max="13583" width="11.875" style="569" customWidth="1"/>
    <col min="13584" max="13584" width="11.75" style="569" customWidth="1"/>
    <col min="13585" max="13585" width="11.375" style="569" customWidth="1"/>
    <col min="13586" max="13586" width="11.875" style="569" customWidth="1"/>
    <col min="13587" max="13587" width="11.375" style="569" customWidth="1"/>
    <col min="13588" max="13588" width="10.375" style="569" customWidth="1"/>
    <col min="13589" max="13589" width="12.875" style="569" customWidth="1"/>
    <col min="13590" max="13590" width="11.75" style="569" customWidth="1"/>
    <col min="13591" max="13591" width="11" style="569" customWidth="1"/>
    <col min="13592" max="13824" width="9" style="569"/>
    <col min="13825" max="13825" width="5.375" style="569" customWidth="1"/>
    <col min="13826" max="13826" width="13.125" style="569" customWidth="1"/>
    <col min="13827" max="13827" width="43.875" style="569" customWidth="1"/>
    <col min="13828" max="13828" width="13.25" style="569" customWidth="1"/>
    <col min="13829" max="13829" width="10.375" style="569" customWidth="1"/>
    <col min="13830" max="13830" width="11" style="569" customWidth="1"/>
    <col min="13831" max="13832" width="12.125" style="569" customWidth="1"/>
    <col min="13833" max="13833" width="3.625" style="569" customWidth="1"/>
    <col min="13834" max="13834" width="12.875" style="569" customWidth="1"/>
    <col min="13835" max="13836" width="12.125" style="569" customWidth="1"/>
    <col min="13837" max="13837" width="11.375" style="569" customWidth="1"/>
    <col min="13838" max="13839" width="11.875" style="569" customWidth="1"/>
    <col min="13840" max="13840" width="11.75" style="569" customWidth="1"/>
    <col min="13841" max="13841" width="11.375" style="569" customWidth="1"/>
    <col min="13842" max="13842" width="11.875" style="569" customWidth="1"/>
    <col min="13843" max="13843" width="11.375" style="569" customWidth="1"/>
    <col min="13844" max="13844" width="10.375" style="569" customWidth="1"/>
    <col min="13845" max="13845" width="12.875" style="569" customWidth="1"/>
    <col min="13846" max="13846" width="11.75" style="569" customWidth="1"/>
    <col min="13847" max="13847" width="11" style="569" customWidth="1"/>
    <col min="13848" max="14080" width="9" style="569"/>
    <col min="14081" max="14081" width="5.375" style="569" customWidth="1"/>
    <col min="14082" max="14082" width="13.125" style="569" customWidth="1"/>
    <col min="14083" max="14083" width="43.875" style="569" customWidth="1"/>
    <col min="14084" max="14084" width="13.25" style="569" customWidth="1"/>
    <col min="14085" max="14085" width="10.375" style="569" customWidth="1"/>
    <col min="14086" max="14086" width="11" style="569" customWidth="1"/>
    <col min="14087" max="14088" width="12.125" style="569" customWidth="1"/>
    <col min="14089" max="14089" width="3.625" style="569" customWidth="1"/>
    <col min="14090" max="14090" width="12.875" style="569" customWidth="1"/>
    <col min="14091" max="14092" width="12.125" style="569" customWidth="1"/>
    <col min="14093" max="14093" width="11.375" style="569" customWidth="1"/>
    <col min="14094" max="14095" width="11.875" style="569" customWidth="1"/>
    <col min="14096" max="14096" width="11.75" style="569" customWidth="1"/>
    <col min="14097" max="14097" width="11.375" style="569" customWidth="1"/>
    <col min="14098" max="14098" width="11.875" style="569" customWidth="1"/>
    <col min="14099" max="14099" width="11.375" style="569" customWidth="1"/>
    <col min="14100" max="14100" width="10.375" style="569" customWidth="1"/>
    <col min="14101" max="14101" width="12.875" style="569" customWidth="1"/>
    <col min="14102" max="14102" width="11.75" style="569" customWidth="1"/>
    <col min="14103" max="14103" width="11" style="569" customWidth="1"/>
    <col min="14104" max="14336" width="9" style="569"/>
    <col min="14337" max="14337" width="5.375" style="569" customWidth="1"/>
    <col min="14338" max="14338" width="13.125" style="569" customWidth="1"/>
    <col min="14339" max="14339" width="43.875" style="569" customWidth="1"/>
    <col min="14340" max="14340" width="13.25" style="569" customWidth="1"/>
    <col min="14341" max="14341" width="10.375" style="569" customWidth="1"/>
    <col min="14342" max="14342" width="11" style="569" customWidth="1"/>
    <col min="14343" max="14344" width="12.125" style="569" customWidth="1"/>
    <col min="14345" max="14345" width="3.625" style="569" customWidth="1"/>
    <col min="14346" max="14346" width="12.875" style="569" customWidth="1"/>
    <col min="14347" max="14348" width="12.125" style="569" customWidth="1"/>
    <col min="14349" max="14349" width="11.375" style="569" customWidth="1"/>
    <col min="14350" max="14351" width="11.875" style="569" customWidth="1"/>
    <col min="14352" max="14352" width="11.75" style="569" customWidth="1"/>
    <col min="14353" max="14353" width="11.375" style="569" customWidth="1"/>
    <col min="14354" max="14354" width="11.875" style="569" customWidth="1"/>
    <col min="14355" max="14355" width="11.375" style="569" customWidth="1"/>
    <col min="14356" max="14356" width="10.375" style="569" customWidth="1"/>
    <col min="14357" max="14357" width="12.875" style="569" customWidth="1"/>
    <col min="14358" max="14358" width="11.75" style="569" customWidth="1"/>
    <col min="14359" max="14359" width="11" style="569" customWidth="1"/>
    <col min="14360" max="14592" width="9" style="569"/>
    <col min="14593" max="14593" width="5.375" style="569" customWidth="1"/>
    <col min="14594" max="14594" width="13.125" style="569" customWidth="1"/>
    <col min="14595" max="14595" width="43.875" style="569" customWidth="1"/>
    <col min="14596" max="14596" width="13.25" style="569" customWidth="1"/>
    <col min="14597" max="14597" width="10.375" style="569" customWidth="1"/>
    <col min="14598" max="14598" width="11" style="569" customWidth="1"/>
    <col min="14599" max="14600" width="12.125" style="569" customWidth="1"/>
    <col min="14601" max="14601" width="3.625" style="569" customWidth="1"/>
    <col min="14602" max="14602" width="12.875" style="569" customWidth="1"/>
    <col min="14603" max="14604" width="12.125" style="569" customWidth="1"/>
    <col min="14605" max="14605" width="11.375" style="569" customWidth="1"/>
    <col min="14606" max="14607" width="11.875" style="569" customWidth="1"/>
    <col min="14608" max="14608" width="11.75" style="569" customWidth="1"/>
    <col min="14609" max="14609" width="11.375" style="569" customWidth="1"/>
    <col min="14610" max="14610" width="11.875" style="569" customWidth="1"/>
    <col min="14611" max="14611" width="11.375" style="569" customWidth="1"/>
    <col min="14612" max="14612" width="10.375" style="569" customWidth="1"/>
    <col min="14613" max="14613" width="12.875" style="569" customWidth="1"/>
    <col min="14614" max="14614" width="11.75" style="569" customWidth="1"/>
    <col min="14615" max="14615" width="11" style="569" customWidth="1"/>
    <col min="14616" max="14848" width="9" style="569"/>
    <col min="14849" max="14849" width="5.375" style="569" customWidth="1"/>
    <col min="14850" max="14850" width="13.125" style="569" customWidth="1"/>
    <col min="14851" max="14851" width="43.875" style="569" customWidth="1"/>
    <col min="14852" max="14852" width="13.25" style="569" customWidth="1"/>
    <col min="14853" max="14853" width="10.375" style="569" customWidth="1"/>
    <col min="14854" max="14854" width="11" style="569" customWidth="1"/>
    <col min="14855" max="14856" width="12.125" style="569" customWidth="1"/>
    <col min="14857" max="14857" width="3.625" style="569" customWidth="1"/>
    <col min="14858" max="14858" width="12.875" style="569" customWidth="1"/>
    <col min="14859" max="14860" width="12.125" style="569" customWidth="1"/>
    <col min="14861" max="14861" width="11.375" style="569" customWidth="1"/>
    <col min="14862" max="14863" width="11.875" style="569" customWidth="1"/>
    <col min="14864" max="14864" width="11.75" style="569" customWidth="1"/>
    <col min="14865" max="14865" width="11.375" style="569" customWidth="1"/>
    <col min="14866" max="14866" width="11.875" style="569" customWidth="1"/>
    <col min="14867" max="14867" width="11.375" style="569" customWidth="1"/>
    <col min="14868" max="14868" width="10.375" style="569" customWidth="1"/>
    <col min="14869" max="14869" width="12.875" style="569" customWidth="1"/>
    <col min="14870" max="14870" width="11.75" style="569" customWidth="1"/>
    <col min="14871" max="14871" width="11" style="569" customWidth="1"/>
    <col min="14872" max="15104" width="9" style="569"/>
    <col min="15105" max="15105" width="5.375" style="569" customWidth="1"/>
    <col min="15106" max="15106" width="13.125" style="569" customWidth="1"/>
    <col min="15107" max="15107" width="43.875" style="569" customWidth="1"/>
    <col min="15108" max="15108" width="13.25" style="569" customWidth="1"/>
    <col min="15109" max="15109" width="10.375" style="569" customWidth="1"/>
    <col min="15110" max="15110" width="11" style="569" customWidth="1"/>
    <col min="15111" max="15112" width="12.125" style="569" customWidth="1"/>
    <col min="15113" max="15113" width="3.625" style="569" customWidth="1"/>
    <col min="15114" max="15114" width="12.875" style="569" customWidth="1"/>
    <col min="15115" max="15116" width="12.125" style="569" customWidth="1"/>
    <col min="15117" max="15117" width="11.375" style="569" customWidth="1"/>
    <col min="15118" max="15119" width="11.875" style="569" customWidth="1"/>
    <col min="15120" max="15120" width="11.75" style="569" customWidth="1"/>
    <col min="15121" max="15121" width="11.375" style="569" customWidth="1"/>
    <col min="15122" max="15122" width="11.875" style="569" customWidth="1"/>
    <col min="15123" max="15123" width="11.375" style="569" customWidth="1"/>
    <col min="15124" max="15124" width="10.375" style="569" customWidth="1"/>
    <col min="15125" max="15125" width="12.875" style="569" customWidth="1"/>
    <col min="15126" max="15126" width="11.75" style="569" customWidth="1"/>
    <col min="15127" max="15127" width="11" style="569" customWidth="1"/>
    <col min="15128" max="15360" width="9" style="569"/>
    <col min="15361" max="15361" width="5.375" style="569" customWidth="1"/>
    <col min="15362" max="15362" width="13.125" style="569" customWidth="1"/>
    <col min="15363" max="15363" width="43.875" style="569" customWidth="1"/>
    <col min="15364" max="15364" width="13.25" style="569" customWidth="1"/>
    <col min="15365" max="15365" width="10.375" style="569" customWidth="1"/>
    <col min="15366" max="15366" width="11" style="569" customWidth="1"/>
    <col min="15367" max="15368" width="12.125" style="569" customWidth="1"/>
    <col min="15369" max="15369" width="3.625" style="569" customWidth="1"/>
    <col min="15370" max="15370" width="12.875" style="569" customWidth="1"/>
    <col min="15371" max="15372" width="12.125" style="569" customWidth="1"/>
    <col min="15373" max="15373" width="11.375" style="569" customWidth="1"/>
    <col min="15374" max="15375" width="11.875" style="569" customWidth="1"/>
    <col min="15376" max="15376" width="11.75" style="569" customWidth="1"/>
    <col min="15377" max="15377" width="11.375" style="569" customWidth="1"/>
    <col min="15378" max="15378" width="11.875" style="569" customWidth="1"/>
    <col min="15379" max="15379" width="11.375" style="569" customWidth="1"/>
    <col min="15380" max="15380" width="10.375" style="569" customWidth="1"/>
    <col min="15381" max="15381" width="12.875" style="569" customWidth="1"/>
    <col min="15382" max="15382" width="11.75" style="569" customWidth="1"/>
    <col min="15383" max="15383" width="11" style="569" customWidth="1"/>
    <col min="15384" max="15616" width="9" style="569"/>
    <col min="15617" max="15617" width="5.375" style="569" customWidth="1"/>
    <col min="15618" max="15618" width="13.125" style="569" customWidth="1"/>
    <col min="15619" max="15619" width="43.875" style="569" customWidth="1"/>
    <col min="15620" max="15620" width="13.25" style="569" customWidth="1"/>
    <col min="15621" max="15621" width="10.375" style="569" customWidth="1"/>
    <col min="15622" max="15622" width="11" style="569" customWidth="1"/>
    <col min="15623" max="15624" width="12.125" style="569" customWidth="1"/>
    <col min="15625" max="15625" width="3.625" style="569" customWidth="1"/>
    <col min="15626" max="15626" width="12.875" style="569" customWidth="1"/>
    <col min="15627" max="15628" width="12.125" style="569" customWidth="1"/>
    <col min="15629" max="15629" width="11.375" style="569" customWidth="1"/>
    <col min="15630" max="15631" width="11.875" style="569" customWidth="1"/>
    <col min="15632" max="15632" width="11.75" style="569" customWidth="1"/>
    <col min="15633" max="15633" width="11.375" style="569" customWidth="1"/>
    <col min="15634" max="15634" width="11.875" style="569" customWidth="1"/>
    <col min="15635" max="15635" width="11.375" style="569" customWidth="1"/>
    <col min="15636" max="15636" width="10.375" style="569" customWidth="1"/>
    <col min="15637" max="15637" width="12.875" style="569" customWidth="1"/>
    <col min="15638" max="15638" width="11.75" style="569" customWidth="1"/>
    <col min="15639" max="15639" width="11" style="569" customWidth="1"/>
    <col min="15640" max="15872" width="9" style="569"/>
    <col min="15873" max="15873" width="5.375" style="569" customWidth="1"/>
    <col min="15874" max="15874" width="13.125" style="569" customWidth="1"/>
    <col min="15875" max="15875" width="43.875" style="569" customWidth="1"/>
    <col min="15876" max="15876" width="13.25" style="569" customWidth="1"/>
    <col min="15877" max="15877" width="10.375" style="569" customWidth="1"/>
    <col min="15878" max="15878" width="11" style="569" customWidth="1"/>
    <col min="15879" max="15880" width="12.125" style="569" customWidth="1"/>
    <col min="15881" max="15881" width="3.625" style="569" customWidth="1"/>
    <col min="15882" max="15882" width="12.875" style="569" customWidth="1"/>
    <col min="15883" max="15884" width="12.125" style="569" customWidth="1"/>
    <col min="15885" max="15885" width="11.375" style="569" customWidth="1"/>
    <col min="15886" max="15887" width="11.875" style="569" customWidth="1"/>
    <col min="15888" max="15888" width="11.75" style="569" customWidth="1"/>
    <col min="15889" max="15889" width="11.375" style="569" customWidth="1"/>
    <col min="15890" max="15890" width="11.875" style="569" customWidth="1"/>
    <col min="15891" max="15891" width="11.375" style="569" customWidth="1"/>
    <col min="15892" max="15892" width="10.375" style="569" customWidth="1"/>
    <col min="15893" max="15893" width="12.875" style="569" customWidth="1"/>
    <col min="15894" max="15894" width="11.75" style="569" customWidth="1"/>
    <col min="15895" max="15895" width="11" style="569" customWidth="1"/>
    <col min="15896" max="16128" width="9" style="569"/>
    <col min="16129" max="16129" width="5.375" style="569" customWidth="1"/>
    <col min="16130" max="16130" width="13.125" style="569" customWidth="1"/>
    <col min="16131" max="16131" width="43.875" style="569" customWidth="1"/>
    <col min="16132" max="16132" width="13.25" style="569" customWidth="1"/>
    <col min="16133" max="16133" width="10.375" style="569" customWidth="1"/>
    <col min="16134" max="16134" width="11" style="569" customWidth="1"/>
    <col min="16135" max="16136" width="12.125" style="569" customWidth="1"/>
    <col min="16137" max="16137" width="3.625" style="569" customWidth="1"/>
    <col min="16138" max="16138" width="12.875" style="569" customWidth="1"/>
    <col min="16139" max="16140" width="12.125" style="569" customWidth="1"/>
    <col min="16141" max="16141" width="11.375" style="569" customWidth="1"/>
    <col min="16142" max="16143" width="11.875" style="569" customWidth="1"/>
    <col min="16144" max="16144" width="11.75" style="569" customWidth="1"/>
    <col min="16145" max="16145" width="11.375" style="569" customWidth="1"/>
    <col min="16146" max="16146" width="11.875" style="569" customWidth="1"/>
    <col min="16147" max="16147" width="11.375" style="569" customWidth="1"/>
    <col min="16148" max="16148" width="10.375" style="569" customWidth="1"/>
    <col min="16149" max="16149" width="12.875" style="569" customWidth="1"/>
    <col min="16150" max="16150" width="11.75" style="569" customWidth="1"/>
    <col min="16151" max="16151" width="11" style="569" customWidth="1"/>
    <col min="16152" max="16384" width="9" style="569"/>
  </cols>
  <sheetData>
    <row r="1" spans="1:24" s="551" customFormat="1" ht="13.5" customHeight="1">
      <c r="A1" s="550" t="s">
        <v>92</v>
      </c>
      <c r="U1" s="919" t="s">
        <v>1095</v>
      </c>
      <c r="V1" s="919"/>
      <c r="W1" s="919"/>
    </row>
    <row r="2" spans="1:24" s="551" customFormat="1" ht="13.5" customHeight="1">
      <c r="A2" s="550"/>
      <c r="U2" s="919" t="s">
        <v>1046</v>
      </c>
      <c r="V2" s="919"/>
      <c r="W2" s="919"/>
    </row>
    <row r="3" spans="1:24" s="551" customFormat="1" ht="13.5" customHeight="1">
      <c r="A3" s="550"/>
      <c r="U3" s="919" t="s">
        <v>1096</v>
      </c>
      <c r="V3" s="919"/>
      <c r="W3" s="919"/>
    </row>
    <row r="4" spans="1:24" s="551" customFormat="1" ht="13.5" customHeight="1">
      <c r="A4" s="550"/>
    </row>
    <row r="5" spans="1:24" s="576" customFormat="1" ht="33.75" customHeight="1">
      <c r="A5" s="920" t="s">
        <v>1097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584"/>
    </row>
    <row r="6" spans="1:24" s="551" customFormat="1" ht="17.25" customHeight="1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W6" s="550" t="s">
        <v>1098</v>
      </c>
    </row>
    <row r="7" spans="1:24" s="551" customFormat="1" ht="28.5" customHeight="1">
      <c r="A7" s="921" t="s">
        <v>909</v>
      </c>
      <c r="B7" s="924" t="s">
        <v>1047</v>
      </c>
      <c r="C7" s="927" t="s">
        <v>911</v>
      </c>
      <c r="D7" s="927" t="s">
        <v>912</v>
      </c>
      <c r="E7" s="924" t="s">
        <v>913</v>
      </c>
      <c r="F7" s="927" t="s">
        <v>345</v>
      </c>
      <c r="G7" s="930" t="s">
        <v>914</v>
      </c>
      <c r="H7" s="930" t="s">
        <v>915</v>
      </c>
      <c r="I7" s="927" t="s">
        <v>94</v>
      </c>
      <c r="J7" s="931" t="s">
        <v>916</v>
      </c>
      <c r="K7" s="931"/>
      <c r="L7" s="931"/>
      <c r="M7" s="931"/>
      <c r="N7" s="931"/>
      <c r="O7" s="931"/>
      <c r="P7" s="931"/>
      <c r="Q7" s="931"/>
      <c r="R7" s="931"/>
      <c r="S7" s="931"/>
      <c r="T7" s="931"/>
      <c r="U7" s="931"/>
      <c r="V7" s="931"/>
      <c r="W7" s="931"/>
    </row>
    <row r="8" spans="1:24" s="551" customFormat="1" ht="21.75" customHeight="1">
      <c r="A8" s="922"/>
      <c r="B8" s="925"/>
      <c r="C8" s="928"/>
      <c r="D8" s="928"/>
      <c r="E8" s="925"/>
      <c r="F8" s="928"/>
      <c r="G8" s="930"/>
      <c r="H8" s="930"/>
      <c r="I8" s="928"/>
      <c r="J8" s="931"/>
      <c r="K8" s="931"/>
      <c r="L8" s="931"/>
      <c r="M8" s="931"/>
      <c r="N8" s="931"/>
      <c r="O8" s="931"/>
      <c r="P8" s="931"/>
      <c r="Q8" s="931"/>
      <c r="R8" s="931"/>
      <c r="S8" s="931"/>
      <c r="T8" s="931"/>
      <c r="U8" s="931"/>
      <c r="V8" s="931"/>
      <c r="W8" s="931"/>
    </row>
    <row r="9" spans="1:24" s="551" customFormat="1" ht="15.75" customHeight="1">
      <c r="A9" s="922"/>
      <c r="B9" s="925"/>
      <c r="C9" s="928"/>
      <c r="D9" s="928"/>
      <c r="E9" s="925"/>
      <c r="F9" s="928"/>
      <c r="G9" s="554" t="s">
        <v>917</v>
      </c>
      <c r="H9" s="554" t="s">
        <v>917</v>
      </c>
      <c r="I9" s="928"/>
      <c r="J9" s="931" t="s">
        <v>918</v>
      </c>
      <c r="K9" s="932" t="s">
        <v>919</v>
      </c>
      <c r="L9" s="932"/>
      <c r="M9" s="932"/>
      <c r="N9" s="916" t="s">
        <v>920</v>
      </c>
      <c r="O9" s="932" t="s">
        <v>921</v>
      </c>
      <c r="P9" s="932"/>
      <c r="Q9" s="932"/>
      <c r="R9" s="932"/>
      <c r="S9" s="932"/>
      <c r="T9" s="932"/>
      <c r="U9" s="932"/>
      <c r="V9" s="932"/>
      <c r="W9" s="932"/>
    </row>
    <row r="10" spans="1:24" s="551" customFormat="1" ht="12.75" customHeight="1">
      <c r="A10" s="922"/>
      <c r="B10" s="925"/>
      <c r="C10" s="928"/>
      <c r="D10" s="928"/>
      <c r="E10" s="925"/>
      <c r="F10" s="928"/>
      <c r="G10" s="554" t="s">
        <v>922</v>
      </c>
      <c r="H10" s="554" t="s">
        <v>922</v>
      </c>
      <c r="I10" s="928"/>
      <c r="J10" s="931"/>
      <c r="K10" s="932"/>
      <c r="L10" s="932"/>
      <c r="M10" s="932"/>
      <c r="N10" s="916"/>
      <c r="O10" s="917" t="s">
        <v>923</v>
      </c>
      <c r="P10" s="917"/>
      <c r="Q10" s="917"/>
      <c r="R10" s="917" t="s">
        <v>924</v>
      </c>
      <c r="S10" s="917"/>
      <c r="T10" s="917"/>
      <c r="U10" s="916" t="s">
        <v>925</v>
      </c>
      <c r="V10" s="916"/>
      <c r="W10" s="916"/>
    </row>
    <row r="11" spans="1:24" s="551" customFormat="1" ht="14.25" customHeight="1">
      <c r="A11" s="922"/>
      <c r="B11" s="925"/>
      <c r="C11" s="928"/>
      <c r="D11" s="928"/>
      <c r="E11" s="925"/>
      <c r="F11" s="928"/>
      <c r="G11" s="554" t="s">
        <v>926</v>
      </c>
      <c r="H11" s="554" t="s">
        <v>926</v>
      </c>
      <c r="I11" s="928"/>
      <c r="J11" s="931"/>
      <c r="K11" s="917" t="s">
        <v>38</v>
      </c>
      <c r="L11" s="917" t="s">
        <v>927</v>
      </c>
      <c r="M11" s="917" t="s">
        <v>928</v>
      </c>
      <c r="N11" s="916"/>
      <c r="O11" s="917" t="s">
        <v>38</v>
      </c>
      <c r="P11" s="917" t="s">
        <v>929</v>
      </c>
      <c r="Q11" s="918" t="s">
        <v>928</v>
      </c>
      <c r="R11" s="917" t="s">
        <v>38</v>
      </c>
      <c r="S11" s="917" t="s">
        <v>929</v>
      </c>
      <c r="T11" s="918" t="s">
        <v>928</v>
      </c>
      <c r="U11" s="916" t="s">
        <v>38</v>
      </c>
      <c r="V11" s="917" t="s">
        <v>929</v>
      </c>
      <c r="W11" s="918" t="s">
        <v>928</v>
      </c>
    </row>
    <row r="12" spans="1:24" s="551" customFormat="1" ht="16.5" customHeight="1">
      <c r="A12" s="923"/>
      <c r="B12" s="926"/>
      <c r="C12" s="929"/>
      <c r="D12" s="929"/>
      <c r="E12" s="926"/>
      <c r="F12" s="929"/>
      <c r="G12" s="554" t="s">
        <v>925</v>
      </c>
      <c r="H12" s="554" t="s">
        <v>925</v>
      </c>
      <c r="I12" s="929"/>
      <c r="J12" s="931"/>
      <c r="K12" s="917"/>
      <c r="L12" s="917"/>
      <c r="M12" s="917"/>
      <c r="N12" s="916"/>
      <c r="O12" s="917"/>
      <c r="P12" s="917"/>
      <c r="Q12" s="918"/>
      <c r="R12" s="917"/>
      <c r="S12" s="917"/>
      <c r="T12" s="918"/>
      <c r="U12" s="916"/>
      <c r="V12" s="917"/>
      <c r="W12" s="918"/>
    </row>
    <row r="13" spans="1:24" s="556" customFormat="1" ht="12.75" customHeight="1">
      <c r="A13" s="555">
        <v>1</v>
      </c>
      <c r="B13" s="555">
        <v>2</v>
      </c>
      <c r="C13" s="555">
        <v>3</v>
      </c>
      <c r="D13" s="555">
        <v>4</v>
      </c>
      <c r="E13" s="555">
        <v>5</v>
      </c>
      <c r="F13" s="555">
        <v>6</v>
      </c>
      <c r="G13" s="555">
        <v>7</v>
      </c>
      <c r="H13" s="555">
        <v>8</v>
      </c>
      <c r="I13" s="555" t="s">
        <v>930</v>
      </c>
      <c r="J13" s="555" t="s">
        <v>931</v>
      </c>
      <c r="K13" s="555" t="s">
        <v>932</v>
      </c>
      <c r="L13" s="555">
        <v>11</v>
      </c>
      <c r="M13" s="555">
        <v>12</v>
      </c>
      <c r="N13" s="555" t="s">
        <v>933</v>
      </c>
      <c r="O13" s="555" t="s">
        <v>934</v>
      </c>
      <c r="P13" s="555">
        <v>15</v>
      </c>
      <c r="Q13" s="555">
        <v>16</v>
      </c>
      <c r="R13" s="555" t="s">
        <v>935</v>
      </c>
      <c r="S13" s="555">
        <v>18</v>
      </c>
      <c r="T13" s="555">
        <v>19</v>
      </c>
      <c r="U13" s="555" t="s">
        <v>936</v>
      </c>
      <c r="V13" s="555">
        <v>21</v>
      </c>
      <c r="W13" s="555">
        <v>22</v>
      </c>
    </row>
    <row r="14" spans="1:24" s="556" customFormat="1" ht="6" customHeight="1">
      <c r="A14" s="951"/>
      <c r="B14" s="951"/>
      <c r="C14" s="951"/>
      <c r="D14" s="951"/>
      <c r="E14" s="951"/>
      <c r="F14" s="951"/>
      <c r="G14" s="951"/>
      <c r="H14" s="951"/>
      <c r="I14" s="951"/>
      <c r="J14" s="951"/>
      <c r="K14" s="951"/>
      <c r="L14" s="951"/>
      <c r="M14" s="951"/>
      <c r="N14" s="951"/>
      <c r="O14" s="951"/>
      <c r="P14" s="951"/>
      <c r="Q14" s="951"/>
      <c r="R14" s="951"/>
      <c r="S14" s="951"/>
      <c r="T14" s="951"/>
      <c r="U14" s="951"/>
      <c r="V14" s="951"/>
      <c r="W14" s="951"/>
    </row>
    <row r="15" spans="1:24" s="579" customFormat="1" ht="27.75" customHeight="1">
      <c r="A15" s="952" t="s">
        <v>1048</v>
      </c>
      <c r="B15" s="952"/>
      <c r="C15" s="952"/>
      <c r="D15" s="952"/>
      <c r="E15" s="952"/>
      <c r="F15" s="952"/>
      <c r="G15" s="952"/>
      <c r="H15" s="952"/>
      <c r="I15" s="952"/>
      <c r="J15" s="952"/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578"/>
    </row>
    <row r="16" spans="1:24" s="556" customFormat="1" ht="6.75" customHeight="1">
      <c r="A16" s="953"/>
      <c r="B16" s="953"/>
      <c r="C16" s="953"/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3"/>
      <c r="S16" s="953"/>
      <c r="T16" s="953"/>
      <c r="U16" s="953"/>
      <c r="V16" s="953"/>
      <c r="W16" s="953"/>
      <c r="X16" s="553"/>
    </row>
    <row r="17" spans="1:23" s="558" customFormat="1" ht="14.25" customHeight="1">
      <c r="A17" s="945">
        <v>1</v>
      </c>
      <c r="B17" s="906" t="s">
        <v>1049</v>
      </c>
      <c r="C17" s="913" t="s">
        <v>1050</v>
      </c>
      <c r="D17" s="906" t="s">
        <v>359</v>
      </c>
      <c r="E17" s="904" t="s">
        <v>1017</v>
      </c>
      <c r="F17" s="903" t="s">
        <v>963</v>
      </c>
      <c r="G17" s="557">
        <f>G18+G19+G20+G21</f>
        <v>4220000</v>
      </c>
      <c r="H17" s="557">
        <f>H18+H19+H20+H21</f>
        <v>2353062</v>
      </c>
      <c r="I17" s="901" t="s">
        <v>0</v>
      </c>
      <c r="J17" s="890">
        <f>K17+N17</f>
        <v>1560000</v>
      </c>
      <c r="K17" s="890">
        <f>L17+M17</f>
        <v>1243476</v>
      </c>
      <c r="L17" s="890">
        <v>1243476</v>
      </c>
      <c r="M17" s="890">
        <v>0</v>
      </c>
      <c r="N17" s="890">
        <f>O17+R17+U17</f>
        <v>316524</v>
      </c>
      <c r="O17" s="890">
        <f>P17+Q17</f>
        <v>316524</v>
      </c>
      <c r="P17" s="890">
        <v>316524</v>
      </c>
      <c r="Q17" s="890">
        <v>0</v>
      </c>
      <c r="R17" s="890">
        <f>S17+T17</f>
        <v>0</v>
      </c>
      <c r="S17" s="890">
        <f>T17+W17</f>
        <v>0</v>
      </c>
      <c r="T17" s="890">
        <v>0</v>
      </c>
      <c r="U17" s="890">
        <f>V17+W17</f>
        <v>0</v>
      </c>
      <c r="V17" s="890">
        <v>0</v>
      </c>
      <c r="W17" s="890">
        <v>0</v>
      </c>
    </row>
    <row r="18" spans="1:23" s="558" customFormat="1" ht="14.25" customHeight="1">
      <c r="A18" s="945"/>
      <c r="B18" s="906"/>
      <c r="C18" s="914"/>
      <c r="D18" s="906"/>
      <c r="E18" s="904"/>
      <c r="F18" s="903"/>
      <c r="G18" s="557">
        <v>3363762</v>
      </c>
      <c r="H18" s="557">
        <v>1875626</v>
      </c>
      <c r="I18" s="902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91"/>
      <c r="W18" s="891"/>
    </row>
    <row r="19" spans="1:23" s="558" customFormat="1" ht="14.25" customHeight="1">
      <c r="A19" s="945"/>
      <c r="B19" s="906"/>
      <c r="C19" s="914"/>
      <c r="D19" s="906"/>
      <c r="E19" s="904"/>
      <c r="F19" s="903"/>
      <c r="G19" s="557">
        <v>856238</v>
      </c>
      <c r="H19" s="557">
        <v>477436</v>
      </c>
      <c r="I19" s="559" t="s">
        <v>1</v>
      </c>
      <c r="J19" s="580">
        <f>K19+N19</f>
        <v>306938</v>
      </c>
      <c r="K19" s="580">
        <f>L19+M19</f>
        <v>244660</v>
      </c>
      <c r="L19" s="581">
        <v>244660</v>
      </c>
      <c r="M19" s="581">
        <v>0</v>
      </c>
      <c r="N19" s="580">
        <f>O19+R19+U19</f>
        <v>62278</v>
      </c>
      <c r="O19" s="580">
        <f>P19+Q19</f>
        <v>62278</v>
      </c>
      <c r="P19" s="581">
        <v>62278</v>
      </c>
      <c r="Q19" s="581">
        <v>0</v>
      </c>
      <c r="R19" s="580">
        <f>S19+T19</f>
        <v>0</v>
      </c>
      <c r="S19" s="581">
        <v>0</v>
      </c>
      <c r="T19" s="581">
        <v>0</v>
      </c>
      <c r="U19" s="580">
        <f>V19+W19</f>
        <v>0</v>
      </c>
      <c r="V19" s="581">
        <v>0</v>
      </c>
      <c r="W19" s="581">
        <v>0</v>
      </c>
    </row>
    <row r="20" spans="1:23" s="558" customFormat="1" ht="14.25" customHeight="1">
      <c r="A20" s="945"/>
      <c r="B20" s="906"/>
      <c r="C20" s="914"/>
      <c r="D20" s="906"/>
      <c r="E20" s="904"/>
      <c r="F20" s="903"/>
      <c r="G20" s="557">
        <v>0</v>
      </c>
      <c r="H20" s="557">
        <v>0</v>
      </c>
      <c r="I20" s="901" t="s">
        <v>2</v>
      </c>
      <c r="J20" s="890">
        <f>J17+J19</f>
        <v>1866938</v>
      </c>
      <c r="K20" s="890">
        <f t="shared" ref="K20:W20" si="0">K17+K19</f>
        <v>1488136</v>
      </c>
      <c r="L20" s="890">
        <f t="shared" si="0"/>
        <v>1488136</v>
      </c>
      <c r="M20" s="890">
        <f t="shared" si="0"/>
        <v>0</v>
      </c>
      <c r="N20" s="890">
        <f t="shared" si="0"/>
        <v>378802</v>
      </c>
      <c r="O20" s="890">
        <f t="shared" si="0"/>
        <v>378802</v>
      </c>
      <c r="P20" s="890">
        <f t="shared" si="0"/>
        <v>378802</v>
      </c>
      <c r="Q20" s="890">
        <f t="shared" si="0"/>
        <v>0</v>
      </c>
      <c r="R20" s="890">
        <f t="shared" si="0"/>
        <v>0</v>
      </c>
      <c r="S20" s="890">
        <f t="shared" si="0"/>
        <v>0</v>
      </c>
      <c r="T20" s="890">
        <f>T17+T19</f>
        <v>0</v>
      </c>
      <c r="U20" s="890">
        <f t="shared" si="0"/>
        <v>0</v>
      </c>
      <c r="V20" s="890">
        <f t="shared" si="0"/>
        <v>0</v>
      </c>
      <c r="W20" s="890">
        <f t="shared" si="0"/>
        <v>0</v>
      </c>
    </row>
    <row r="21" spans="1:23" s="558" customFormat="1" ht="14.25" customHeight="1">
      <c r="A21" s="945"/>
      <c r="B21" s="906"/>
      <c r="C21" s="915"/>
      <c r="D21" s="906"/>
      <c r="E21" s="904"/>
      <c r="F21" s="903"/>
      <c r="G21" s="557">
        <v>0</v>
      </c>
      <c r="H21" s="557">
        <v>0</v>
      </c>
      <c r="I21" s="902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1"/>
    </row>
    <row r="22" spans="1:23" s="558" customFormat="1" ht="14.25" hidden="1" customHeight="1">
      <c r="A22" s="903">
        <v>2</v>
      </c>
      <c r="B22" s="903" t="s">
        <v>1051</v>
      </c>
      <c r="C22" s="913" t="s">
        <v>867</v>
      </c>
      <c r="D22" s="906" t="s">
        <v>359</v>
      </c>
      <c r="E22" s="904" t="s">
        <v>1017</v>
      </c>
      <c r="F22" s="903" t="s">
        <v>1052</v>
      </c>
      <c r="G22" s="557">
        <f>G23+G24+G25+G26</f>
        <v>5000000</v>
      </c>
      <c r="H22" s="557">
        <f>H23+H24+H25+H26</f>
        <v>350000</v>
      </c>
      <c r="I22" s="901" t="s">
        <v>0</v>
      </c>
      <c r="J22" s="890">
        <f>K22+N22</f>
        <v>350000</v>
      </c>
      <c r="K22" s="890">
        <f>L22+M22</f>
        <v>278985</v>
      </c>
      <c r="L22" s="890">
        <v>278985</v>
      </c>
      <c r="M22" s="890">
        <v>0</v>
      </c>
      <c r="N22" s="890">
        <f>O22+R22+U22</f>
        <v>71015</v>
      </c>
      <c r="O22" s="890">
        <f>P22+Q22</f>
        <v>71015</v>
      </c>
      <c r="P22" s="890">
        <v>71015</v>
      </c>
      <c r="Q22" s="890">
        <v>0</v>
      </c>
      <c r="R22" s="890">
        <f>S22+T22</f>
        <v>0</v>
      </c>
      <c r="S22" s="890">
        <f>T22+W22</f>
        <v>0</v>
      </c>
      <c r="T22" s="890">
        <v>0</v>
      </c>
      <c r="U22" s="890">
        <f>V22+W22</f>
        <v>0</v>
      </c>
      <c r="V22" s="890">
        <v>0</v>
      </c>
      <c r="W22" s="890">
        <v>0</v>
      </c>
    </row>
    <row r="23" spans="1:23" s="558" customFormat="1" ht="14.25" hidden="1" customHeight="1">
      <c r="A23" s="903"/>
      <c r="B23" s="903"/>
      <c r="C23" s="914"/>
      <c r="D23" s="906"/>
      <c r="E23" s="904"/>
      <c r="F23" s="903"/>
      <c r="G23" s="557">
        <v>3985500</v>
      </c>
      <c r="H23" s="557">
        <v>278985</v>
      </c>
      <c r="I23" s="902"/>
      <c r="J23" s="891"/>
      <c r="K23" s="891"/>
      <c r="L23" s="891"/>
      <c r="M23" s="891"/>
      <c r="N23" s="891"/>
      <c r="O23" s="891"/>
      <c r="P23" s="891"/>
      <c r="Q23" s="891"/>
      <c r="R23" s="891"/>
      <c r="S23" s="891"/>
      <c r="T23" s="891"/>
      <c r="U23" s="891"/>
      <c r="V23" s="891"/>
      <c r="W23" s="891"/>
    </row>
    <row r="24" spans="1:23" s="558" customFormat="1" ht="14.25" hidden="1" customHeight="1">
      <c r="A24" s="903"/>
      <c r="B24" s="903"/>
      <c r="C24" s="914"/>
      <c r="D24" s="906"/>
      <c r="E24" s="904"/>
      <c r="F24" s="903"/>
      <c r="G24" s="557">
        <v>1014500</v>
      </c>
      <c r="H24" s="557">
        <v>71015</v>
      </c>
      <c r="I24" s="559" t="s">
        <v>1</v>
      </c>
      <c r="J24" s="580">
        <f>K24+N24</f>
        <v>0</v>
      </c>
      <c r="K24" s="580">
        <f>L24+M24</f>
        <v>0</v>
      </c>
      <c r="L24" s="581">
        <v>0</v>
      </c>
      <c r="M24" s="581">
        <v>0</v>
      </c>
      <c r="N24" s="580">
        <f>O24+R24+U24</f>
        <v>0</v>
      </c>
      <c r="O24" s="580">
        <f>P24+Q24</f>
        <v>0</v>
      </c>
      <c r="P24" s="581">
        <v>0</v>
      </c>
      <c r="Q24" s="581">
        <v>0</v>
      </c>
      <c r="R24" s="580">
        <f>S24+T24</f>
        <v>0</v>
      </c>
      <c r="S24" s="581">
        <v>0</v>
      </c>
      <c r="T24" s="581">
        <v>0</v>
      </c>
      <c r="U24" s="580">
        <f>V24+W24</f>
        <v>0</v>
      </c>
      <c r="V24" s="581">
        <v>0</v>
      </c>
      <c r="W24" s="581">
        <v>0</v>
      </c>
    </row>
    <row r="25" spans="1:23" s="558" customFormat="1" ht="14.25" hidden="1" customHeight="1">
      <c r="A25" s="903"/>
      <c r="B25" s="903"/>
      <c r="C25" s="914"/>
      <c r="D25" s="906"/>
      <c r="E25" s="904"/>
      <c r="F25" s="903"/>
      <c r="G25" s="557">
        <v>0</v>
      </c>
      <c r="H25" s="557">
        <v>0</v>
      </c>
      <c r="I25" s="901" t="s">
        <v>2</v>
      </c>
      <c r="J25" s="890">
        <f t="shared" ref="J25:W25" si="1">J22+J24</f>
        <v>350000</v>
      </c>
      <c r="K25" s="890">
        <f t="shared" si="1"/>
        <v>278985</v>
      </c>
      <c r="L25" s="890">
        <f t="shared" si="1"/>
        <v>278985</v>
      </c>
      <c r="M25" s="890">
        <f t="shared" si="1"/>
        <v>0</v>
      </c>
      <c r="N25" s="890">
        <f t="shared" si="1"/>
        <v>71015</v>
      </c>
      <c r="O25" s="890">
        <f t="shared" si="1"/>
        <v>71015</v>
      </c>
      <c r="P25" s="890">
        <f t="shared" si="1"/>
        <v>71015</v>
      </c>
      <c r="Q25" s="890">
        <f t="shared" si="1"/>
        <v>0</v>
      </c>
      <c r="R25" s="890">
        <f t="shared" si="1"/>
        <v>0</v>
      </c>
      <c r="S25" s="890">
        <f t="shared" si="1"/>
        <v>0</v>
      </c>
      <c r="T25" s="890">
        <f>T22+T24</f>
        <v>0</v>
      </c>
      <c r="U25" s="890">
        <f t="shared" si="1"/>
        <v>0</v>
      </c>
      <c r="V25" s="890">
        <f t="shared" si="1"/>
        <v>0</v>
      </c>
      <c r="W25" s="890">
        <f t="shared" si="1"/>
        <v>0</v>
      </c>
    </row>
    <row r="26" spans="1:23" s="558" customFormat="1" ht="14.25" hidden="1" customHeight="1">
      <c r="A26" s="903"/>
      <c r="B26" s="903"/>
      <c r="C26" s="915"/>
      <c r="D26" s="906"/>
      <c r="E26" s="904"/>
      <c r="F26" s="903"/>
      <c r="G26" s="557">
        <v>0</v>
      </c>
      <c r="H26" s="557">
        <v>0</v>
      </c>
      <c r="I26" s="902"/>
      <c r="J26" s="891"/>
      <c r="K26" s="891"/>
      <c r="L26" s="891"/>
      <c r="M26" s="891"/>
      <c r="N26" s="891"/>
      <c r="O26" s="891"/>
      <c r="P26" s="891"/>
      <c r="Q26" s="891"/>
      <c r="R26" s="891"/>
      <c r="S26" s="891"/>
      <c r="T26" s="891"/>
      <c r="U26" s="891"/>
      <c r="V26" s="891"/>
      <c r="W26" s="891"/>
    </row>
    <row r="27" spans="1:23" s="558" customFormat="1" ht="14.25" hidden="1" customHeight="1">
      <c r="A27" s="903">
        <v>3</v>
      </c>
      <c r="B27" s="933" t="s">
        <v>1053</v>
      </c>
      <c r="C27" s="913" t="s">
        <v>1054</v>
      </c>
      <c r="D27" s="906" t="s">
        <v>1055</v>
      </c>
      <c r="E27" s="904" t="s">
        <v>1000</v>
      </c>
      <c r="F27" s="903" t="s">
        <v>1056</v>
      </c>
      <c r="G27" s="557">
        <f>G28+G29+G30+G31</f>
        <v>22009656</v>
      </c>
      <c r="H27" s="557">
        <f>H28+H29+H30+H31</f>
        <v>4088707</v>
      </c>
      <c r="I27" s="901" t="s">
        <v>0</v>
      </c>
      <c r="J27" s="890">
        <f>K27+N27</f>
        <v>5263074</v>
      </c>
      <c r="K27" s="890">
        <f>L27+M27</f>
        <v>4343089</v>
      </c>
      <c r="L27" s="890">
        <v>4343089</v>
      </c>
      <c r="M27" s="890">
        <v>0</v>
      </c>
      <c r="N27" s="890">
        <f>O27+R27+U27</f>
        <v>919985</v>
      </c>
      <c r="O27" s="890">
        <f>P27+Q27</f>
        <v>919985</v>
      </c>
      <c r="P27" s="890">
        <v>919985</v>
      </c>
      <c r="Q27" s="890">
        <v>0</v>
      </c>
      <c r="R27" s="890">
        <f>S27+T27</f>
        <v>0</v>
      </c>
      <c r="S27" s="890">
        <f>T27+W27</f>
        <v>0</v>
      </c>
      <c r="T27" s="890">
        <v>0</v>
      </c>
      <c r="U27" s="890">
        <f>V27+W27</f>
        <v>0</v>
      </c>
      <c r="V27" s="890">
        <v>0</v>
      </c>
      <c r="W27" s="890">
        <v>0</v>
      </c>
    </row>
    <row r="28" spans="1:23" s="558" customFormat="1" ht="14.25" hidden="1" customHeight="1">
      <c r="A28" s="903"/>
      <c r="B28" s="934"/>
      <c r="C28" s="914"/>
      <c r="D28" s="906"/>
      <c r="E28" s="904"/>
      <c r="F28" s="903"/>
      <c r="G28" s="557">
        <v>18162369</v>
      </c>
      <c r="H28" s="557">
        <v>3374001</v>
      </c>
      <c r="I28" s="902"/>
      <c r="J28" s="891"/>
      <c r="K28" s="891"/>
      <c r="L28" s="891"/>
      <c r="M28" s="891"/>
      <c r="N28" s="891"/>
      <c r="O28" s="891"/>
      <c r="P28" s="891"/>
      <c r="Q28" s="891"/>
      <c r="R28" s="891"/>
      <c r="S28" s="891"/>
      <c r="T28" s="891"/>
      <c r="U28" s="891"/>
      <c r="V28" s="891"/>
      <c r="W28" s="891"/>
    </row>
    <row r="29" spans="1:23" s="558" customFormat="1" ht="14.25" hidden="1" customHeight="1">
      <c r="A29" s="903"/>
      <c r="B29" s="934"/>
      <c r="C29" s="914"/>
      <c r="D29" s="906"/>
      <c r="E29" s="904"/>
      <c r="F29" s="903"/>
      <c r="G29" s="557">
        <v>3847287</v>
      </c>
      <c r="H29" s="557">
        <v>714706</v>
      </c>
      <c r="I29" s="559" t="s">
        <v>1</v>
      </c>
      <c r="J29" s="580">
        <f>K29+N29</f>
        <v>0</v>
      </c>
      <c r="K29" s="580">
        <f>L29+M29</f>
        <v>0</v>
      </c>
      <c r="L29" s="581">
        <v>0</v>
      </c>
      <c r="M29" s="581">
        <v>0</v>
      </c>
      <c r="N29" s="580">
        <f>O29+R29+U29</f>
        <v>0</v>
      </c>
      <c r="O29" s="580">
        <f>P29+Q29</f>
        <v>0</v>
      </c>
      <c r="P29" s="581">
        <v>0</v>
      </c>
      <c r="Q29" s="581">
        <v>0</v>
      </c>
      <c r="R29" s="580">
        <f>S29+T29</f>
        <v>0</v>
      </c>
      <c r="S29" s="581">
        <v>0</v>
      </c>
      <c r="T29" s="581">
        <v>0</v>
      </c>
      <c r="U29" s="580">
        <f>V29+W29</f>
        <v>0</v>
      </c>
      <c r="V29" s="581">
        <v>0</v>
      </c>
      <c r="W29" s="581">
        <v>0</v>
      </c>
    </row>
    <row r="30" spans="1:23" s="558" customFormat="1" ht="14.25" hidden="1" customHeight="1">
      <c r="A30" s="903"/>
      <c r="B30" s="934"/>
      <c r="C30" s="914"/>
      <c r="D30" s="906"/>
      <c r="E30" s="904"/>
      <c r="F30" s="903"/>
      <c r="G30" s="557">
        <v>0</v>
      </c>
      <c r="H30" s="557">
        <v>0</v>
      </c>
      <c r="I30" s="901" t="s">
        <v>2</v>
      </c>
      <c r="J30" s="890">
        <f t="shared" ref="J30:W30" si="2">J27+J29</f>
        <v>5263074</v>
      </c>
      <c r="K30" s="890">
        <f t="shared" si="2"/>
        <v>4343089</v>
      </c>
      <c r="L30" s="890">
        <f t="shared" si="2"/>
        <v>4343089</v>
      </c>
      <c r="M30" s="890">
        <f t="shared" si="2"/>
        <v>0</v>
      </c>
      <c r="N30" s="890">
        <f t="shared" si="2"/>
        <v>919985</v>
      </c>
      <c r="O30" s="890">
        <f t="shared" si="2"/>
        <v>919985</v>
      </c>
      <c r="P30" s="890">
        <f t="shared" si="2"/>
        <v>919985</v>
      </c>
      <c r="Q30" s="890">
        <f t="shared" si="2"/>
        <v>0</v>
      </c>
      <c r="R30" s="890">
        <f t="shared" si="2"/>
        <v>0</v>
      </c>
      <c r="S30" s="890">
        <f t="shared" si="2"/>
        <v>0</v>
      </c>
      <c r="T30" s="890">
        <f t="shared" si="2"/>
        <v>0</v>
      </c>
      <c r="U30" s="890">
        <f t="shared" si="2"/>
        <v>0</v>
      </c>
      <c r="V30" s="890">
        <f t="shared" si="2"/>
        <v>0</v>
      </c>
      <c r="W30" s="890">
        <f t="shared" si="2"/>
        <v>0</v>
      </c>
    </row>
    <row r="31" spans="1:23" s="558" customFormat="1" ht="14.25" hidden="1" customHeight="1">
      <c r="A31" s="903"/>
      <c r="B31" s="935"/>
      <c r="C31" s="915"/>
      <c r="D31" s="906"/>
      <c r="E31" s="904"/>
      <c r="F31" s="903"/>
      <c r="G31" s="557">
        <v>0</v>
      </c>
      <c r="H31" s="557">
        <v>0</v>
      </c>
      <c r="I31" s="902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891"/>
      <c r="U31" s="891"/>
      <c r="V31" s="891"/>
      <c r="W31" s="891"/>
    </row>
    <row r="32" spans="1:23" s="558" customFormat="1" ht="14.25" hidden="1" customHeight="1">
      <c r="A32" s="903">
        <v>4</v>
      </c>
      <c r="B32" s="933" t="s">
        <v>1057</v>
      </c>
      <c r="C32" s="913" t="s">
        <v>1058</v>
      </c>
      <c r="D32" s="906" t="s">
        <v>359</v>
      </c>
      <c r="E32" s="904" t="s">
        <v>988</v>
      </c>
      <c r="F32" s="903" t="s">
        <v>944</v>
      </c>
      <c r="G32" s="557">
        <f>G33+G34+G35+G36</f>
        <v>25295216</v>
      </c>
      <c r="H32" s="557">
        <f>H33+H34+H35+H36</f>
        <v>6970125</v>
      </c>
      <c r="I32" s="901" t="s">
        <v>0</v>
      </c>
      <c r="J32" s="890">
        <f>K32+N32</f>
        <v>14262864</v>
      </c>
      <c r="K32" s="890">
        <f>L32+M32</f>
        <v>11815372</v>
      </c>
      <c r="L32" s="890">
        <v>11765250</v>
      </c>
      <c r="M32" s="890">
        <v>50122</v>
      </c>
      <c r="N32" s="890">
        <f>O32+R32+U32</f>
        <v>2447492</v>
      </c>
      <c r="O32" s="890">
        <f>P32+Q32</f>
        <v>0</v>
      </c>
      <c r="P32" s="890">
        <v>0</v>
      </c>
      <c r="Q32" s="890">
        <v>0</v>
      </c>
      <c r="R32" s="890">
        <f>S32+T32</f>
        <v>2447492</v>
      </c>
      <c r="S32" s="890">
        <v>2435964</v>
      </c>
      <c r="T32" s="890">
        <v>11528</v>
      </c>
      <c r="U32" s="890">
        <f>V32+W32</f>
        <v>0</v>
      </c>
      <c r="V32" s="890">
        <v>0</v>
      </c>
      <c r="W32" s="890">
        <v>0</v>
      </c>
    </row>
    <row r="33" spans="1:23" s="558" customFormat="1" ht="14.25" hidden="1" customHeight="1">
      <c r="A33" s="903"/>
      <c r="B33" s="934"/>
      <c r="C33" s="914"/>
      <c r="D33" s="906"/>
      <c r="E33" s="904"/>
      <c r="F33" s="903"/>
      <c r="G33" s="557">
        <v>21240408</v>
      </c>
      <c r="H33" s="557">
        <v>5772247</v>
      </c>
      <c r="I33" s="902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</row>
    <row r="34" spans="1:23" s="558" customFormat="1" ht="14.25" hidden="1" customHeight="1">
      <c r="A34" s="903"/>
      <c r="B34" s="934"/>
      <c r="C34" s="914"/>
      <c r="D34" s="906"/>
      <c r="E34" s="904"/>
      <c r="F34" s="903"/>
      <c r="G34" s="557">
        <v>0</v>
      </c>
      <c r="H34" s="557">
        <v>0</v>
      </c>
      <c r="I34" s="559" t="s">
        <v>1</v>
      </c>
      <c r="J34" s="580">
        <f>K34+N34</f>
        <v>0</v>
      </c>
      <c r="K34" s="580">
        <f>L34+M34</f>
        <v>0</v>
      </c>
      <c r="L34" s="581">
        <v>0</v>
      </c>
      <c r="M34" s="581">
        <v>0</v>
      </c>
      <c r="N34" s="580">
        <f>O34+R34+U34</f>
        <v>0</v>
      </c>
      <c r="O34" s="580">
        <f>P34+Q34</f>
        <v>0</v>
      </c>
      <c r="P34" s="581">
        <v>0</v>
      </c>
      <c r="Q34" s="581">
        <v>0</v>
      </c>
      <c r="R34" s="580">
        <f>S34+T34</f>
        <v>0</v>
      </c>
      <c r="S34" s="581">
        <v>0</v>
      </c>
      <c r="T34" s="581">
        <v>0</v>
      </c>
      <c r="U34" s="580">
        <f>V34+W34</f>
        <v>0</v>
      </c>
      <c r="V34" s="581">
        <v>0</v>
      </c>
      <c r="W34" s="581">
        <v>0</v>
      </c>
    </row>
    <row r="35" spans="1:23" s="558" customFormat="1" ht="14.25" hidden="1" customHeight="1">
      <c r="A35" s="903"/>
      <c r="B35" s="934"/>
      <c r="C35" s="914"/>
      <c r="D35" s="906"/>
      <c r="E35" s="904"/>
      <c r="F35" s="903"/>
      <c r="G35" s="557">
        <v>4054808</v>
      </c>
      <c r="H35" s="557">
        <v>1197878</v>
      </c>
      <c r="I35" s="901" t="s">
        <v>2</v>
      </c>
      <c r="J35" s="890">
        <f t="shared" ref="J35:W35" si="3">J32+J34</f>
        <v>14262864</v>
      </c>
      <c r="K35" s="890">
        <f t="shared" si="3"/>
        <v>11815372</v>
      </c>
      <c r="L35" s="890">
        <f t="shared" si="3"/>
        <v>11765250</v>
      </c>
      <c r="M35" s="890">
        <f t="shared" si="3"/>
        <v>50122</v>
      </c>
      <c r="N35" s="890">
        <f t="shared" si="3"/>
        <v>2447492</v>
      </c>
      <c r="O35" s="890">
        <f t="shared" si="3"/>
        <v>0</v>
      </c>
      <c r="P35" s="890">
        <f t="shared" si="3"/>
        <v>0</v>
      </c>
      <c r="Q35" s="890">
        <f t="shared" si="3"/>
        <v>0</v>
      </c>
      <c r="R35" s="890">
        <f t="shared" si="3"/>
        <v>2447492</v>
      </c>
      <c r="S35" s="890">
        <f t="shared" si="3"/>
        <v>2435964</v>
      </c>
      <c r="T35" s="890">
        <f t="shared" si="3"/>
        <v>11528</v>
      </c>
      <c r="U35" s="890">
        <f t="shared" si="3"/>
        <v>0</v>
      </c>
      <c r="V35" s="890">
        <f t="shared" si="3"/>
        <v>0</v>
      </c>
      <c r="W35" s="890">
        <f t="shared" si="3"/>
        <v>0</v>
      </c>
    </row>
    <row r="36" spans="1:23" s="558" customFormat="1" ht="14.25" hidden="1" customHeight="1">
      <c r="A36" s="903"/>
      <c r="B36" s="935"/>
      <c r="C36" s="915"/>
      <c r="D36" s="906"/>
      <c r="E36" s="904"/>
      <c r="F36" s="903"/>
      <c r="G36" s="557">
        <v>0</v>
      </c>
      <c r="H36" s="557">
        <v>0</v>
      </c>
      <c r="I36" s="902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</row>
    <row r="37" spans="1:23" s="558" customFormat="1" ht="14.25" hidden="1" customHeight="1">
      <c r="A37" s="903">
        <v>5</v>
      </c>
      <c r="B37" s="933" t="s">
        <v>1059</v>
      </c>
      <c r="C37" s="949" t="s">
        <v>1060</v>
      </c>
      <c r="D37" s="906" t="s">
        <v>359</v>
      </c>
      <c r="E37" s="904" t="s">
        <v>1061</v>
      </c>
      <c r="F37" s="903" t="s">
        <v>1062</v>
      </c>
      <c r="G37" s="557">
        <f>G38+G39+G40+G41</f>
        <v>46927809</v>
      </c>
      <c r="H37" s="557">
        <f>H38+H39+H40+H41</f>
        <v>43427809</v>
      </c>
      <c r="I37" s="901" t="s">
        <v>0</v>
      </c>
      <c r="J37" s="890">
        <f>K37+N37</f>
        <v>3500000</v>
      </c>
      <c r="K37" s="890">
        <f>L37+M37</f>
        <v>2227000</v>
      </c>
      <c r="L37" s="890">
        <v>2227000</v>
      </c>
      <c r="M37" s="890">
        <v>0</v>
      </c>
      <c r="N37" s="890">
        <f>O37+R37+U37</f>
        <v>1273000</v>
      </c>
      <c r="O37" s="890">
        <f>P37+Q37</f>
        <v>1273000</v>
      </c>
      <c r="P37" s="890">
        <v>1273000</v>
      </c>
      <c r="Q37" s="890">
        <v>0</v>
      </c>
      <c r="R37" s="890">
        <f>S37+T37</f>
        <v>0</v>
      </c>
      <c r="S37" s="890">
        <v>0</v>
      </c>
      <c r="T37" s="890">
        <v>0</v>
      </c>
      <c r="U37" s="890">
        <f>V37+W37</f>
        <v>0</v>
      </c>
      <c r="V37" s="890">
        <v>0</v>
      </c>
      <c r="W37" s="890">
        <v>0</v>
      </c>
    </row>
    <row r="38" spans="1:23" s="558" customFormat="1" ht="14.25" hidden="1" customHeight="1">
      <c r="A38" s="903"/>
      <c r="B38" s="934"/>
      <c r="C38" s="949"/>
      <c r="D38" s="906"/>
      <c r="E38" s="904"/>
      <c r="F38" s="903"/>
      <c r="G38" s="557">
        <v>29860383</v>
      </c>
      <c r="H38" s="557">
        <v>27633383</v>
      </c>
      <c r="I38" s="902"/>
      <c r="J38" s="891"/>
      <c r="K38" s="891"/>
      <c r="L38" s="891"/>
      <c r="M38" s="891"/>
      <c r="N38" s="891"/>
      <c r="O38" s="891"/>
      <c r="P38" s="891"/>
      <c r="Q38" s="891"/>
      <c r="R38" s="891"/>
      <c r="S38" s="891"/>
      <c r="T38" s="891"/>
      <c r="U38" s="891"/>
      <c r="V38" s="891"/>
      <c r="W38" s="891"/>
    </row>
    <row r="39" spans="1:23" s="558" customFormat="1" ht="14.25" hidden="1" customHeight="1">
      <c r="A39" s="903"/>
      <c r="B39" s="934"/>
      <c r="C39" s="949"/>
      <c r="D39" s="906"/>
      <c r="E39" s="904"/>
      <c r="F39" s="903"/>
      <c r="G39" s="557">
        <v>17067426</v>
      </c>
      <c r="H39" s="557">
        <v>15794426</v>
      </c>
      <c r="I39" s="559" t="s">
        <v>1</v>
      </c>
      <c r="J39" s="580">
        <f>K39+N39</f>
        <v>0</v>
      </c>
      <c r="K39" s="580">
        <f>L39+M39</f>
        <v>0</v>
      </c>
      <c r="L39" s="581">
        <v>0</v>
      </c>
      <c r="M39" s="581">
        <v>0</v>
      </c>
      <c r="N39" s="580">
        <f>O39+R39+U39</f>
        <v>0</v>
      </c>
      <c r="O39" s="580">
        <f>P39+Q39</f>
        <v>0</v>
      </c>
      <c r="P39" s="581">
        <v>0</v>
      </c>
      <c r="Q39" s="581">
        <v>0</v>
      </c>
      <c r="R39" s="580">
        <f>S39+T39</f>
        <v>0</v>
      </c>
      <c r="S39" s="581">
        <v>0</v>
      </c>
      <c r="T39" s="581">
        <v>0</v>
      </c>
      <c r="U39" s="580">
        <f>V39+W39</f>
        <v>0</v>
      </c>
      <c r="V39" s="581">
        <v>0</v>
      </c>
      <c r="W39" s="581">
        <v>0</v>
      </c>
    </row>
    <row r="40" spans="1:23" s="558" customFormat="1" ht="14.25" hidden="1" customHeight="1">
      <c r="A40" s="903"/>
      <c r="B40" s="934"/>
      <c r="C40" s="949"/>
      <c r="D40" s="906"/>
      <c r="E40" s="904"/>
      <c r="F40" s="903"/>
      <c r="G40" s="557">
        <v>0</v>
      </c>
      <c r="H40" s="557">
        <v>0</v>
      </c>
      <c r="I40" s="901" t="s">
        <v>2</v>
      </c>
      <c r="J40" s="890">
        <f t="shared" ref="J40:W40" si="4">J37+J39</f>
        <v>3500000</v>
      </c>
      <c r="K40" s="890">
        <f t="shared" si="4"/>
        <v>2227000</v>
      </c>
      <c r="L40" s="890">
        <f t="shared" si="4"/>
        <v>2227000</v>
      </c>
      <c r="M40" s="890">
        <f t="shared" si="4"/>
        <v>0</v>
      </c>
      <c r="N40" s="890">
        <f t="shared" si="4"/>
        <v>1273000</v>
      </c>
      <c r="O40" s="890">
        <f t="shared" si="4"/>
        <v>1273000</v>
      </c>
      <c r="P40" s="890">
        <f t="shared" si="4"/>
        <v>1273000</v>
      </c>
      <c r="Q40" s="890">
        <f t="shared" si="4"/>
        <v>0</v>
      </c>
      <c r="R40" s="890">
        <f t="shared" si="4"/>
        <v>0</v>
      </c>
      <c r="S40" s="890">
        <f t="shared" si="4"/>
        <v>0</v>
      </c>
      <c r="T40" s="890">
        <f t="shared" si="4"/>
        <v>0</v>
      </c>
      <c r="U40" s="890">
        <f t="shared" si="4"/>
        <v>0</v>
      </c>
      <c r="V40" s="890">
        <f t="shared" si="4"/>
        <v>0</v>
      </c>
      <c r="W40" s="890">
        <f t="shared" si="4"/>
        <v>0</v>
      </c>
    </row>
    <row r="41" spans="1:23" s="558" customFormat="1" ht="14.25" hidden="1" customHeight="1">
      <c r="A41" s="903"/>
      <c r="B41" s="935"/>
      <c r="C41" s="949"/>
      <c r="D41" s="906"/>
      <c r="E41" s="904"/>
      <c r="F41" s="903"/>
      <c r="G41" s="557">
        <v>0</v>
      </c>
      <c r="H41" s="557">
        <v>0</v>
      </c>
      <c r="I41" s="902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1"/>
    </row>
    <row r="42" spans="1:23" s="558" customFormat="1" ht="14.25" hidden="1" customHeight="1">
      <c r="A42" s="903">
        <v>6</v>
      </c>
      <c r="B42" s="933" t="s">
        <v>1059</v>
      </c>
      <c r="C42" s="949" t="s">
        <v>1063</v>
      </c>
      <c r="D42" s="906" t="s">
        <v>359</v>
      </c>
      <c r="E42" s="904" t="s">
        <v>1061</v>
      </c>
      <c r="F42" s="903" t="s">
        <v>1062</v>
      </c>
      <c r="G42" s="557">
        <f>G43+G44+G45+G46</f>
        <v>10661241</v>
      </c>
      <c r="H42" s="557">
        <f>H43+H44+H45+H46</f>
        <v>10476241</v>
      </c>
      <c r="I42" s="901" t="s">
        <v>0</v>
      </c>
      <c r="J42" s="890">
        <f>K42+N42</f>
        <v>185000</v>
      </c>
      <c r="K42" s="890">
        <f>L42+M42</f>
        <v>118000</v>
      </c>
      <c r="L42" s="890">
        <v>118000</v>
      </c>
      <c r="M42" s="890">
        <v>0</v>
      </c>
      <c r="N42" s="890">
        <f>O42+R42+U42</f>
        <v>67000</v>
      </c>
      <c r="O42" s="890">
        <f>P42+Q42</f>
        <v>67000</v>
      </c>
      <c r="P42" s="890">
        <v>67000</v>
      </c>
      <c r="Q42" s="890">
        <v>0</v>
      </c>
      <c r="R42" s="890">
        <f>S42+T42</f>
        <v>0</v>
      </c>
      <c r="S42" s="890">
        <v>0</v>
      </c>
      <c r="T42" s="890">
        <v>0</v>
      </c>
      <c r="U42" s="890">
        <f>V42+W42</f>
        <v>0</v>
      </c>
      <c r="V42" s="890">
        <v>0</v>
      </c>
      <c r="W42" s="890">
        <v>0</v>
      </c>
    </row>
    <row r="43" spans="1:23" s="558" customFormat="1" ht="14.25" hidden="1" customHeight="1">
      <c r="A43" s="903"/>
      <c r="B43" s="934"/>
      <c r="C43" s="949"/>
      <c r="D43" s="906"/>
      <c r="E43" s="904"/>
      <c r="F43" s="903"/>
      <c r="G43" s="557">
        <v>6783731</v>
      </c>
      <c r="H43" s="557">
        <v>6665731</v>
      </c>
      <c r="I43" s="902"/>
      <c r="J43" s="891"/>
      <c r="K43" s="891"/>
      <c r="L43" s="891"/>
      <c r="M43" s="891"/>
      <c r="N43" s="891"/>
      <c r="O43" s="891"/>
      <c r="P43" s="891"/>
      <c r="Q43" s="891"/>
      <c r="R43" s="891"/>
      <c r="S43" s="891"/>
      <c r="T43" s="891"/>
      <c r="U43" s="891"/>
      <c r="V43" s="891"/>
      <c r="W43" s="891"/>
    </row>
    <row r="44" spans="1:23" s="558" customFormat="1" ht="14.25" hidden="1" customHeight="1">
      <c r="A44" s="903"/>
      <c r="B44" s="934"/>
      <c r="C44" s="949"/>
      <c r="D44" s="906"/>
      <c r="E44" s="904"/>
      <c r="F44" s="903"/>
      <c r="G44" s="557">
        <v>3877510</v>
      </c>
      <c r="H44" s="557">
        <v>3810510</v>
      </c>
      <c r="I44" s="559" t="s">
        <v>1</v>
      </c>
      <c r="J44" s="580">
        <f>K44+N44</f>
        <v>0</v>
      </c>
      <c r="K44" s="580">
        <f>L44+M44</f>
        <v>0</v>
      </c>
      <c r="L44" s="581">
        <v>0</v>
      </c>
      <c r="M44" s="581">
        <v>0</v>
      </c>
      <c r="N44" s="580">
        <f>O44+R44+U44</f>
        <v>0</v>
      </c>
      <c r="O44" s="580">
        <f>P44+Q44</f>
        <v>0</v>
      </c>
      <c r="P44" s="581">
        <v>0</v>
      </c>
      <c r="Q44" s="581">
        <v>0</v>
      </c>
      <c r="R44" s="580">
        <f>S44+T44</f>
        <v>0</v>
      </c>
      <c r="S44" s="581">
        <v>0</v>
      </c>
      <c r="T44" s="581">
        <v>0</v>
      </c>
      <c r="U44" s="580">
        <f>V44+W44</f>
        <v>0</v>
      </c>
      <c r="V44" s="581">
        <v>0</v>
      </c>
      <c r="W44" s="581">
        <v>0</v>
      </c>
    </row>
    <row r="45" spans="1:23" s="558" customFormat="1" ht="14.25" hidden="1" customHeight="1">
      <c r="A45" s="903"/>
      <c r="B45" s="934"/>
      <c r="C45" s="949"/>
      <c r="D45" s="906"/>
      <c r="E45" s="904"/>
      <c r="F45" s="903"/>
      <c r="G45" s="557">
        <v>0</v>
      </c>
      <c r="H45" s="557">
        <v>0</v>
      </c>
      <c r="I45" s="901" t="s">
        <v>2</v>
      </c>
      <c r="J45" s="890">
        <f t="shared" ref="J45:W45" si="5">J42+J44</f>
        <v>185000</v>
      </c>
      <c r="K45" s="890">
        <f t="shared" si="5"/>
        <v>118000</v>
      </c>
      <c r="L45" s="890">
        <f t="shared" si="5"/>
        <v>118000</v>
      </c>
      <c r="M45" s="890">
        <f t="shared" si="5"/>
        <v>0</v>
      </c>
      <c r="N45" s="890">
        <f t="shared" si="5"/>
        <v>67000</v>
      </c>
      <c r="O45" s="890">
        <f t="shared" si="5"/>
        <v>67000</v>
      </c>
      <c r="P45" s="890">
        <f t="shared" si="5"/>
        <v>67000</v>
      </c>
      <c r="Q45" s="890">
        <f t="shared" si="5"/>
        <v>0</v>
      </c>
      <c r="R45" s="890">
        <f t="shared" si="5"/>
        <v>0</v>
      </c>
      <c r="S45" s="890">
        <f t="shared" si="5"/>
        <v>0</v>
      </c>
      <c r="T45" s="890">
        <f t="shared" si="5"/>
        <v>0</v>
      </c>
      <c r="U45" s="890">
        <f t="shared" si="5"/>
        <v>0</v>
      </c>
      <c r="V45" s="890">
        <f t="shared" si="5"/>
        <v>0</v>
      </c>
      <c r="W45" s="890">
        <f t="shared" si="5"/>
        <v>0</v>
      </c>
    </row>
    <row r="46" spans="1:23" s="558" customFormat="1" ht="14.25" hidden="1" customHeight="1">
      <c r="A46" s="903"/>
      <c r="B46" s="935"/>
      <c r="C46" s="949"/>
      <c r="D46" s="906"/>
      <c r="E46" s="904"/>
      <c r="F46" s="903"/>
      <c r="G46" s="557">
        <v>0</v>
      </c>
      <c r="H46" s="557">
        <v>0</v>
      </c>
      <c r="I46" s="902"/>
      <c r="J46" s="891"/>
      <c r="K46" s="891"/>
      <c r="L46" s="891"/>
      <c r="M46" s="891"/>
      <c r="N46" s="891"/>
      <c r="O46" s="891"/>
      <c r="P46" s="891"/>
      <c r="Q46" s="891"/>
      <c r="R46" s="891"/>
      <c r="S46" s="891"/>
      <c r="T46" s="891"/>
      <c r="U46" s="891"/>
      <c r="V46" s="891"/>
      <c r="W46" s="891"/>
    </row>
    <row r="47" spans="1:23" s="558" customFormat="1" ht="15" hidden="1" customHeight="1">
      <c r="A47" s="903">
        <v>7</v>
      </c>
      <c r="B47" s="946" t="s">
        <v>1064</v>
      </c>
      <c r="C47" s="949" t="s">
        <v>1065</v>
      </c>
      <c r="D47" s="950" t="s">
        <v>1066</v>
      </c>
      <c r="E47" s="904" t="s">
        <v>1067</v>
      </c>
      <c r="F47" s="903" t="s">
        <v>1021</v>
      </c>
      <c r="G47" s="557">
        <f>G48+G49+G50+G51</f>
        <v>30000000</v>
      </c>
      <c r="H47" s="557">
        <f>H48+H49+H50+H51</f>
        <v>0</v>
      </c>
      <c r="I47" s="901" t="s">
        <v>0</v>
      </c>
      <c r="J47" s="890">
        <f>K47+N47</f>
        <v>6000000</v>
      </c>
      <c r="K47" s="890">
        <f>L47+M47</f>
        <v>3300000</v>
      </c>
      <c r="L47" s="890">
        <v>3300000</v>
      </c>
      <c r="M47" s="890">
        <v>0</v>
      </c>
      <c r="N47" s="890">
        <f>O47+R47+U47</f>
        <v>2700000</v>
      </c>
      <c r="O47" s="890">
        <f>P47+Q47</f>
        <v>2700000</v>
      </c>
      <c r="P47" s="890">
        <v>2700000</v>
      </c>
      <c r="Q47" s="890">
        <v>0</v>
      </c>
      <c r="R47" s="890">
        <f>S47+T47</f>
        <v>0</v>
      </c>
      <c r="S47" s="890">
        <v>0</v>
      </c>
      <c r="T47" s="890">
        <v>0</v>
      </c>
      <c r="U47" s="890">
        <f>V47+W47</f>
        <v>0</v>
      </c>
      <c r="V47" s="890">
        <v>0</v>
      </c>
      <c r="W47" s="890">
        <v>0</v>
      </c>
    </row>
    <row r="48" spans="1:23" s="558" customFormat="1" ht="15" hidden="1" customHeight="1">
      <c r="A48" s="903"/>
      <c r="B48" s="947"/>
      <c r="C48" s="949"/>
      <c r="D48" s="950"/>
      <c r="E48" s="904"/>
      <c r="F48" s="903"/>
      <c r="G48" s="557">
        <v>16500000</v>
      </c>
      <c r="H48" s="557">
        <v>0</v>
      </c>
      <c r="I48" s="902"/>
      <c r="J48" s="891"/>
      <c r="K48" s="891"/>
      <c r="L48" s="891"/>
      <c r="M48" s="891"/>
      <c r="N48" s="891"/>
      <c r="O48" s="891"/>
      <c r="P48" s="891"/>
      <c r="Q48" s="891"/>
      <c r="R48" s="891"/>
      <c r="S48" s="891"/>
      <c r="T48" s="891"/>
      <c r="U48" s="891"/>
      <c r="V48" s="891"/>
      <c r="W48" s="891"/>
    </row>
    <row r="49" spans="1:23" s="558" customFormat="1" ht="15" hidden="1" customHeight="1">
      <c r="A49" s="903"/>
      <c r="B49" s="947"/>
      <c r="C49" s="949"/>
      <c r="D49" s="950"/>
      <c r="E49" s="904"/>
      <c r="F49" s="903"/>
      <c r="G49" s="557">
        <v>13500000</v>
      </c>
      <c r="H49" s="557">
        <v>0</v>
      </c>
      <c r="I49" s="559" t="s">
        <v>1</v>
      </c>
      <c r="J49" s="580">
        <f>K49+N49</f>
        <v>0</v>
      </c>
      <c r="K49" s="580">
        <f>L49+M49</f>
        <v>0</v>
      </c>
      <c r="L49" s="581">
        <v>0</v>
      </c>
      <c r="M49" s="581">
        <v>0</v>
      </c>
      <c r="N49" s="580">
        <f>O49+R49+U49</f>
        <v>0</v>
      </c>
      <c r="O49" s="580">
        <f>P49+Q49</f>
        <v>0</v>
      </c>
      <c r="P49" s="581">
        <v>0</v>
      </c>
      <c r="Q49" s="581">
        <v>0</v>
      </c>
      <c r="R49" s="580">
        <f>S49+T49</f>
        <v>0</v>
      </c>
      <c r="S49" s="581">
        <v>0</v>
      </c>
      <c r="T49" s="581">
        <v>0</v>
      </c>
      <c r="U49" s="580">
        <f>V49+W49</f>
        <v>0</v>
      </c>
      <c r="V49" s="581">
        <v>0</v>
      </c>
      <c r="W49" s="581">
        <v>0</v>
      </c>
    </row>
    <row r="50" spans="1:23" s="558" customFormat="1" ht="15" hidden="1" customHeight="1">
      <c r="A50" s="903"/>
      <c r="B50" s="947"/>
      <c r="C50" s="949"/>
      <c r="D50" s="950"/>
      <c r="E50" s="904"/>
      <c r="F50" s="903"/>
      <c r="G50" s="557">
        <v>0</v>
      </c>
      <c r="H50" s="557">
        <v>0</v>
      </c>
      <c r="I50" s="901" t="s">
        <v>2</v>
      </c>
      <c r="J50" s="890">
        <f t="shared" ref="J50:W50" si="6">J47+J49</f>
        <v>6000000</v>
      </c>
      <c r="K50" s="890">
        <f t="shared" si="6"/>
        <v>3300000</v>
      </c>
      <c r="L50" s="890">
        <f t="shared" si="6"/>
        <v>3300000</v>
      </c>
      <c r="M50" s="890">
        <f t="shared" si="6"/>
        <v>0</v>
      </c>
      <c r="N50" s="890">
        <f t="shared" si="6"/>
        <v>2700000</v>
      </c>
      <c r="O50" s="890">
        <f t="shared" si="6"/>
        <v>2700000</v>
      </c>
      <c r="P50" s="890">
        <f t="shared" si="6"/>
        <v>2700000</v>
      </c>
      <c r="Q50" s="890">
        <f t="shared" si="6"/>
        <v>0</v>
      </c>
      <c r="R50" s="890">
        <f t="shared" si="6"/>
        <v>0</v>
      </c>
      <c r="S50" s="890">
        <f t="shared" si="6"/>
        <v>0</v>
      </c>
      <c r="T50" s="890">
        <f t="shared" si="6"/>
        <v>0</v>
      </c>
      <c r="U50" s="890">
        <f t="shared" si="6"/>
        <v>0</v>
      </c>
      <c r="V50" s="890">
        <f t="shared" si="6"/>
        <v>0</v>
      </c>
      <c r="W50" s="890">
        <f t="shared" si="6"/>
        <v>0</v>
      </c>
    </row>
    <row r="51" spans="1:23" s="558" customFormat="1" ht="15" hidden="1" customHeight="1">
      <c r="A51" s="903"/>
      <c r="B51" s="948"/>
      <c r="C51" s="949"/>
      <c r="D51" s="950"/>
      <c r="E51" s="904"/>
      <c r="F51" s="903"/>
      <c r="G51" s="557">
        <v>0</v>
      </c>
      <c r="H51" s="557">
        <v>0</v>
      </c>
      <c r="I51" s="902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1"/>
    </row>
    <row r="52" spans="1:23" s="558" customFormat="1" ht="15" hidden="1" customHeight="1">
      <c r="A52" s="903">
        <v>8</v>
      </c>
      <c r="B52" s="946" t="s">
        <v>1064</v>
      </c>
      <c r="C52" s="949" t="s">
        <v>1068</v>
      </c>
      <c r="D52" s="950" t="s">
        <v>1066</v>
      </c>
      <c r="E52" s="904" t="s">
        <v>1067</v>
      </c>
      <c r="F52" s="903" t="s">
        <v>940</v>
      </c>
      <c r="G52" s="557">
        <f>G53+G54+G55+G56</f>
        <v>1950000</v>
      </c>
      <c r="H52" s="557">
        <f>H53+H54+H55+H56</f>
        <v>0</v>
      </c>
      <c r="I52" s="901" t="s">
        <v>0</v>
      </c>
      <c r="J52" s="890">
        <f>K52+N52</f>
        <v>475000</v>
      </c>
      <c r="K52" s="890">
        <f>L52+M52</f>
        <v>261000</v>
      </c>
      <c r="L52" s="890">
        <v>261000</v>
      </c>
      <c r="M52" s="890">
        <v>0</v>
      </c>
      <c r="N52" s="890">
        <f>O52+R52+U52</f>
        <v>214000</v>
      </c>
      <c r="O52" s="890">
        <f>P52+Q52</f>
        <v>214000</v>
      </c>
      <c r="P52" s="890">
        <v>214000</v>
      </c>
      <c r="Q52" s="890">
        <v>0</v>
      </c>
      <c r="R52" s="890">
        <f>S52+T52</f>
        <v>0</v>
      </c>
      <c r="S52" s="890">
        <v>0</v>
      </c>
      <c r="T52" s="890">
        <v>0</v>
      </c>
      <c r="U52" s="890">
        <f>V52+W52</f>
        <v>0</v>
      </c>
      <c r="V52" s="890">
        <v>0</v>
      </c>
      <c r="W52" s="890">
        <v>0</v>
      </c>
    </row>
    <row r="53" spans="1:23" s="558" customFormat="1" ht="15" hidden="1" customHeight="1">
      <c r="A53" s="903"/>
      <c r="B53" s="947"/>
      <c r="C53" s="949"/>
      <c r="D53" s="950"/>
      <c r="E53" s="904"/>
      <c r="F53" s="903"/>
      <c r="G53" s="557">
        <v>1072000</v>
      </c>
      <c r="H53" s="557">
        <v>0</v>
      </c>
      <c r="I53" s="902"/>
      <c r="J53" s="891"/>
      <c r="K53" s="891"/>
      <c r="L53" s="891"/>
      <c r="M53" s="891"/>
      <c r="N53" s="891"/>
      <c r="O53" s="891"/>
      <c r="P53" s="891"/>
      <c r="Q53" s="891"/>
      <c r="R53" s="891"/>
      <c r="S53" s="891"/>
      <c r="T53" s="891"/>
      <c r="U53" s="891"/>
      <c r="V53" s="891"/>
      <c r="W53" s="891"/>
    </row>
    <row r="54" spans="1:23" s="558" customFormat="1" ht="15" hidden="1" customHeight="1">
      <c r="A54" s="903"/>
      <c r="B54" s="947"/>
      <c r="C54" s="949"/>
      <c r="D54" s="950"/>
      <c r="E54" s="904"/>
      <c r="F54" s="903"/>
      <c r="G54" s="557">
        <v>878000</v>
      </c>
      <c r="H54" s="557">
        <v>0</v>
      </c>
      <c r="I54" s="559" t="s">
        <v>1</v>
      </c>
      <c r="J54" s="580">
        <f>K54+N54</f>
        <v>0</v>
      </c>
      <c r="K54" s="580">
        <f>L54+M54</f>
        <v>0</v>
      </c>
      <c r="L54" s="581">
        <v>0</v>
      </c>
      <c r="M54" s="581">
        <v>0</v>
      </c>
      <c r="N54" s="580">
        <f>O54+R54+U54</f>
        <v>0</v>
      </c>
      <c r="O54" s="580">
        <f>P54+Q54</f>
        <v>0</v>
      </c>
      <c r="P54" s="581">
        <v>0</v>
      </c>
      <c r="Q54" s="581">
        <v>0</v>
      </c>
      <c r="R54" s="580">
        <f>S54+T54</f>
        <v>0</v>
      </c>
      <c r="S54" s="581">
        <v>0</v>
      </c>
      <c r="T54" s="581">
        <v>0</v>
      </c>
      <c r="U54" s="580">
        <f>V54+W54</f>
        <v>0</v>
      </c>
      <c r="V54" s="581">
        <v>0</v>
      </c>
      <c r="W54" s="581">
        <v>0</v>
      </c>
    </row>
    <row r="55" spans="1:23" s="558" customFormat="1" ht="15" hidden="1" customHeight="1">
      <c r="A55" s="903"/>
      <c r="B55" s="947"/>
      <c r="C55" s="949"/>
      <c r="D55" s="950"/>
      <c r="E55" s="904"/>
      <c r="F55" s="903"/>
      <c r="G55" s="557">
        <v>0</v>
      </c>
      <c r="H55" s="557">
        <v>0</v>
      </c>
      <c r="I55" s="901" t="s">
        <v>2</v>
      </c>
      <c r="J55" s="890">
        <f t="shared" ref="J55:W55" si="7">J52+J54</f>
        <v>475000</v>
      </c>
      <c r="K55" s="890">
        <f t="shared" si="7"/>
        <v>261000</v>
      </c>
      <c r="L55" s="890">
        <f t="shared" si="7"/>
        <v>261000</v>
      </c>
      <c r="M55" s="890">
        <f t="shared" si="7"/>
        <v>0</v>
      </c>
      <c r="N55" s="890">
        <f t="shared" si="7"/>
        <v>214000</v>
      </c>
      <c r="O55" s="890">
        <f t="shared" si="7"/>
        <v>214000</v>
      </c>
      <c r="P55" s="890">
        <f t="shared" si="7"/>
        <v>214000</v>
      </c>
      <c r="Q55" s="890">
        <f t="shared" si="7"/>
        <v>0</v>
      </c>
      <c r="R55" s="890">
        <f t="shared" si="7"/>
        <v>0</v>
      </c>
      <c r="S55" s="890">
        <f t="shared" si="7"/>
        <v>0</v>
      </c>
      <c r="T55" s="890">
        <f t="shared" si="7"/>
        <v>0</v>
      </c>
      <c r="U55" s="890">
        <f t="shared" si="7"/>
        <v>0</v>
      </c>
      <c r="V55" s="890">
        <f t="shared" si="7"/>
        <v>0</v>
      </c>
      <c r="W55" s="890">
        <f t="shared" si="7"/>
        <v>0</v>
      </c>
    </row>
    <row r="56" spans="1:23" s="558" customFormat="1" ht="15" hidden="1" customHeight="1">
      <c r="A56" s="903"/>
      <c r="B56" s="948"/>
      <c r="C56" s="949"/>
      <c r="D56" s="950"/>
      <c r="E56" s="904"/>
      <c r="F56" s="903"/>
      <c r="G56" s="557">
        <v>0</v>
      </c>
      <c r="H56" s="557">
        <v>0</v>
      </c>
      <c r="I56" s="902"/>
      <c r="J56" s="891"/>
      <c r="K56" s="891"/>
      <c r="L56" s="891"/>
      <c r="M56" s="891"/>
      <c r="N56" s="891"/>
      <c r="O56" s="891"/>
      <c r="P56" s="891"/>
      <c r="Q56" s="891"/>
      <c r="R56" s="891"/>
      <c r="S56" s="891"/>
      <c r="T56" s="891"/>
      <c r="U56" s="891"/>
      <c r="V56" s="891"/>
      <c r="W56" s="891"/>
    </row>
    <row r="57" spans="1:23" s="558" customFormat="1" ht="18.75" hidden="1" customHeight="1">
      <c r="A57" s="903">
        <v>9</v>
      </c>
      <c r="B57" s="946" t="s">
        <v>1064</v>
      </c>
      <c r="C57" s="949" t="s">
        <v>1069</v>
      </c>
      <c r="D57" s="950" t="s">
        <v>1066</v>
      </c>
      <c r="E57" s="904" t="s">
        <v>1067</v>
      </c>
      <c r="F57" s="903" t="s">
        <v>1015</v>
      </c>
      <c r="G57" s="557">
        <f>G58+G59+G60+G61</f>
        <v>360000</v>
      </c>
      <c r="H57" s="557">
        <f>H58+H59+H60+H61</f>
        <v>0</v>
      </c>
      <c r="I57" s="901" t="s">
        <v>0</v>
      </c>
      <c r="J57" s="890">
        <f>K57+N57</f>
        <v>80000</v>
      </c>
      <c r="K57" s="890">
        <f>L57+M57</f>
        <v>44000</v>
      </c>
      <c r="L57" s="890">
        <v>44000</v>
      </c>
      <c r="M57" s="890">
        <v>0</v>
      </c>
      <c r="N57" s="890">
        <f>O57+R57+U57</f>
        <v>36000</v>
      </c>
      <c r="O57" s="890">
        <f>P57+Q57</f>
        <v>36000</v>
      </c>
      <c r="P57" s="890">
        <v>36000</v>
      </c>
      <c r="Q57" s="890">
        <v>0</v>
      </c>
      <c r="R57" s="890">
        <f>S57+T57</f>
        <v>0</v>
      </c>
      <c r="S57" s="890">
        <v>0</v>
      </c>
      <c r="T57" s="890">
        <v>0</v>
      </c>
      <c r="U57" s="890">
        <f>V57+W57</f>
        <v>0</v>
      </c>
      <c r="V57" s="890">
        <v>0</v>
      </c>
      <c r="W57" s="890">
        <v>0</v>
      </c>
    </row>
    <row r="58" spans="1:23" s="558" customFormat="1" ht="14.25" hidden="1" customHeight="1">
      <c r="A58" s="903"/>
      <c r="B58" s="947"/>
      <c r="C58" s="949"/>
      <c r="D58" s="950"/>
      <c r="E58" s="904"/>
      <c r="F58" s="903"/>
      <c r="G58" s="557">
        <v>198000</v>
      </c>
      <c r="H58" s="557">
        <v>0</v>
      </c>
      <c r="I58" s="902"/>
      <c r="J58" s="891"/>
      <c r="K58" s="891"/>
      <c r="L58" s="891"/>
      <c r="M58" s="891"/>
      <c r="N58" s="891"/>
      <c r="O58" s="891"/>
      <c r="P58" s="891"/>
      <c r="Q58" s="891"/>
      <c r="R58" s="891"/>
      <c r="S58" s="891"/>
      <c r="T58" s="891"/>
      <c r="U58" s="891"/>
      <c r="V58" s="891"/>
      <c r="W58" s="891"/>
    </row>
    <row r="59" spans="1:23" s="558" customFormat="1" ht="14.25" hidden="1" customHeight="1">
      <c r="A59" s="903"/>
      <c r="B59" s="947"/>
      <c r="C59" s="949"/>
      <c r="D59" s="950"/>
      <c r="E59" s="904"/>
      <c r="F59" s="903"/>
      <c r="G59" s="557">
        <v>162000</v>
      </c>
      <c r="H59" s="557">
        <v>0</v>
      </c>
      <c r="I59" s="559" t="s">
        <v>1</v>
      </c>
      <c r="J59" s="580">
        <f>K59+N59</f>
        <v>0</v>
      </c>
      <c r="K59" s="580">
        <f>L59+M59</f>
        <v>0</v>
      </c>
      <c r="L59" s="581">
        <v>0</v>
      </c>
      <c r="M59" s="581">
        <v>0</v>
      </c>
      <c r="N59" s="580">
        <f>O59+R59+U59</f>
        <v>0</v>
      </c>
      <c r="O59" s="580">
        <f>P59+Q59</f>
        <v>0</v>
      </c>
      <c r="P59" s="581">
        <v>0</v>
      </c>
      <c r="Q59" s="581">
        <v>0</v>
      </c>
      <c r="R59" s="580">
        <f>S59+T59</f>
        <v>0</v>
      </c>
      <c r="S59" s="581">
        <v>0</v>
      </c>
      <c r="T59" s="581">
        <v>0</v>
      </c>
      <c r="U59" s="580">
        <f>V59+W59</f>
        <v>0</v>
      </c>
      <c r="V59" s="581">
        <v>0</v>
      </c>
      <c r="W59" s="581">
        <v>0</v>
      </c>
    </row>
    <row r="60" spans="1:23" s="558" customFormat="1" ht="14.25" hidden="1" customHeight="1">
      <c r="A60" s="903"/>
      <c r="B60" s="947"/>
      <c r="C60" s="949"/>
      <c r="D60" s="950"/>
      <c r="E60" s="904"/>
      <c r="F60" s="903"/>
      <c r="G60" s="557">
        <v>0</v>
      </c>
      <c r="H60" s="557">
        <v>0</v>
      </c>
      <c r="I60" s="901" t="s">
        <v>2</v>
      </c>
      <c r="J60" s="890">
        <f t="shared" ref="J60:W60" si="8">J57+J59</f>
        <v>80000</v>
      </c>
      <c r="K60" s="890">
        <f t="shared" si="8"/>
        <v>44000</v>
      </c>
      <c r="L60" s="890">
        <f t="shared" si="8"/>
        <v>44000</v>
      </c>
      <c r="M60" s="890">
        <f t="shared" si="8"/>
        <v>0</v>
      </c>
      <c r="N60" s="890">
        <f t="shared" si="8"/>
        <v>36000</v>
      </c>
      <c r="O60" s="890">
        <f t="shared" si="8"/>
        <v>36000</v>
      </c>
      <c r="P60" s="890">
        <f t="shared" si="8"/>
        <v>36000</v>
      </c>
      <c r="Q60" s="890">
        <f t="shared" si="8"/>
        <v>0</v>
      </c>
      <c r="R60" s="890">
        <f t="shared" si="8"/>
        <v>0</v>
      </c>
      <c r="S60" s="890">
        <f t="shared" si="8"/>
        <v>0</v>
      </c>
      <c r="T60" s="890">
        <f t="shared" si="8"/>
        <v>0</v>
      </c>
      <c r="U60" s="890">
        <f t="shared" si="8"/>
        <v>0</v>
      </c>
      <c r="V60" s="890">
        <f t="shared" si="8"/>
        <v>0</v>
      </c>
      <c r="W60" s="890">
        <f t="shared" si="8"/>
        <v>0</v>
      </c>
    </row>
    <row r="61" spans="1:23" s="558" customFormat="1" ht="14.25" hidden="1" customHeight="1">
      <c r="A61" s="903"/>
      <c r="B61" s="948"/>
      <c r="C61" s="949"/>
      <c r="D61" s="950"/>
      <c r="E61" s="904"/>
      <c r="F61" s="903"/>
      <c r="G61" s="557">
        <v>0</v>
      </c>
      <c r="H61" s="557">
        <v>0</v>
      </c>
      <c r="I61" s="902"/>
      <c r="J61" s="891"/>
      <c r="K61" s="891"/>
      <c r="L61" s="891"/>
      <c r="M61" s="891"/>
      <c r="N61" s="891"/>
      <c r="O61" s="891"/>
      <c r="P61" s="891"/>
      <c r="Q61" s="891"/>
      <c r="R61" s="891"/>
      <c r="S61" s="891"/>
      <c r="T61" s="891"/>
      <c r="U61" s="891"/>
      <c r="V61" s="891"/>
      <c r="W61" s="891"/>
    </row>
    <row r="62" spans="1:23" s="558" customFormat="1" ht="15.75" hidden="1" customHeight="1">
      <c r="A62" s="903">
        <v>10</v>
      </c>
      <c r="B62" s="946" t="s">
        <v>1064</v>
      </c>
      <c r="C62" s="949" t="s">
        <v>1070</v>
      </c>
      <c r="D62" s="950" t="s">
        <v>1066</v>
      </c>
      <c r="E62" s="904" t="s">
        <v>1067</v>
      </c>
      <c r="F62" s="903" t="s">
        <v>940</v>
      </c>
      <c r="G62" s="557">
        <f>G63+G64+G65+G66</f>
        <v>3305000</v>
      </c>
      <c r="H62" s="557">
        <f>H63+H64+H65+H66</f>
        <v>0</v>
      </c>
      <c r="I62" s="901" t="s">
        <v>0</v>
      </c>
      <c r="J62" s="890">
        <f>K62+N62</f>
        <v>745000</v>
      </c>
      <c r="K62" s="890">
        <f>L62+M62</f>
        <v>410000</v>
      </c>
      <c r="L62" s="890">
        <v>410000</v>
      </c>
      <c r="M62" s="890">
        <v>0</v>
      </c>
      <c r="N62" s="890">
        <f>O62+R62+U62</f>
        <v>335000</v>
      </c>
      <c r="O62" s="890">
        <f>P62+Q62</f>
        <v>335000</v>
      </c>
      <c r="P62" s="890">
        <v>335000</v>
      </c>
      <c r="Q62" s="890">
        <v>0</v>
      </c>
      <c r="R62" s="890">
        <f>S62+T62</f>
        <v>0</v>
      </c>
      <c r="S62" s="890">
        <v>0</v>
      </c>
      <c r="T62" s="890">
        <v>0</v>
      </c>
      <c r="U62" s="890">
        <f>V62+W62</f>
        <v>0</v>
      </c>
      <c r="V62" s="890">
        <v>0</v>
      </c>
      <c r="W62" s="890">
        <v>0</v>
      </c>
    </row>
    <row r="63" spans="1:23" s="558" customFormat="1" ht="15.75" hidden="1" customHeight="1">
      <c r="A63" s="903"/>
      <c r="B63" s="947"/>
      <c r="C63" s="949"/>
      <c r="D63" s="950"/>
      <c r="E63" s="904"/>
      <c r="F63" s="903"/>
      <c r="G63" s="557">
        <v>1818000</v>
      </c>
      <c r="H63" s="557">
        <v>0</v>
      </c>
      <c r="I63" s="902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91"/>
      <c r="W63" s="891"/>
    </row>
    <row r="64" spans="1:23" s="558" customFormat="1" ht="15.75" hidden="1" customHeight="1">
      <c r="A64" s="903"/>
      <c r="B64" s="947"/>
      <c r="C64" s="949"/>
      <c r="D64" s="950"/>
      <c r="E64" s="904"/>
      <c r="F64" s="903"/>
      <c r="G64" s="557">
        <v>1487000</v>
      </c>
      <c r="H64" s="557">
        <v>0</v>
      </c>
      <c r="I64" s="559" t="s">
        <v>1</v>
      </c>
      <c r="J64" s="580">
        <f>K64+N64</f>
        <v>0</v>
      </c>
      <c r="K64" s="580">
        <f>L64+M64</f>
        <v>0</v>
      </c>
      <c r="L64" s="581">
        <v>0</v>
      </c>
      <c r="M64" s="581">
        <v>0</v>
      </c>
      <c r="N64" s="580">
        <f>O64+R64+U64</f>
        <v>0</v>
      </c>
      <c r="O64" s="580">
        <f>P64+Q64</f>
        <v>0</v>
      </c>
      <c r="P64" s="581">
        <v>0</v>
      </c>
      <c r="Q64" s="581">
        <v>0</v>
      </c>
      <c r="R64" s="580">
        <f>S64+T64</f>
        <v>0</v>
      </c>
      <c r="S64" s="581">
        <v>0</v>
      </c>
      <c r="T64" s="581">
        <v>0</v>
      </c>
      <c r="U64" s="580">
        <f>V64+W64</f>
        <v>0</v>
      </c>
      <c r="V64" s="581">
        <v>0</v>
      </c>
      <c r="W64" s="581">
        <v>0</v>
      </c>
    </row>
    <row r="65" spans="1:23" s="558" customFormat="1" ht="15.75" hidden="1" customHeight="1">
      <c r="A65" s="903"/>
      <c r="B65" s="947"/>
      <c r="C65" s="949"/>
      <c r="D65" s="950"/>
      <c r="E65" s="904"/>
      <c r="F65" s="903"/>
      <c r="G65" s="557">
        <v>0</v>
      </c>
      <c r="H65" s="557">
        <v>0</v>
      </c>
      <c r="I65" s="901" t="s">
        <v>2</v>
      </c>
      <c r="J65" s="890">
        <f t="shared" ref="J65:W65" si="9">J62+J64</f>
        <v>745000</v>
      </c>
      <c r="K65" s="890">
        <f t="shared" si="9"/>
        <v>410000</v>
      </c>
      <c r="L65" s="890">
        <f t="shared" si="9"/>
        <v>410000</v>
      </c>
      <c r="M65" s="890">
        <f t="shared" si="9"/>
        <v>0</v>
      </c>
      <c r="N65" s="890">
        <f t="shared" si="9"/>
        <v>335000</v>
      </c>
      <c r="O65" s="890">
        <f t="shared" si="9"/>
        <v>335000</v>
      </c>
      <c r="P65" s="890">
        <f t="shared" si="9"/>
        <v>335000</v>
      </c>
      <c r="Q65" s="890">
        <f t="shared" si="9"/>
        <v>0</v>
      </c>
      <c r="R65" s="890">
        <f t="shared" si="9"/>
        <v>0</v>
      </c>
      <c r="S65" s="890">
        <f t="shared" si="9"/>
        <v>0</v>
      </c>
      <c r="T65" s="890">
        <f t="shared" si="9"/>
        <v>0</v>
      </c>
      <c r="U65" s="890">
        <f t="shared" si="9"/>
        <v>0</v>
      </c>
      <c r="V65" s="890">
        <f t="shared" si="9"/>
        <v>0</v>
      </c>
      <c r="W65" s="890">
        <f t="shared" si="9"/>
        <v>0</v>
      </c>
    </row>
    <row r="66" spans="1:23" s="558" customFormat="1" ht="15.75" hidden="1" customHeight="1">
      <c r="A66" s="903"/>
      <c r="B66" s="948"/>
      <c r="C66" s="949"/>
      <c r="D66" s="950"/>
      <c r="E66" s="904"/>
      <c r="F66" s="903"/>
      <c r="G66" s="557">
        <v>0</v>
      </c>
      <c r="H66" s="557">
        <v>0</v>
      </c>
      <c r="I66" s="902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</row>
    <row r="67" spans="1:23" s="558" customFormat="1" ht="15.75" hidden="1" customHeight="1">
      <c r="A67" s="903">
        <v>11</v>
      </c>
      <c r="B67" s="906" t="s">
        <v>1071</v>
      </c>
      <c r="C67" s="913" t="s">
        <v>864</v>
      </c>
      <c r="D67" s="906" t="s">
        <v>359</v>
      </c>
      <c r="E67" s="904" t="s">
        <v>1072</v>
      </c>
      <c r="F67" s="903" t="s">
        <v>948</v>
      </c>
      <c r="G67" s="557">
        <f>G69+G68+G70+G71</f>
        <v>681000</v>
      </c>
      <c r="H67" s="557">
        <f>H69+H68+H70+H71</f>
        <v>60000</v>
      </c>
      <c r="I67" s="901" t="s">
        <v>0</v>
      </c>
      <c r="J67" s="890">
        <f>K67+N67</f>
        <v>140000</v>
      </c>
      <c r="K67" s="890">
        <f>L67+M67</f>
        <v>98000</v>
      </c>
      <c r="L67" s="890">
        <v>98000</v>
      </c>
      <c r="M67" s="890">
        <v>0</v>
      </c>
      <c r="N67" s="890">
        <f>O67+R67+U67</f>
        <v>42000</v>
      </c>
      <c r="O67" s="890">
        <f>P67+Q67</f>
        <v>42000</v>
      </c>
      <c r="P67" s="890">
        <v>42000</v>
      </c>
      <c r="Q67" s="890">
        <v>0</v>
      </c>
      <c r="R67" s="890">
        <f>S67+T67</f>
        <v>0</v>
      </c>
      <c r="S67" s="890">
        <v>0</v>
      </c>
      <c r="T67" s="890">
        <v>0</v>
      </c>
      <c r="U67" s="890">
        <f>V67+W67</f>
        <v>0</v>
      </c>
      <c r="V67" s="890">
        <v>0</v>
      </c>
      <c r="W67" s="890">
        <v>0</v>
      </c>
    </row>
    <row r="68" spans="1:23" s="558" customFormat="1" ht="15.75" hidden="1" customHeight="1">
      <c r="A68" s="903"/>
      <c r="B68" s="906"/>
      <c r="C68" s="914"/>
      <c r="D68" s="906"/>
      <c r="E68" s="904"/>
      <c r="F68" s="903"/>
      <c r="G68" s="557">
        <v>477000</v>
      </c>
      <c r="H68" s="557">
        <v>42000</v>
      </c>
      <c r="I68" s="902"/>
      <c r="J68" s="891"/>
      <c r="K68" s="891"/>
      <c r="L68" s="891"/>
      <c r="M68" s="891"/>
      <c r="N68" s="891"/>
      <c r="O68" s="891"/>
      <c r="P68" s="891"/>
      <c r="Q68" s="891"/>
      <c r="R68" s="891"/>
      <c r="S68" s="891"/>
      <c r="T68" s="891"/>
      <c r="U68" s="891"/>
      <c r="V68" s="891"/>
      <c r="W68" s="891"/>
    </row>
    <row r="69" spans="1:23" s="558" customFormat="1" ht="15.75" hidden="1" customHeight="1">
      <c r="A69" s="903"/>
      <c r="B69" s="906"/>
      <c r="C69" s="914"/>
      <c r="D69" s="906"/>
      <c r="E69" s="904"/>
      <c r="F69" s="903"/>
      <c r="G69" s="557">
        <v>204000</v>
      </c>
      <c r="H69" s="557">
        <v>18000</v>
      </c>
      <c r="I69" s="559" t="s">
        <v>1</v>
      </c>
      <c r="J69" s="580">
        <f>K69+N69</f>
        <v>0</v>
      </c>
      <c r="K69" s="580">
        <f>L69+M69</f>
        <v>0</v>
      </c>
      <c r="L69" s="581">
        <v>0</v>
      </c>
      <c r="M69" s="581">
        <v>0</v>
      </c>
      <c r="N69" s="580">
        <f>O69+R69+U69</f>
        <v>0</v>
      </c>
      <c r="O69" s="580">
        <f>P69+Q69</f>
        <v>0</v>
      </c>
      <c r="P69" s="581">
        <v>0</v>
      </c>
      <c r="Q69" s="581">
        <v>0</v>
      </c>
      <c r="R69" s="580">
        <f>S69+T69</f>
        <v>0</v>
      </c>
      <c r="S69" s="581">
        <v>0</v>
      </c>
      <c r="T69" s="581">
        <v>0</v>
      </c>
      <c r="U69" s="580">
        <f>V69+W69</f>
        <v>0</v>
      </c>
      <c r="V69" s="581">
        <v>0</v>
      </c>
      <c r="W69" s="581">
        <v>0</v>
      </c>
    </row>
    <row r="70" spans="1:23" s="558" customFormat="1" ht="15.75" hidden="1" customHeight="1">
      <c r="A70" s="903"/>
      <c r="B70" s="906"/>
      <c r="C70" s="914"/>
      <c r="D70" s="906"/>
      <c r="E70" s="904"/>
      <c r="F70" s="903"/>
      <c r="G70" s="557">
        <v>0</v>
      </c>
      <c r="H70" s="557">
        <v>0</v>
      </c>
      <c r="I70" s="901" t="s">
        <v>2</v>
      </c>
      <c r="J70" s="890">
        <f t="shared" ref="J70:W70" si="10">J67+J69</f>
        <v>140000</v>
      </c>
      <c r="K70" s="890">
        <f t="shared" si="10"/>
        <v>98000</v>
      </c>
      <c r="L70" s="890">
        <f t="shared" si="10"/>
        <v>98000</v>
      </c>
      <c r="M70" s="890">
        <f t="shared" si="10"/>
        <v>0</v>
      </c>
      <c r="N70" s="890">
        <f t="shared" si="10"/>
        <v>42000</v>
      </c>
      <c r="O70" s="890">
        <f t="shared" si="10"/>
        <v>42000</v>
      </c>
      <c r="P70" s="890">
        <f t="shared" si="10"/>
        <v>42000</v>
      </c>
      <c r="Q70" s="890">
        <f t="shared" si="10"/>
        <v>0</v>
      </c>
      <c r="R70" s="890">
        <f t="shared" si="10"/>
        <v>0</v>
      </c>
      <c r="S70" s="890">
        <f t="shared" si="10"/>
        <v>0</v>
      </c>
      <c r="T70" s="890">
        <f t="shared" si="10"/>
        <v>0</v>
      </c>
      <c r="U70" s="890">
        <f t="shared" si="10"/>
        <v>0</v>
      </c>
      <c r="V70" s="890">
        <f t="shared" si="10"/>
        <v>0</v>
      </c>
      <c r="W70" s="890">
        <f t="shared" si="10"/>
        <v>0</v>
      </c>
    </row>
    <row r="71" spans="1:23" s="558" customFormat="1" ht="15.75" hidden="1" customHeight="1">
      <c r="A71" s="903"/>
      <c r="B71" s="906"/>
      <c r="C71" s="915"/>
      <c r="D71" s="906"/>
      <c r="E71" s="904"/>
      <c r="F71" s="903"/>
      <c r="G71" s="557">
        <v>0</v>
      </c>
      <c r="H71" s="557">
        <v>0</v>
      </c>
      <c r="I71" s="902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1"/>
    </row>
    <row r="72" spans="1:23" s="558" customFormat="1" ht="15.75" customHeight="1">
      <c r="A72" s="945">
        <v>2</v>
      </c>
      <c r="B72" s="933" t="s">
        <v>1073</v>
      </c>
      <c r="C72" s="913" t="s">
        <v>1074</v>
      </c>
      <c r="D72" s="906" t="s">
        <v>1075</v>
      </c>
      <c r="E72" s="904" t="s">
        <v>976</v>
      </c>
      <c r="F72" s="903" t="s">
        <v>940</v>
      </c>
      <c r="G72" s="557">
        <f>G73+G74+G75+G76</f>
        <v>6885154</v>
      </c>
      <c r="H72" s="557">
        <f>H73+H74+H75+H76</f>
        <v>1415166</v>
      </c>
      <c r="I72" s="901" t="s">
        <v>0</v>
      </c>
      <c r="J72" s="890">
        <f>K72+N72</f>
        <v>2533170</v>
      </c>
      <c r="K72" s="890">
        <f>L72+M72</f>
        <v>2424538</v>
      </c>
      <c r="L72" s="890">
        <v>2424538</v>
      </c>
      <c r="M72" s="890">
        <v>0</v>
      </c>
      <c r="N72" s="890">
        <f>O72+R72+U72</f>
        <v>108632</v>
      </c>
      <c r="O72" s="890">
        <f>P72+Q72</f>
        <v>0</v>
      </c>
      <c r="P72" s="890">
        <v>0</v>
      </c>
      <c r="Q72" s="890">
        <v>0</v>
      </c>
      <c r="R72" s="890">
        <f>S72+T72</f>
        <v>108632</v>
      </c>
      <c r="S72" s="890">
        <v>108632</v>
      </c>
      <c r="T72" s="890">
        <v>0</v>
      </c>
      <c r="U72" s="890">
        <f>V72+W72</f>
        <v>0</v>
      </c>
      <c r="V72" s="890">
        <v>0</v>
      </c>
      <c r="W72" s="890">
        <v>0</v>
      </c>
    </row>
    <row r="73" spans="1:23" s="558" customFormat="1" ht="15.75" customHeight="1">
      <c r="A73" s="945"/>
      <c r="B73" s="934"/>
      <c r="C73" s="914"/>
      <c r="D73" s="906"/>
      <c r="E73" s="904"/>
      <c r="F73" s="903"/>
      <c r="G73" s="557">
        <v>6582686</v>
      </c>
      <c r="H73" s="557">
        <v>1277627</v>
      </c>
      <c r="I73" s="902"/>
      <c r="J73" s="891"/>
      <c r="K73" s="891"/>
      <c r="L73" s="891"/>
      <c r="M73" s="891"/>
      <c r="N73" s="891"/>
      <c r="O73" s="891"/>
      <c r="P73" s="891"/>
      <c r="Q73" s="891"/>
      <c r="R73" s="891"/>
      <c r="S73" s="891"/>
      <c r="T73" s="891"/>
      <c r="U73" s="891"/>
      <c r="V73" s="891"/>
      <c r="W73" s="891"/>
    </row>
    <row r="74" spans="1:23" s="558" customFormat="1" ht="15.75" customHeight="1">
      <c r="A74" s="945"/>
      <c r="B74" s="934"/>
      <c r="C74" s="914"/>
      <c r="D74" s="906"/>
      <c r="E74" s="904"/>
      <c r="F74" s="903"/>
      <c r="G74" s="557">
        <v>0</v>
      </c>
      <c r="H74" s="557">
        <v>0</v>
      </c>
      <c r="I74" s="559" t="s">
        <v>1</v>
      </c>
      <c r="J74" s="580">
        <f>K74+N74</f>
        <v>48470</v>
      </c>
      <c r="K74" s="580">
        <f>L74+M74</f>
        <v>38774</v>
      </c>
      <c r="L74" s="581">
        <v>38774</v>
      </c>
      <c r="M74" s="581">
        <v>0</v>
      </c>
      <c r="N74" s="580">
        <f>O74+R74+U74</f>
        <v>9696</v>
      </c>
      <c r="O74" s="580">
        <f>P74+Q74</f>
        <v>0</v>
      </c>
      <c r="P74" s="581">
        <v>0</v>
      </c>
      <c r="Q74" s="581">
        <v>0</v>
      </c>
      <c r="R74" s="580">
        <f>S74+T74</f>
        <v>9696</v>
      </c>
      <c r="S74" s="581">
        <v>9696</v>
      </c>
      <c r="T74" s="581">
        <v>0</v>
      </c>
      <c r="U74" s="580">
        <f>V74+W74</f>
        <v>0</v>
      </c>
      <c r="V74" s="581">
        <v>0</v>
      </c>
      <c r="W74" s="581">
        <v>0</v>
      </c>
    </row>
    <row r="75" spans="1:23" s="558" customFormat="1" ht="15.75" customHeight="1">
      <c r="A75" s="945"/>
      <c r="B75" s="934"/>
      <c r="C75" s="914"/>
      <c r="D75" s="906"/>
      <c r="E75" s="904"/>
      <c r="F75" s="903"/>
      <c r="G75" s="557">
        <v>302468</v>
      </c>
      <c r="H75" s="557">
        <v>137539</v>
      </c>
      <c r="I75" s="901" t="s">
        <v>2</v>
      </c>
      <c r="J75" s="890">
        <f t="shared" ref="J75:W75" si="11">J72+J74</f>
        <v>2581640</v>
      </c>
      <c r="K75" s="890">
        <f t="shared" si="11"/>
        <v>2463312</v>
      </c>
      <c r="L75" s="890">
        <f t="shared" si="11"/>
        <v>2463312</v>
      </c>
      <c r="M75" s="890">
        <f t="shared" si="11"/>
        <v>0</v>
      </c>
      <c r="N75" s="890">
        <f t="shared" si="11"/>
        <v>118328</v>
      </c>
      <c r="O75" s="890">
        <f t="shared" si="11"/>
        <v>0</v>
      </c>
      <c r="P75" s="890">
        <f t="shared" si="11"/>
        <v>0</v>
      </c>
      <c r="Q75" s="890">
        <f t="shared" si="11"/>
        <v>0</v>
      </c>
      <c r="R75" s="890">
        <f t="shared" si="11"/>
        <v>118328</v>
      </c>
      <c r="S75" s="890">
        <f t="shared" si="11"/>
        <v>118328</v>
      </c>
      <c r="T75" s="890">
        <f t="shared" si="11"/>
        <v>0</v>
      </c>
      <c r="U75" s="890">
        <f t="shared" si="11"/>
        <v>0</v>
      </c>
      <c r="V75" s="890">
        <f t="shared" si="11"/>
        <v>0</v>
      </c>
      <c r="W75" s="890">
        <f t="shared" si="11"/>
        <v>0</v>
      </c>
    </row>
    <row r="76" spans="1:23" s="558" customFormat="1" ht="15.75" customHeight="1">
      <c r="A76" s="945"/>
      <c r="B76" s="935"/>
      <c r="C76" s="915"/>
      <c r="D76" s="906"/>
      <c r="E76" s="904"/>
      <c r="F76" s="903"/>
      <c r="G76" s="557">
        <v>0</v>
      </c>
      <c r="H76" s="557">
        <v>0</v>
      </c>
      <c r="I76" s="902"/>
      <c r="J76" s="891"/>
      <c r="K76" s="891"/>
      <c r="L76" s="891"/>
      <c r="M76" s="891"/>
      <c r="N76" s="891"/>
      <c r="O76" s="891"/>
      <c r="P76" s="891"/>
      <c r="Q76" s="891"/>
      <c r="R76" s="891"/>
      <c r="S76" s="891"/>
      <c r="T76" s="891"/>
      <c r="U76" s="891"/>
      <c r="V76" s="891"/>
      <c r="W76" s="891"/>
    </row>
    <row r="77" spans="1:23" s="558" customFormat="1" ht="15.75" customHeight="1">
      <c r="A77" s="945">
        <v>3</v>
      </c>
      <c r="B77" s="933" t="s">
        <v>1076</v>
      </c>
      <c r="C77" s="913" t="s">
        <v>1077</v>
      </c>
      <c r="D77" s="906" t="s">
        <v>359</v>
      </c>
      <c r="E77" s="904" t="s">
        <v>1027</v>
      </c>
      <c r="F77" s="903" t="s">
        <v>944</v>
      </c>
      <c r="G77" s="557">
        <f>G78+G79+G80+G81</f>
        <v>971220</v>
      </c>
      <c r="H77" s="557">
        <f>H78+H79+H80+H81</f>
        <v>450212</v>
      </c>
      <c r="I77" s="901" t="s">
        <v>0</v>
      </c>
      <c r="J77" s="890">
        <f>K77+N77</f>
        <v>419736</v>
      </c>
      <c r="K77" s="890">
        <f>L77+M77</f>
        <v>335793</v>
      </c>
      <c r="L77" s="890">
        <v>335793</v>
      </c>
      <c r="M77" s="890">
        <v>0</v>
      </c>
      <c r="N77" s="890">
        <f>O77+R77+U77</f>
        <v>83943</v>
      </c>
      <c r="O77" s="890">
        <f>P77+Q77</f>
        <v>0</v>
      </c>
      <c r="P77" s="890">
        <v>0</v>
      </c>
      <c r="Q77" s="890">
        <v>0</v>
      </c>
      <c r="R77" s="890">
        <f>S77+T77</f>
        <v>83943</v>
      </c>
      <c r="S77" s="890">
        <v>83943</v>
      </c>
      <c r="T77" s="890">
        <v>0</v>
      </c>
      <c r="U77" s="890">
        <f>V77+W77</f>
        <v>0</v>
      </c>
      <c r="V77" s="890">
        <v>0</v>
      </c>
      <c r="W77" s="890">
        <v>0</v>
      </c>
    </row>
    <row r="78" spans="1:23" s="558" customFormat="1" ht="15.75" customHeight="1">
      <c r="A78" s="945"/>
      <c r="B78" s="934"/>
      <c r="C78" s="914"/>
      <c r="D78" s="906"/>
      <c r="E78" s="904"/>
      <c r="F78" s="903"/>
      <c r="G78" s="557">
        <v>776976</v>
      </c>
      <c r="H78" s="557">
        <v>360170</v>
      </c>
      <c r="I78" s="902"/>
      <c r="J78" s="891"/>
      <c r="K78" s="891"/>
      <c r="L78" s="891"/>
      <c r="M78" s="891"/>
      <c r="N78" s="891"/>
      <c r="O78" s="891"/>
      <c r="P78" s="891"/>
      <c r="Q78" s="891"/>
      <c r="R78" s="891"/>
      <c r="S78" s="891"/>
      <c r="T78" s="891"/>
      <c r="U78" s="891"/>
      <c r="V78" s="891"/>
      <c r="W78" s="891"/>
    </row>
    <row r="79" spans="1:23" s="558" customFormat="1" ht="15.75" customHeight="1">
      <c r="A79" s="945"/>
      <c r="B79" s="934"/>
      <c r="C79" s="914"/>
      <c r="D79" s="906"/>
      <c r="E79" s="904"/>
      <c r="F79" s="903"/>
      <c r="G79" s="557">
        <v>0</v>
      </c>
      <c r="H79" s="557">
        <v>0</v>
      </c>
      <c r="I79" s="559" t="s">
        <v>1</v>
      </c>
      <c r="J79" s="580">
        <f>K79+N79</f>
        <v>7000</v>
      </c>
      <c r="K79" s="580">
        <f>L79+M79</f>
        <v>5596</v>
      </c>
      <c r="L79" s="581">
        <v>5596</v>
      </c>
      <c r="M79" s="581">
        <v>0</v>
      </c>
      <c r="N79" s="580">
        <f>O79+R79+U79</f>
        <v>1404</v>
      </c>
      <c r="O79" s="580">
        <f>P79+Q79</f>
        <v>0</v>
      </c>
      <c r="P79" s="581">
        <v>0</v>
      </c>
      <c r="Q79" s="581">
        <v>0</v>
      </c>
      <c r="R79" s="580">
        <f>S79+T79</f>
        <v>1404</v>
      </c>
      <c r="S79" s="581">
        <v>1404</v>
      </c>
      <c r="T79" s="581">
        <v>0</v>
      </c>
      <c r="U79" s="580">
        <f>V79+W79</f>
        <v>0</v>
      </c>
      <c r="V79" s="581">
        <v>0</v>
      </c>
      <c r="W79" s="581">
        <v>0</v>
      </c>
    </row>
    <row r="80" spans="1:23" s="558" customFormat="1" ht="15.75" customHeight="1">
      <c r="A80" s="945"/>
      <c r="B80" s="934"/>
      <c r="C80" s="914"/>
      <c r="D80" s="906"/>
      <c r="E80" s="904"/>
      <c r="F80" s="903"/>
      <c r="G80" s="557">
        <v>194244</v>
      </c>
      <c r="H80" s="557">
        <v>90042</v>
      </c>
      <c r="I80" s="901" t="s">
        <v>2</v>
      </c>
      <c r="J80" s="890">
        <f t="shared" ref="J80:W80" si="12">J77+J79</f>
        <v>426736</v>
      </c>
      <c r="K80" s="890">
        <f t="shared" si="12"/>
        <v>341389</v>
      </c>
      <c r="L80" s="890">
        <f t="shared" si="12"/>
        <v>341389</v>
      </c>
      <c r="M80" s="890">
        <f t="shared" si="12"/>
        <v>0</v>
      </c>
      <c r="N80" s="890">
        <f t="shared" si="12"/>
        <v>85347</v>
      </c>
      <c r="O80" s="890">
        <f t="shared" si="12"/>
        <v>0</v>
      </c>
      <c r="P80" s="890">
        <f t="shared" si="12"/>
        <v>0</v>
      </c>
      <c r="Q80" s="890">
        <f t="shared" si="12"/>
        <v>0</v>
      </c>
      <c r="R80" s="890">
        <f t="shared" si="12"/>
        <v>85347</v>
      </c>
      <c r="S80" s="890">
        <f t="shared" si="12"/>
        <v>85347</v>
      </c>
      <c r="T80" s="890">
        <f t="shared" si="12"/>
        <v>0</v>
      </c>
      <c r="U80" s="890">
        <f t="shared" si="12"/>
        <v>0</v>
      </c>
      <c r="V80" s="890">
        <f t="shared" si="12"/>
        <v>0</v>
      </c>
      <c r="W80" s="890">
        <f t="shared" si="12"/>
        <v>0</v>
      </c>
    </row>
    <row r="81" spans="1:23" s="558" customFormat="1" ht="15.75" customHeight="1">
      <c r="A81" s="945"/>
      <c r="B81" s="935"/>
      <c r="C81" s="915"/>
      <c r="D81" s="906"/>
      <c r="E81" s="904"/>
      <c r="F81" s="903"/>
      <c r="G81" s="557">
        <v>0</v>
      </c>
      <c r="H81" s="557">
        <v>0</v>
      </c>
      <c r="I81" s="902"/>
      <c r="J81" s="891"/>
      <c r="K81" s="891"/>
      <c r="L81" s="891"/>
      <c r="M81" s="891"/>
      <c r="N81" s="891"/>
      <c r="O81" s="891"/>
      <c r="P81" s="891"/>
      <c r="Q81" s="891"/>
      <c r="R81" s="891"/>
      <c r="S81" s="891"/>
      <c r="T81" s="891"/>
      <c r="U81" s="891"/>
      <c r="V81" s="891"/>
      <c r="W81" s="891"/>
    </row>
    <row r="82" spans="1:23" s="558" customFormat="1" ht="15.75" customHeight="1">
      <c r="A82" s="945">
        <v>4</v>
      </c>
      <c r="B82" s="933" t="s">
        <v>1078</v>
      </c>
      <c r="C82" s="913" t="s">
        <v>1079</v>
      </c>
      <c r="D82" s="906" t="s">
        <v>359</v>
      </c>
      <c r="E82" s="904" t="s">
        <v>1027</v>
      </c>
      <c r="F82" s="903" t="s">
        <v>1052</v>
      </c>
      <c r="G82" s="557">
        <f>G83+G84+G85+G86</f>
        <v>1028293</v>
      </c>
      <c r="H82" s="557">
        <f>H83+H84+H85+H86</f>
        <v>136631</v>
      </c>
      <c r="I82" s="901" t="s">
        <v>0</v>
      </c>
      <c r="J82" s="890">
        <f>K82+N82</f>
        <v>325845</v>
      </c>
      <c r="K82" s="890">
        <f>L82+M82</f>
        <v>260677</v>
      </c>
      <c r="L82" s="890">
        <v>260677</v>
      </c>
      <c r="M82" s="890">
        <v>0</v>
      </c>
      <c r="N82" s="890">
        <f>O82+R82+U82</f>
        <v>65168</v>
      </c>
      <c r="O82" s="890">
        <f>P82+Q82</f>
        <v>0</v>
      </c>
      <c r="P82" s="890">
        <v>0</v>
      </c>
      <c r="Q82" s="890">
        <v>0</v>
      </c>
      <c r="R82" s="890">
        <f>S82+T82</f>
        <v>65168</v>
      </c>
      <c r="S82" s="890">
        <v>65168</v>
      </c>
      <c r="T82" s="890">
        <v>0</v>
      </c>
      <c r="U82" s="890">
        <f>V82+W82</f>
        <v>0</v>
      </c>
      <c r="V82" s="890">
        <v>0</v>
      </c>
      <c r="W82" s="890">
        <v>0</v>
      </c>
    </row>
    <row r="83" spans="1:23" s="558" customFormat="1" ht="15" customHeight="1">
      <c r="A83" s="945"/>
      <c r="B83" s="934"/>
      <c r="C83" s="914"/>
      <c r="D83" s="906"/>
      <c r="E83" s="904"/>
      <c r="F83" s="903"/>
      <c r="G83" s="557">
        <v>822634</v>
      </c>
      <c r="H83" s="557">
        <v>109305</v>
      </c>
      <c r="I83" s="902"/>
      <c r="J83" s="891"/>
      <c r="K83" s="891"/>
      <c r="L83" s="891"/>
      <c r="M83" s="891"/>
      <c r="N83" s="891"/>
      <c r="O83" s="891"/>
      <c r="P83" s="891"/>
      <c r="Q83" s="891"/>
      <c r="R83" s="891"/>
      <c r="S83" s="891"/>
      <c r="T83" s="891"/>
      <c r="U83" s="891"/>
      <c r="V83" s="891"/>
      <c r="W83" s="891"/>
    </row>
    <row r="84" spans="1:23" s="558" customFormat="1" ht="15" customHeight="1">
      <c r="A84" s="945"/>
      <c r="B84" s="934"/>
      <c r="C84" s="914"/>
      <c r="D84" s="906"/>
      <c r="E84" s="904"/>
      <c r="F84" s="903"/>
      <c r="G84" s="557">
        <v>0</v>
      </c>
      <c r="H84" s="557">
        <v>0</v>
      </c>
      <c r="I84" s="559" t="s">
        <v>1</v>
      </c>
      <c r="J84" s="580">
        <f>K84+N84</f>
        <v>39798</v>
      </c>
      <c r="K84" s="580">
        <f>L84+M84</f>
        <v>31837</v>
      </c>
      <c r="L84" s="581">
        <v>31837</v>
      </c>
      <c r="M84" s="581">
        <v>0</v>
      </c>
      <c r="N84" s="580">
        <f>O84+R84+U84</f>
        <v>7961</v>
      </c>
      <c r="O84" s="580">
        <f>P84+Q84</f>
        <v>0</v>
      </c>
      <c r="P84" s="581">
        <v>0</v>
      </c>
      <c r="Q84" s="581">
        <v>0</v>
      </c>
      <c r="R84" s="580">
        <f>S84+T84</f>
        <v>7961</v>
      </c>
      <c r="S84" s="581">
        <v>7961</v>
      </c>
      <c r="T84" s="581">
        <v>0</v>
      </c>
      <c r="U84" s="580">
        <f>V84+W84</f>
        <v>0</v>
      </c>
      <c r="V84" s="581">
        <v>0</v>
      </c>
      <c r="W84" s="581">
        <v>0</v>
      </c>
    </row>
    <row r="85" spans="1:23" s="558" customFormat="1" ht="15" customHeight="1">
      <c r="A85" s="945"/>
      <c r="B85" s="934"/>
      <c r="C85" s="914"/>
      <c r="D85" s="906"/>
      <c r="E85" s="904"/>
      <c r="F85" s="903"/>
      <c r="G85" s="557">
        <v>205659</v>
      </c>
      <c r="H85" s="557">
        <v>27326</v>
      </c>
      <c r="I85" s="901" t="s">
        <v>2</v>
      </c>
      <c r="J85" s="890">
        <f t="shared" ref="J85:W85" si="13">J82+J84</f>
        <v>365643</v>
      </c>
      <c r="K85" s="890">
        <f t="shared" si="13"/>
        <v>292514</v>
      </c>
      <c r="L85" s="890">
        <f t="shared" si="13"/>
        <v>292514</v>
      </c>
      <c r="M85" s="890">
        <f t="shared" si="13"/>
        <v>0</v>
      </c>
      <c r="N85" s="890">
        <f t="shared" si="13"/>
        <v>73129</v>
      </c>
      <c r="O85" s="890">
        <f t="shared" si="13"/>
        <v>0</v>
      </c>
      <c r="P85" s="890">
        <f t="shared" si="13"/>
        <v>0</v>
      </c>
      <c r="Q85" s="890">
        <f t="shared" si="13"/>
        <v>0</v>
      </c>
      <c r="R85" s="890">
        <f t="shared" si="13"/>
        <v>73129</v>
      </c>
      <c r="S85" s="890">
        <f t="shared" si="13"/>
        <v>73129</v>
      </c>
      <c r="T85" s="890">
        <f t="shared" si="13"/>
        <v>0</v>
      </c>
      <c r="U85" s="890">
        <f t="shared" si="13"/>
        <v>0</v>
      </c>
      <c r="V85" s="890">
        <f t="shared" si="13"/>
        <v>0</v>
      </c>
      <c r="W85" s="890">
        <f t="shared" si="13"/>
        <v>0</v>
      </c>
    </row>
    <row r="86" spans="1:23" s="558" customFormat="1" ht="15" customHeight="1">
      <c r="A86" s="945"/>
      <c r="B86" s="935"/>
      <c r="C86" s="915"/>
      <c r="D86" s="906"/>
      <c r="E86" s="904"/>
      <c r="F86" s="903"/>
      <c r="G86" s="557">
        <v>0</v>
      </c>
      <c r="H86" s="557">
        <v>0</v>
      </c>
      <c r="I86" s="902"/>
      <c r="J86" s="891"/>
      <c r="K86" s="891"/>
      <c r="L86" s="891"/>
      <c r="M86" s="891"/>
      <c r="N86" s="891"/>
      <c r="O86" s="891"/>
      <c r="P86" s="891"/>
      <c r="Q86" s="891"/>
      <c r="R86" s="891"/>
      <c r="S86" s="891"/>
      <c r="T86" s="891"/>
      <c r="U86" s="891"/>
      <c r="V86" s="891"/>
      <c r="W86" s="891"/>
    </row>
    <row r="87" spans="1:23" s="558" customFormat="1" ht="14.25" customHeight="1">
      <c r="A87" s="945">
        <v>5</v>
      </c>
      <c r="B87" s="933" t="s">
        <v>1080</v>
      </c>
      <c r="C87" s="913" t="s">
        <v>1081</v>
      </c>
      <c r="D87" s="906" t="s">
        <v>359</v>
      </c>
      <c r="E87" s="904" t="s">
        <v>1027</v>
      </c>
      <c r="F87" s="903" t="s">
        <v>1052</v>
      </c>
      <c r="G87" s="557">
        <f>G88+G89+G90+G91</f>
        <v>455550</v>
      </c>
      <c r="H87" s="557">
        <f>H88+H89+H90+H91</f>
        <v>66080</v>
      </c>
      <c r="I87" s="901" t="s">
        <v>0</v>
      </c>
      <c r="J87" s="890">
        <f>K87+N87</f>
        <v>195787</v>
      </c>
      <c r="K87" s="890">
        <f>L87+M87</f>
        <v>195787</v>
      </c>
      <c r="L87" s="890">
        <v>195787</v>
      </c>
      <c r="M87" s="890">
        <v>0</v>
      </c>
      <c r="N87" s="890">
        <f>O87+R87+U87</f>
        <v>0</v>
      </c>
      <c r="O87" s="890">
        <f>P87+Q87</f>
        <v>0</v>
      </c>
      <c r="P87" s="890">
        <v>0</v>
      </c>
      <c r="Q87" s="890">
        <v>0</v>
      </c>
      <c r="R87" s="890">
        <f>S87+T87</f>
        <v>0</v>
      </c>
      <c r="S87" s="890">
        <v>0</v>
      </c>
      <c r="T87" s="890">
        <v>0</v>
      </c>
      <c r="U87" s="890">
        <f>V87+W87</f>
        <v>0</v>
      </c>
      <c r="V87" s="890">
        <v>0</v>
      </c>
      <c r="W87" s="890">
        <v>0</v>
      </c>
    </row>
    <row r="88" spans="1:23" s="558" customFormat="1" ht="14.25" customHeight="1">
      <c r="A88" s="945"/>
      <c r="B88" s="934"/>
      <c r="C88" s="914"/>
      <c r="D88" s="906"/>
      <c r="E88" s="904"/>
      <c r="F88" s="903"/>
      <c r="G88" s="557">
        <v>455550</v>
      </c>
      <c r="H88" s="557">
        <v>66080</v>
      </c>
      <c r="I88" s="902"/>
      <c r="J88" s="891"/>
      <c r="K88" s="891"/>
      <c r="L88" s="891"/>
      <c r="M88" s="891"/>
      <c r="N88" s="891"/>
      <c r="O88" s="891"/>
      <c r="P88" s="891"/>
      <c r="Q88" s="891"/>
      <c r="R88" s="891"/>
      <c r="S88" s="891"/>
      <c r="T88" s="891"/>
      <c r="U88" s="891"/>
      <c r="V88" s="891"/>
      <c r="W88" s="891"/>
    </row>
    <row r="89" spans="1:23" s="558" customFormat="1" ht="14.25" customHeight="1">
      <c r="A89" s="945"/>
      <c r="B89" s="934"/>
      <c r="C89" s="914"/>
      <c r="D89" s="906"/>
      <c r="E89" s="904"/>
      <c r="F89" s="903"/>
      <c r="G89" s="557">
        <v>0</v>
      </c>
      <c r="H89" s="557">
        <v>0</v>
      </c>
      <c r="I89" s="559" t="s">
        <v>1</v>
      </c>
      <c r="J89" s="580">
        <f>K89+N89</f>
        <v>13595</v>
      </c>
      <c r="K89" s="580">
        <f>L89+M89</f>
        <v>13595</v>
      </c>
      <c r="L89" s="581">
        <v>13595</v>
      </c>
      <c r="M89" s="581">
        <v>0</v>
      </c>
      <c r="N89" s="580">
        <f>O89+R89+U89</f>
        <v>0</v>
      </c>
      <c r="O89" s="580">
        <f>P89+Q89</f>
        <v>0</v>
      </c>
      <c r="P89" s="581">
        <v>0</v>
      </c>
      <c r="Q89" s="581">
        <v>0</v>
      </c>
      <c r="R89" s="580">
        <f>S89+T89</f>
        <v>0</v>
      </c>
      <c r="S89" s="581">
        <v>0</v>
      </c>
      <c r="T89" s="581">
        <v>0</v>
      </c>
      <c r="U89" s="580">
        <f>V89+W89</f>
        <v>0</v>
      </c>
      <c r="V89" s="581">
        <v>0</v>
      </c>
      <c r="W89" s="581">
        <v>0</v>
      </c>
    </row>
    <row r="90" spans="1:23" s="558" customFormat="1" ht="14.25" customHeight="1">
      <c r="A90" s="945"/>
      <c r="B90" s="934"/>
      <c r="C90" s="914"/>
      <c r="D90" s="906"/>
      <c r="E90" s="904"/>
      <c r="F90" s="903"/>
      <c r="G90" s="557">
        <v>0</v>
      </c>
      <c r="H90" s="557">
        <v>0</v>
      </c>
      <c r="I90" s="901" t="s">
        <v>2</v>
      </c>
      <c r="J90" s="890">
        <f t="shared" ref="J90:W90" si="14">J87+J89</f>
        <v>209382</v>
      </c>
      <c r="K90" s="890">
        <f t="shared" si="14"/>
        <v>209382</v>
      </c>
      <c r="L90" s="890">
        <f t="shared" si="14"/>
        <v>209382</v>
      </c>
      <c r="M90" s="890">
        <f t="shared" si="14"/>
        <v>0</v>
      </c>
      <c r="N90" s="890">
        <f t="shared" si="14"/>
        <v>0</v>
      </c>
      <c r="O90" s="890">
        <f t="shared" si="14"/>
        <v>0</v>
      </c>
      <c r="P90" s="890">
        <f t="shared" si="14"/>
        <v>0</v>
      </c>
      <c r="Q90" s="890">
        <f t="shared" si="14"/>
        <v>0</v>
      </c>
      <c r="R90" s="890">
        <f t="shared" si="14"/>
        <v>0</v>
      </c>
      <c r="S90" s="890">
        <f t="shared" si="14"/>
        <v>0</v>
      </c>
      <c r="T90" s="890">
        <f t="shared" si="14"/>
        <v>0</v>
      </c>
      <c r="U90" s="890">
        <f t="shared" si="14"/>
        <v>0</v>
      </c>
      <c r="V90" s="890">
        <f t="shared" si="14"/>
        <v>0</v>
      </c>
      <c r="W90" s="890">
        <f t="shared" si="14"/>
        <v>0</v>
      </c>
    </row>
    <row r="91" spans="1:23" s="558" customFormat="1" ht="14.25" customHeight="1">
      <c r="A91" s="945"/>
      <c r="B91" s="935"/>
      <c r="C91" s="915"/>
      <c r="D91" s="906"/>
      <c r="E91" s="904"/>
      <c r="F91" s="903"/>
      <c r="G91" s="557">
        <v>0</v>
      </c>
      <c r="H91" s="557">
        <v>0</v>
      </c>
      <c r="I91" s="902"/>
      <c r="J91" s="891"/>
      <c r="K91" s="891"/>
      <c r="L91" s="891"/>
      <c r="M91" s="891"/>
      <c r="N91" s="891"/>
      <c r="O91" s="891"/>
      <c r="P91" s="891"/>
      <c r="Q91" s="891"/>
      <c r="R91" s="891"/>
      <c r="S91" s="891"/>
      <c r="T91" s="891"/>
      <c r="U91" s="891"/>
      <c r="V91" s="891"/>
      <c r="W91" s="891"/>
    </row>
    <row r="92" spans="1:23" s="558" customFormat="1" ht="14.25" customHeight="1">
      <c r="A92" s="945">
        <v>6</v>
      </c>
      <c r="B92" s="933" t="s">
        <v>1082</v>
      </c>
      <c r="C92" s="913" t="s">
        <v>1083</v>
      </c>
      <c r="D92" s="906" t="s">
        <v>359</v>
      </c>
      <c r="E92" s="904" t="s">
        <v>1027</v>
      </c>
      <c r="F92" s="903" t="s">
        <v>947</v>
      </c>
      <c r="G92" s="557">
        <f>G93+G94+G95+G96</f>
        <v>961575</v>
      </c>
      <c r="H92" s="557">
        <f>H93+H94+H95+H96</f>
        <v>96173</v>
      </c>
      <c r="I92" s="901" t="s">
        <v>0</v>
      </c>
      <c r="J92" s="890">
        <f>K92+N92</f>
        <v>350118</v>
      </c>
      <c r="K92" s="890">
        <f>L92+M92</f>
        <v>280098</v>
      </c>
      <c r="L92" s="890">
        <v>280098</v>
      </c>
      <c r="M92" s="890">
        <v>0</v>
      </c>
      <c r="N92" s="890">
        <f>O92+R92+U92</f>
        <v>70020</v>
      </c>
      <c r="O92" s="890">
        <f>P92+Q92</f>
        <v>0</v>
      </c>
      <c r="P92" s="890">
        <v>0</v>
      </c>
      <c r="Q92" s="890">
        <v>0</v>
      </c>
      <c r="R92" s="890">
        <f>S92+T92</f>
        <v>70020</v>
      </c>
      <c r="S92" s="890">
        <v>70020</v>
      </c>
      <c r="T92" s="890">
        <v>0</v>
      </c>
      <c r="U92" s="890">
        <f>V92+W92</f>
        <v>0</v>
      </c>
      <c r="V92" s="890">
        <v>0</v>
      </c>
      <c r="W92" s="890">
        <v>0</v>
      </c>
    </row>
    <row r="93" spans="1:23" s="558" customFormat="1" ht="14.25" customHeight="1">
      <c r="A93" s="945"/>
      <c r="B93" s="934"/>
      <c r="C93" s="914"/>
      <c r="D93" s="906"/>
      <c r="E93" s="904"/>
      <c r="F93" s="903"/>
      <c r="G93" s="557">
        <v>769260</v>
      </c>
      <c r="H93" s="557">
        <v>76939</v>
      </c>
      <c r="I93" s="902"/>
      <c r="J93" s="891"/>
      <c r="K93" s="891"/>
      <c r="L93" s="891"/>
      <c r="M93" s="891"/>
      <c r="N93" s="891"/>
      <c r="O93" s="891"/>
      <c r="P93" s="891"/>
      <c r="Q93" s="891"/>
      <c r="R93" s="891"/>
      <c r="S93" s="891"/>
      <c r="T93" s="891"/>
      <c r="U93" s="891"/>
      <c r="V93" s="891"/>
      <c r="W93" s="891"/>
    </row>
    <row r="94" spans="1:23" s="558" customFormat="1" ht="14.25" customHeight="1">
      <c r="A94" s="945"/>
      <c r="B94" s="934"/>
      <c r="C94" s="914"/>
      <c r="D94" s="906"/>
      <c r="E94" s="904"/>
      <c r="F94" s="903"/>
      <c r="G94" s="557">
        <v>0</v>
      </c>
      <c r="H94" s="557">
        <v>0</v>
      </c>
      <c r="I94" s="559" t="s">
        <v>1</v>
      </c>
      <c r="J94" s="580">
        <f>K94+N94</f>
        <v>10000</v>
      </c>
      <c r="K94" s="580">
        <f>L94+M94</f>
        <v>8000</v>
      </c>
      <c r="L94" s="581">
        <v>8000</v>
      </c>
      <c r="M94" s="581">
        <v>0</v>
      </c>
      <c r="N94" s="580">
        <f>O94+R94+U94</f>
        <v>2000</v>
      </c>
      <c r="O94" s="580">
        <f>P94+Q94</f>
        <v>0</v>
      </c>
      <c r="P94" s="581">
        <v>0</v>
      </c>
      <c r="Q94" s="581">
        <v>0</v>
      </c>
      <c r="R94" s="580">
        <f>S94+T94</f>
        <v>2000</v>
      </c>
      <c r="S94" s="581">
        <v>2000</v>
      </c>
      <c r="T94" s="581">
        <v>0</v>
      </c>
      <c r="U94" s="580">
        <f>V94+W94</f>
        <v>0</v>
      </c>
      <c r="V94" s="581">
        <v>0</v>
      </c>
      <c r="W94" s="581">
        <v>0</v>
      </c>
    </row>
    <row r="95" spans="1:23" s="558" customFormat="1" ht="14.25" customHeight="1">
      <c r="A95" s="945"/>
      <c r="B95" s="934"/>
      <c r="C95" s="914"/>
      <c r="D95" s="906"/>
      <c r="E95" s="904"/>
      <c r="F95" s="903"/>
      <c r="G95" s="557">
        <v>192315</v>
      </c>
      <c r="H95" s="557">
        <v>19234</v>
      </c>
      <c r="I95" s="901" t="s">
        <v>2</v>
      </c>
      <c r="J95" s="890">
        <f t="shared" ref="J95:W95" si="15">J92+J94</f>
        <v>360118</v>
      </c>
      <c r="K95" s="890">
        <f t="shared" si="15"/>
        <v>288098</v>
      </c>
      <c r="L95" s="890">
        <f t="shared" si="15"/>
        <v>288098</v>
      </c>
      <c r="M95" s="890">
        <f t="shared" si="15"/>
        <v>0</v>
      </c>
      <c r="N95" s="890">
        <f t="shared" si="15"/>
        <v>72020</v>
      </c>
      <c r="O95" s="890">
        <f t="shared" si="15"/>
        <v>0</v>
      </c>
      <c r="P95" s="890">
        <f t="shared" si="15"/>
        <v>0</v>
      </c>
      <c r="Q95" s="890">
        <f t="shared" si="15"/>
        <v>0</v>
      </c>
      <c r="R95" s="890">
        <f t="shared" si="15"/>
        <v>72020</v>
      </c>
      <c r="S95" s="890">
        <f t="shared" si="15"/>
        <v>72020</v>
      </c>
      <c r="T95" s="890">
        <f t="shared" si="15"/>
        <v>0</v>
      </c>
      <c r="U95" s="890">
        <f t="shared" si="15"/>
        <v>0</v>
      </c>
      <c r="V95" s="890">
        <f t="shared" si="15"/>
        <v>0</v>
      </c>
      <c r="W95" s="890">
        <f t="shared" si="15"/>
        <v>0</v>
      </c>
    </row>
    <row r="96" spans="1:23" s="558" customFormat="1" ht="14.25" customHeight="1">
      <c r="A96" s="945"/>
      <c r="B96" s="935"/>
      <c r="C96" s="915"/>
      <c r="D96" s="906"/>
      <c r="E96" s="904"/>
      <c r="F96" s="903"/>
      <c r="G96" s="557">
        <v>0</v>
      </c>
      <c r="H96" s="557">
        <v>0</v>
      </c>
      <c r="I96" s="902"/>
      <c r="J96" s="891"/>
      <c r="K96" s="891"/>
      <c r="L96" s="891"/>
      <c r="M96" s="891"/>
      <c r="N96" s="891"/>
      <c r="O96" s="891"/>
      <c r="P96" s="891"/>
      <c r="Q96" s="891"/>
      <c r="R96" s="891"/>
      <c r="S96" s="891"/>
      <c r="T96" s="891"/>
      <c r="U96" s="891"/>
      <c r="V96" s="891"/>
      <c r="W96" s="891"/>
    </row>
    <row r="97" spans="1:23" s="558" customFormat="1" ht="15" customHeight="1">
      <c r="A97" s="945">
        <v>7</v>
      </c>
      <c r="B97" s="933" t="s">
        <v>1082</v>
      </c>
      <c r="C97" s="913" t="s">
        <v>1084</v>
      </c>
      <c r="D97" s="906" t="s">
        <v>359</v>
      </c>
      <c r="E97" s="904" t="s">
        <v>1027</v>
      </c>
      <c r="F97" s="903" t="s">
        <v>947</v>
      </c>
      <c r="G97" s="557">
        <f>G98+G99+G100+G101</f>
        <v>961210</v>
      </c>
      <c r="H97" s="557">
        <f>H98+H99+H100+H101</f>
        <v>144886</v>
      </c>
      <c r="I97" s="901" t="s">
        <v>0</v>
      </c>
      <c r="J97" s="890">
        <f>K97+N97</f>
        <v>280910</v>
      </c>
      <c r="K97" s="890">
        <f>L97+M97</f>
        <v>224726</v>
      </c>
      <c r="L97" s="890">
        <v>224726</v>
      </c>
      <c r="M97" s="890">
        <v>0</v>
      </c>
      <c r="N97" s="890">
        <f>O97+R97+U97</f>
        <v>56184</v>
      </c>
      <c r="O97" s="890">
        <f>P97+Q97</f>
        <v>0</v>
      </c>
      <c r="P97" s="890">
        <v>0</v>
      </c>
      <c r="Q97" s="890">
        <v>0</v>
      </c>
      <c r="R97" s="890">
        <f>S97+T97</f>
        <v>56184</v>
      </c>
      <c r="S97" s="890">
        <v>56184</v>
      </c>
      <c r="T97" s="890">
        <v>0</v>
      </c>
      <c r="U97" s="890">
        <f>V97+W97</f>
        <v>0</v>
      </c>
      <c r="V97" s="890">
        <v>0</v>
      </c>
      <c r="W97" s="890">
        <v>0</v>
      </c>
    </row>
    <row r="98" spans="1:23" s="558" customFormat="1" ht="15" customHeight="1">
      <c r="A98" s="945"/>
      <c r="B98" s="934"/>
      <c r="C98" s="914"/>
      <c r="D98" s="906"/>
      <c r="E98" s="904"/>
      <c r="F98" s="903"/>
      <c r="G98" s="557">
        <v>768967</v>
      </c>
      <c r="H98" s="557">
        <v>115909</v>
      </c>
      <c r="I98" s="902"/>
      <c r="J98" s="891"/>
      <c r="K98" s="891"/>
      <c r="L98" s="891"/>
      <c r="M98" s="891"/>
      <c r="N98" s="891"/>
      <c r="O98" s="891"/>
      <c r="P98" s="891"/>
      <c r="Q98" s="891"/>
      <c r="R98" s="891"/>
      <c r="S98" s="891"/>
      <c r="T98" s="891"/>
      <c r="U98" s="891"/>
      <c r="V98" s="891"/>
      <c r="W98" s="891"/>
    </row>
    <row r="99" spans="1:23" s="558" customFormat="1" ht="15" customHeight="1">
      <c r="A99" s="945"/>
      <c r="B99" s="934"/>
      <c r="C99" s="914"/>
      <c r="D99" s="906"/>
      <c r="E99" s="904"/>
      <c r="F99" s="903"/>
      <c r="G99" s="557">
        <v>0</v>
      </c>
      <c r="H99" s="557">
        <v>0</v>
      </c>
      <c r="I99" s="559" t="s">
        <v>1</v>
      </c>
      <c r="J99" s="580">
        <f>K99+N99</f>
        <v>18000</v>
      </c>
      <c r="K99" s="580">
        <f>L99+M99</f>
        <v>14402</v>
      </c>
      <c r="L99" s="581">
        <v>14402</v>
      </c>
      <c r="M99" s="581">
        <v>0</v>
      </c>
      <c r="N99" s="580">
        <f>O99+R99+U99</f>
        <v>3598</v>
      </c>
      <c r="O99" s="580">
        <f>P99+Q99</f>
        <v>0</v>
      </c>
      <c r="P99" s="581">
        <v>0</v>
      </c>
      <c r="Q99" s="581">
        <v>0</v>
      </c>
      <c r="R99" s="580">
        <f>S99+T99</f>
        <v>3598</v>
      </c>
      <c r="S99" s="581">
        <v>3598</v>
      </c>
      <c r="T99" s="581">
        <v>0</v>
      </c>
      <c r="U99" s="580">
        <f>V99+W99</f>
        <v>0</v>
      </c>
      <c r="V99" s="581">
        <v>0</v>
      </c>
      <c r="W99" s="581">
        <v>0</v>
      </c>
    </row>
    <row r="100" spans="1:23" s="558" customFormat="1" ht="15" customHeight="1">
      <c r="A100" s="945"/>
      <c r="B100" s="934"/>
      <c r="C100" s="914"/>
      <c r="D100" s="906"/>
      <c r="E100" s="904"/>
      <c r="F100" s="903"/>
      <c r="G100" s="557">
        <v>192243</v>
      </c>
      <c r="H100" s="557">
        <v>28977</v>
      </c>
      <c r="I100" s="901" t="s">
        <v>2</v>
      </c>
      <c r="J100" s="890">
        <f t="shared" ref="J100:W100" si="16">J97+J99</f>
        <v>298910</v>
      </c>
      <c r="K100" s="890">
        <f t="shared" si="16"/>
        <v>239128</v>
      </c>
      <c r="L100" s="890">
        <f t="shared" si="16"/>
        <v>239128</v>
      </c>
      <c r="M100" s="890">
        <f t="shared" si="16"/>
        <v>0</v>
      </c>
      <c r="N100" s="890">
        <f t="shared" si="16"/>
        <v>59782</v>
      </c>
      <c r="O100" s="890">
        <f t="shared" si="16"/>
        <v>0</v>
      </c>
      <c r="P100" s="890">
        <f t="shared" si="16"/>
        <v>0</v>
      </c>
      <c r="Q100" s="890">
        <f t="shared" si="16"/>
        <v>0</v>
      </c>
      <c r="R100" s="890">
        <f t="shared" si="16"/>
        <v>59782</v>
      </c>
      <c r="S100" s="890">
        <f t="shared" si="16"/>
        <v>59782</v>
      </c>
      <c r="T100" s="890">
        <f t="shared" si="16"/>
        <v>0</v>
      </c>
      <c r="U100" s="890">
        <f t="shared" si="16"/>
        <v>0</v>
      </c>
      <c r="V100" s="890">
        <f t="shared" si="16"/>
        <v>0</v>
      </c>
      <c r="W100" s="890">
        <f t="shared" si="16"/>
        <v>0</v>
      </c>
    </row>
    <row r="101" spans="1:23" s="558" customFormat="1" ht="15" customHeight="1">
      <c r="A101" s="945"/>
      <c r="B101" s="935"/>
      <c r="C101" s="915"/>
      <c r="D101" s="906"/>
      <c r="E101" s="904"/>
      <c r="F101" s="903"/>
      <c r="G101" s="557">
        <v>0</v>
      </c>
      <c r="H101" s="557">
        <v>0</v>
      </c>
      <c r="I101" s="902"/>
      <c r="J101" s="891"/>
      <c r="K101" s="891"/>
      <c r="L101" s="891"/>
      <c r="M101" s="891"/>
      <c r="N101" s="891"/>
      <c r="O101" s="891"/>
      <c r="P101" s="891"/>
      <c r="Q101" s="891"/>
      <c r="R101" s="891"/>
      <c r="S101" s="891"/>
      <c r="T101" s="891"/>
      <c r="U101" s="891"/>
      <c r="V101" s="891"/>
      <c r="W101" s="891"/>
    </row>
    <row r="102" spans="1:23" s="558" customFormat="1" ht="14.25" customHeight="1">
      <c r="A102" s="945">
        <v>8</v>
      </c>
      <c r="B102" s="933" t="s">
        <v>1082</v>
      </c>
      <c r="C102" s="913" t="s">
        <v>1085</v>
      </c>
      <c r="D102" s="906" t="s">
        <v>359</v>
      </c>
      <c r="E102" s="904" t="s">
        <v>1086</v>
      </c>
      <c r="F102" s="903" t="s">
        <v>947</v>
      </c>
      <c r="G102" s="557">
        <f>G103+G104+G105+G106</f>
        <v>862356</v>
      </c>
      <c r="H102" s="557">
        <f>H103+H104+H105+H106</f>
        <v>136320</v>
      </c>
      <c r="I102" s="901" t="s">
        <v>0</v>
      </c>
      <c r="J102" s="890">
        <f>K102+N102</f>
        <v>270941</v>
      </c>
      <c r="K102" s="890">
        <f>L102+M102</f>
        <v>216755</v>
      </c>
      <c r="L102" s="890">
        <v>216755</v>
      </c>
      <c r="M102" s="890">
        <v>0</v>
      </c>
      <c r="N102" s="890">
        <f>O102+R102+U102</f>
        <v>54186</v>
      </c>
      <c r="O102" s="890">
        <f>P102+Q102</f>
        <v>0</v>
      </c>
      <c r="P102" s="890">
        <v>0</v>
      </c>
      <c r="Q102" s="890">
        <v>0</v>
      </c>
      <c r="R102" s="890">
        <f>S102+T102</f>
        <v>54186</v>
      </c>
      <c r="S102" s="890">
        <v>54186</v>
      </c>
      <c r="T102" s="890">
        <v>0</v>
      </c>
      <c r="U102" s="890">
        <f>V102+W102</f>
        <v>0</v>
      </c>
      <c r="V102" s="890">
        <v>0</v>
      </c>
      <c r="W102" s="890">
        <v>0</v>
      </c>
    </row>
    <row r="103" spans="1:23" s="558" customFormat="1" ht="14.25" customHeight="1">
      <c r="A103" s="945"/>
      <c r="B103" s="934"/>
      <c r="C103" s="914"/>
      <c r="D103" s="906"/>
      <c r="E103" s="904"/>
      <c r="F103" s="903"/>
      <c r="G103" s="557">
        <v>689884</v>
      </c>
      <c r="H103" s="557">
        <v>109056</v>
      </c>
      <c r="I103" s="902"/>
      <c r="J103" s="891"/>
      <c r="K103" s="891"/>
      <c r="L103" s="891"/>
      <c r="M103" s="891"/>
      <c r="N103" s="891"/>
      <c r="O103" s="891"/>
      <c r="P103" s="891"/>
      <c r="Q103" s="891"/>
      <c r="R103" s="891"/>
      <c r="S103" s="891"/>
      <c r="T103" s="891"/>
      <c r="U103" s="891"/>
      <c r="V103" s="891"/>
      <c r="W103" s="891"/>
    </row>
    <row r="104" spans="1:23" s="558" customFormat="1" ht="14.25" customHeight="1">
      <c r="A104" s="945"/>
      <c r="B104" s="934"/>
      <c r="C104" s="914"/>
      <c r="D104" s="906"/>
      <c r="E104" s="904"/>
      <c r="F104" s="903"/>
      <c r="G104" s="557">
        <v>0</v>
      </c>
      <c r="H104" s="557">
        <v>0</v>
      </c>
      <c r="I104" s="559" t="s">
        <v>1</v>
      </c>
      <c r="J104" s="580">
        <f>K104+N104</f>
        <v>18795</v>
      </c>
      <c r="K104" s="580">
        <f>L104+M104</f>
        <v>15035</v>
      </c>
      <c r="L104" s="581">
        <v>15035</v>
      </c>
      <c r="M104" s="581">
        <v>0</v>
      </c>
      <c r="N104" s="580">
        <f>O104+R104+U104</f>
        <v>3760</v>
      </c>
      <c r="O104" s="580">
        <f>P104+Q104</f>
        <v>0</v>
      </c>
      <c r="P104" s="581">
        <v>0</v>
      </c>
      <c r="Q104" s="581">
        <v>0</v>
      </c>
      <c r="R104" s="580">
        <f>S104+T104</f>
        <v>3760</v>
      </c>
      <c r="S104" s="581">
        <v>3760</v>
      </c>
      <c r="T104" s="581">
        <v>0</v>
      </c>
      <c r="U104" s="580">
        <f>V104+W104</f>
        <v>0</v>
      </c>
      <c r="V104" s="581">
        <v>0</v>
      </c>
      <c r="W104" s="581">
        <v>0</v>
      </c>
    </row>
    <row r="105" spans="1:23" s="558" customFormat="1" ht="14.25" customHeight="1">
      <c r="A105" s="945"/>
      <c r="B105" s="934"/>
      <c r="C105" s="914"/>
      <c r="D105" s="906"/>
      <c r="E105" s="904"/>
      <c r="F105" s="903"/>
      <c r="G105" s="557">
        <v>172472</v>
      </c>
      <c r="H105" s="557">
        <v>27264</v>
      </c>
      <c r="I105" s="901" t="s">
        <v>2</v>
      </c>
      <c r="J105" s="890">
        <f t="shared" ref="J105:W105" si="17">J102+J104</f>
        <v>289736</v>
      </c>
      <c r="K105" s="890">
        <f t="shared" si="17"/>
        <v>231790</v>
      </c>
      <c r="L105" s="890">
        <f t="shared" si="17"/>
        <v>231790</v>
      </c>
      <c r="M105" s="890">
        <f t="shared" si="17"/>
        <v>0</v>
      </c>
      <c r="N105" s="890">
        <f t="shared" si="17"/>
        <v>57946</v>
      </c>
      <c r="O105" s="890">
        <f t="shared" si="17"/>
        <v>0</v>
      </c>
      <c r="P105" s="890">
        <f t="shared" si="17"/>
        <v>0</v>
      </c>
      <c r="Q105" s="890">
        <f t="shared" si="17"/>
        <v>0</v>
      </c>
      <c r="R105" s="890">
        <f t="shared" si="17"/>
        <v>57946</v>
      </c>
      <c r="S105" s="890">
        <f t="shared" si="17"/>
        <v>57946</v>
      </c>
      <c r="T105" s="890">
        <f t="shared" si="17"/>
        <v>0</v>
      </c>
      <c r="U105" s="890">
        <f t="shared" si="17"/>
        <v>0</v>
      </c>
      <c r="V105" s="890">
        <f t="shared" si="17"/>
        <v>0</v>
      </c>
      <c r="W105" s="890">
        <f t="shared" si="17"/>
        <v>0</v>
      </c>
    </row>
    <row r="106" spans="1:23" s="558" customFormat="1" ht="14.25" customHeight="1">
      <c r="A106" s="945"/>
      <c r="B106" s="935"/>
      <c r="C106" s="915"/>
      <c r="D106" s="906"/>
      <c r="E106" s="904"/>
      <c r="F106" s="903"/>
      <c r="G106" s="557">
        <v>0</v>
      </c>
      <c r="H106" s="557">
        <v>0</v>
      </c>
      <c r="I106" s="902"/>
      <c r="J106" s="891"/>
      <c r="K106" s="891"/>
      <c r="L106" s="891"/>
      <c r="M106" s="891"/>
      <c r="N106" s="891"/>
      <c r="O106" s="891"/>
      <c r="P106" s="891"/>
      <c r="Q106" s="891"/>
      <c r="R106" s="891"/>
      <c r="S106" s="891"/>
      <c r="T106" s="891"/>
      <c r="U106" s="891"/>
      <c r="V106" s="891"/>
      <c r="W106" s="891"/>
    </row>
    <row r="107" spans="1:23" s="558" customFormat="1" ht="14.25" customHeight="1">
      <c r="A107" s="945">
        <v>9</v>
      </c>
      <c r="B107" s="933" t="s">
        <v>1082</v>
      </c>
      <c r="C107" s="913" t="s">
        <v>1087</v>
      </c>
      <c r="D107" s="906" t="s">
        <v>359</v>
      </c>
      <c r="E107" s="904" t="s">
        <v>1088</v>
      </c>
      <c r="F107" s="903" t="s">
        <v>947</v>
      </c>
      <c r="G107" s="557">
        <f>G108+G109+G110+G111</f>
        <v>835351</v>
      </c>
      <c r="H107" s="557">
        <f>H108+H109+H110+H111</f>
        <v>110159</v>
      </c>
      <c r="I107" s="901" t="s">
        <v>0</v>
      </c>
      <c r="J107" s="890">
        <f>K107+N107</f>
        <v>262533</v>
      </c>
      <c r="K107" s="890">
        <f>L107+M107</f>
        <v>210030</v>
      </c>
      <c r="L107" s="890">
        <v>210030</v>
      </c>
      <c r="M107" s="890">
        <v>0</v>
      </c>
      <c r="N107" s="890">
        <f>O107+R107+U107</f>
        <v>52503</v>
      </c>
      <c r="O107" s="890">
        <f>P107+Q107</f>
        <v>0</v>
      </c>
      <c r="P107" s="890">
        <v>0</v>
      </c>
      <c r="Q107" s="890">
        <v>0</v>
      </c>
      <c r="R107" s="890">
        <f>S107+T107</f>
        <v>52503</v>
      </c>
      <c r="S107" s="890">
        <v>52503</v>
      </c>
      <c r="T107" s="890">
        <v>0</v>
      </c>
      <c r="U107" s="890">
        <f>V107+W107</f>
        <v>0</v>
      </c>
      <c r="V107" s="890">
        <v>0</v>
      </c>
      <c r="W107" s="890">
        <v>0</v>
      </c>
    </row>
    <row r="108" spans="1:23" s="558" customFormat="1" ht="14.25" customHeight="1">
      <c r="A108" s="945"/>
      <c r="B108" s="934"/>
      <c r="C108" s="914"/>
      <c r="D108" s="906"/>
      <c r="E108" s="904"/>
      <c r="F108" s="903"/>
      <c r="G108" s="557">
        <v>668281</v>
      </c>
      <c r="H108" s="557">
        <v>88127</v>
      </c>
      <c r="I108" s="902"/>
      <c r="J108" s="891"/>
      <c r="K108" s="891"/>
      <c r="L108" s="891"/>
      <c r="M108" s="891"/>
      <c r="N108" s="891"/>
      <c r="O108" s="891"/>
      <c r="P108" s="891"/>
      <c r="Q108" s="891"/>
      <c r="R108" s="891"/>
      <c r="S108" s="891"/>
      <c r="T108" s="891"/>
      <c r="U108" s="891"/>
      <c r="V108" s="891"/>
      <c r="W108" s="891"/>
    </row>
    <row r="109" spans="1:23" s="558" customFormat="1" ht="14.25" customHeight="1">
      <c r="A109" s="945"/>
      <c r="B109" s="934"/>
      <c r="C109" s="914"/>
      <c r="D109" s="906"/>
      <c r="E109" s="904"/>
      <c r="F109" s="903"/>
      <c r="G109" s="557">
        <v>0</v>
      </c>
      <c r="H109" s="557">
        <v>0</v>
      </c>
      <c r="I109" s="559" t="s">
        <v>1</v>
      </c>
      <c r="J109" s="580">
        <f>K109+N109</f>
        <v>12700</v>
      </c>
      <c r="K109" s="580">
        <f>L109+M109</f>
        <v>10160</v>
      </c>
      <c r="L109" s="581">
        <v>10160</v>
      </c>
      <c r="M109" s="581">
        <v>0</v>
      </c>
      <c r="N109" s="580">
        <f>O109+R109+U109</f>
        <v>2540</v>
      </c>
      <c r="O109" s="580">
        <f>P109+Q109</f>
        <v>0</v>
      </c>
      <c r="P109" s="581">
        <v>0</v>
      </c>
      <c r="Q109" s="581">
        <v>0</v>
      </c>
      <c r="R109" s="580">
        <f>S109+T109</f>
        <v>2540</v>
      </c>
      <c r="S109" s="581">
        <v>2540</v>
      </c>
      <c r="T109" s="581">
        <v>0</v>
      </c>
      <c r="U109" s="580">
        <f>V109+W109</f>
        <v>0</v>
      </c>
      <c r="V109" s="581">
        <v>0</v>
      </c>
      <c r="W109" s="581">
        <v>0</v>
      </c>
    </row>
    <row r="110" spans="1:23" s="558" customFormat="1" ht="14.25" customHeight="1">
      <c r="A110" s="945"/>
      <c r="B110" s="934"/>
      <c r="C110" s="914"/>
      <c r="D110" s="906"/>
      <c r="E110" s="904"/>
      <c r="F110" s="903"/>
      <c r="G110" s="557">
        <v>167070</v>
      </c>
      <c r="H110" s="557">
        <v>22032</v>
      </c>
      <c r="I110" s="901" t="s">
        <v>2</v>
      </c>
      <c r="J110" s="890">
        <f t="shared" ref="J110:W110" si="18">J107+J109</f>
        <v>275233</v>
      </c>
      <c r="K110" s="890">
        <f t="shared" si="18"/>
        <v>220190</v>
      </c>
      <c r="L110" s="890">
        <f t="shared" si="18"/>
        <v>220190</v>
      </c>
      <c r="M110" s="890">
        <f t="shared" si="18"/>
        <v>0</v>
      </c>
      <c r="N110" s="890">
        <f t="shared" si="18"/>
        <v>55043</v>
      </c>
      <c r="O110" s="890">
        <f t="shared" si="18"/>
        <v>0</v>
      </c>
      <c r="P110" s="890">
        <f t="shared" si="18"/>
        <v>0</v>
      </c>
      <c r="Q110" s="890">
        <f t="shared" si="18"/>
        <v>0</v>
      </c>
      <c r="R110" s="890">
        <f t="shared" si="18"/>
        <v>55043</v>
      </c>
      <c r="S110" s="890">
        <f t="shared" si="18"/>
        <v>55043</v>
      </c>
      <c r="T110" s="890">
        <f t="shared" si="18"/>
        <v>0</v>
      </c>
      <c r="U110" s="890">
        <f t="shared" si="18"/>
        <v>0</v>
      </c>
      <c r="V110" s="890">
        <f t="shared" si="18"/>
        <v>0</v>
      </c>
      <c r="W110" s="890">
        <f t="shared" si="18"/>
        <v>0</v>
      </c>
    </row>
    <row r="111" spans="1:23" s="558" customFormat="1" ht="14.25" customHeight="1">
      <c r="A111" s="945"/>
      <c r="B111" s="935"/>
      <c r="C111" s="915"/>
      <c r="D111" s="906"/>
      <c r="E111" s="904"/>
      <c r="F111" s="903"/>
      <c r="G111" s="557">
        <v>0</v>
      </c>
      <c r="H111" s="557">
        <v>0</v>
      </c>
      <c r="I111" s="902"/>
      <c r="J111" s="891"/>
      <c r="K111" s="891"/>
      <c r="L111" s="891"/>
      <c r="M111" s="891"/>
      <c r="N111" s="891"/>
      <c r="O111" s="891"/>
      <c r="P111" s="891"/>
      <c r="Q111" s="891"/>
      <c r="R111" s="891"/>
      <c r="S111" s="891"/>
      <c r="T111" s="891"/>
      <c r="U111" s="891"/>
      <c r="V111" s="891"/>
      <c r="W111" s="891"/>
    </row>
    <row r="112" spans="1:23" s="558" customFormat="1" ht="14.25" customHeight="1">
      <c r="A112" s="945">
        <v>10</v>
      </c>
      <c r="B112" s="933" t="s">
        <v>1082</v>
      </c>
      <c r="C112" s="913" t="s">
        <v>1089</v>
      </c>
      <c r="D112" s="906" t="s">
        <v>359</v>
      </c>
      <c r="E112" s="904" t="s">
        <v>1027</v>
      </c>
      <c r="F112" s="903" t="s">
        <v>1015</v>
      </c>
      <c r="G112" s="557">
        <f>G113+G114+G115+G116</f>
        <v>865838</v>
      </c>
      <c r="H112" s="557">
        <f>H113+H114+H115+H116</f>
        <v>0</v>
      </c>
      <c r="I112" s="901" t="s">
        <v>0</v>
      </c>
      <c r="J112" s="890">
        <f>K112+N112</f>
        <v>0</v>
      </c>
      <c r="K112" s="890">
        <f>L112+M112</f>
        <v>0</v>
      </c>
      <c r="L112" s="890">
        <v>0</v>
      </c>
      <c r="M112" s="890">
        <v>0</v>
      </c>
      <c r="N112" s="890">
        <f>O112+R112+U112</f>
        <v>0</v>
      </c>
      <c r="O112" s="890">
        <f>P112+Q112</f>
        <v>0</v>
      </c>
      <c r="P112" s="890">
        <v>0</v>
      </c>
      <c r="Q112" s="890">
        <v>0</v>
      </c>
      <c r="R112" s="890">
        <f>S112+T112</f>
        <v>0</v>
      </c>
      <c r="S112" s="890">
        <v>0</v>
      </c>
      <c r="T112" s="890">
        <v>0</v>
      </c>
      <c r="U112" s="890">
        <f>V112+W112</f>
        <v>0</v>
      </c>
      <c r="V112" s="890">
        <v>0</v>
      </c>
      <c r="W112" s="890">
        <v>0</v>
      </c>
    </row>
    <row r="113" spans="1:23" s="558" customFormat="1" ht="14.25" customHeight="1">
      <c r="A113" s="945"/>
      <c r="B113" s="934"/>
      <c r="C113" s="914"/>
      <c r="D113" s="906"/>
      <c r="E113" s="904"/>
      <c r="F113" s="903"/>
      <c r="G113" s="557">
        <v>692670</v>
      </c>
      <c r="H113" s="557">
        <v>0</v>
      </c>
      <c r="I113" s="902"/>
      <c r="J113" s="891"/>
      <c r="K113" s="891"/>
      <c r="L113" s="891"/>
      <c r="M113" s="891"/>
      <c r="N113" s="891"/>
      <c r="O113" s="891"/>
      <c r="P113" s="891"/>
      <c r="Q113" s="891"/>
      <c r="R113" s="891"/>
      <c r="S113" s="891"/>
      <c r="T113" s="891"/>
      <c r="U113" s="891"/>
      <c r="V113" s="891"/>
      <c r="W113" s="891"/>
    </row>
    <row r="114" spans="1:23" s="558" customFormat="1" ht="14.25" customHeight="1">
      <c r="A114" s="945"/>
      <c r="B114" s="934"/>
      <c r="C114" s="914"/>
      <c r="D114" s="906"/>
      <c r="E114" s="904"/>
      <c r="F114" s="903"/>
      <c r="G114" s="557">
        <v>0</v>
      </c>
      <c r="H114" s="557">
        <v>0</v>
      </c>
      <c r="I114" s="559" t="s">
        <v>1</v>
      </c>
      <c r="J114" s="580">
        <f>K114+N114</f>
        <v>162233</v>
      </c>
      <c r="K114" s="580">
        <f>L114+M114</f>
        <v>129786</v>
      </c>
      <c r="L114" s="581">
        <v>129786</v>
      </c>
      <c r="M114" s="581">
        <v>0</v>
      </c>
      <c r="N114" s="580">
        <f>O114+R114+U114</f>
        <v>32447</v>
      </c>
      <c r="O114" s="580">
        <f>P114+Q114</f>
        <v>0</v>
      </c>
      <c r="P114" s="581">
        <v>0</v>
      </c>
      <c r="Q114" s="581">
        <v>0</v>
      </c>
      <c r="R114" s="580">
        <f>S114+T114</f>
        <v>32447</v>
      </c>
      <c r="S114" s="581">
        <v>32447</v>
      </c>
      <c r="T114" s="581">
        <v>0</v>
      </c>
      <c r="U114" s="580">
        <f>V114+W114</f>
        <v>0</v>
      </c>
      <c r="V114" s="581">
        <v>0</v>
      </c>
      <c r="W114" s="581">
        <v>0</v>
      </c>
    </row>
    <row r="115" spans="1:23" s="558" customFormat="1" ht="14.25" customHeight="1">
      <c r="A115" s="945"/>
      <c r="B115" s="934"/>
      <c r="C115" s="914"/>
      <c r="D115" s="906"/>
      <c r="E115" s="904"/>
      <c r="F115" s="903"/>
      <c r="G115" s="557">
        <v>173168</v>
      </c>
      <c r="H115" s="557">
        <v>0</v>
      </c>
      <c r="I115" s="901" t="s">
        <v>2</v>
      </c>
      <c r="J115" s="890">
        <f t="shared" ref="J115:W115" si="19">J112+J114</f>
        <v>162233</v>
      </c>
      <c r="K115" s="890">
        <f t="shared" si="19"/>
        <v>129786</v>
      </c>
      <c r="L115" s="890">
        <f t="shared" si="19"/>
        <v>129786</v>
      </c>
      <c r="M115" s="890">
        <f t="shared" si="19"/>
        <v>0</v>
      </c>
      <c r="N115" s="890">
        <f t="shared" si="19"/>
        <v>32447</v>
      </c>
      <c r="O115" s="890">
        <f t="shared" si="19"/>
        <v>0</v>
      </c>
      <c r="P115" s="890">
        <f t="shared" si="19"/>
        <v>0</v>
      </c>
      <c r="Q115" s="890">
        <f t="shared" si="19"/>
        <v>0</v>
      </c>
      <c r="R115" s="890">
        <f t="shared" si="19"/>
        <v>32447</v>
      </c>
      <c r="S115" s="890">
        <f t="shared" si="19"/>
        <v>32447</v>
      </c>
      <c r="T115" s="890">
        <f t="shared" si="19"/>
        <v>0</v>
      </c>
      <c r="U115" s="890">
        <f t="shared" si="19"/>
        <v>0</v>
      </c>
      <c r="V115" s="890">
        <f t="shared" si="19"/>
        <v>0</v>
      </c>
      <c r="W115" s="890">
        <f t="shared" si="19"/>
        <v>0</v>
      </c>
    </row>
    <row r="116" spans="1:23" s="558" customFormat="1" ht="14.25" customHeight="1">
      <c r="A116" s="945"/>
      <c r="B116" s="935"/>
      <c r="C116" s="915"/>
      <c r="D116" s="906"/>
      <c r="E116" s="904"/>
      <c r="F116" s="903"/>
      <c r="G116" s="557">
        <v>0</v>
      </c>
      <c r="H116" s="557">
        <v>0</v>
      </c>
      <c r="I116" s="902"/>
      <c r="J116" s="891"/>
      <c r="K116" s="891"/>
      <c r="L116" s="891"/>
      <c r="M116" s="891"/>
      <c r="N116" s="891"/>
      <c r="O116" s="891"/>
      <c r="P116" s="891"/>
      <c r="Q116" s="891"/>
      <c r="R116" s="891"/>
      <c r="S116" s="891"/>
      <c r="T116" s="891"/>
      <c r="U116" s="891"/>
      <c r="V116" s="891"/>
      <c r="W116" s="891"/>
    </row>
    <row r="117" spans="1:23" s="558" customFormat="1" ht="14.25" customHeight="1">
      <c r="A117" s="945">
        <v>11</v>
      </c>
      <c r="B117" s="933" t="s">
        <v>1082</v>
      </c>
      <c r="C117" s="913" t="s">
        <v>1090</v>
      </c>
      <c r="D117" s="906" t="s">
        <v>359</v>
      </c>
      <c r="E117" s="904" t="s">
        <v>1030</v>
      </c>
      <c r="F117" s="903" t="s">
        <v>1015</v>
      </c>
      <c r="G117" s="557">
        <f>G118+G119+G120+G121</f>
        <v>990650</v>
      </c>
      <c r="H117" s="557">
        <f>H118+H119+H120+H121</f>
        <v>0</v>
      </c>
      <c r="I117" s="901" t="s">
        <v>0</v>
      </c>
      <c r="J117" s="890">
        <f>K117+N117</f>
        <v>0</v>
      </c>
      <c r="K117" s="890">
        <f>L117+M117</f>
        <v>0</v>
      </c>
      <c r="L117" s="890">
        <v>0</v>
      </c>
      <c r="M117" s="890">
        <v>0</v>
      </c>
      <c r="N117" s="890">
        <f>O117+R117+U117</f>
        <v>0</v>
      </c>
      <c r="O117" s="890">
        <f>P117+Q117</f>
        <v>0</v>
      </c>
      <c r="P117" s="890">
        <v>0</v>
      </c>
      <c r="Q117" s="890">
        <v>0</v>
      </c>
      <c r="R117" s="890">
        <f>S117+T117</f>
        <v>0</v>
      </c>
      <c r="S117" s="890">
        <v>0</v>
      </c>
      <c r="T117" s="890">
        <v>0</v>
      </c>
      <c r="U117" s="890">
        <f>V117+W117</f>
        <v>0</v>
      </c>
      <c r="V117" s="890">
        <v>0</v>
      </c>
      <c r="W117" s="890">
        <v>0</v>
      </c>
    </row>
    <row r="118" spans="1:23" s="558" customFormat="1" ht="14.25" customHeight="1">
      <c r="A118" s="945"/>
      <c r="B118" s="934"/>
      <c r="C118" s="914"/>
      <c r="D118" s="906"/>
      <c r="E118" s="904"/>
      <c r="F118" s="903"/>
      <c r="G118" s="557">
        <v>792520</v>
      </c>
      <c r="H118" s="557">
        <v>0</v>
      </c>
      <c r="I118" s="902"/>
      <c r="J118" s="891"/>
      <c r="K118" s="891"/>
      <c r="L118" s="891"/>
      <c r="M118" s="891"/>
      <c r="N118" s="891"/>
      <c r="O118" s="891"/>
      <c r="P118" s="891"/>
      <c r="Q118" s="891"/>
      <c r="R118" s="891"/>
      <c r="S118" s="891"/>
      <c r="T118" s="891"/>
      <c r="U118" s="891"/>
      <c r="V118" s="891"/>
      <c r="W118" s="891"/>
    </row>
    <row r="119" spans="1:23" s="558" customFormat="1" ht="14.25" customHeight="1">
      <c r="A119" s="945"/>
      <c r="B119" s="934"/>
      <c r="C119" s="914"/>
      <c r="D119" s="906"/>
      <c r="E119" s="904"/>
      <c r="F119" s="903"/>
      <c r="G119" s="557">
        <v>0</v>
      </c>
      <c r="H119" s="557">
        <v>0</v>
      </c>
      <c r="I119" s="559" t="s">
        <v>1</v>
      </c>
      <c r="J119" s="580">
        <f>K119+N119</f>
        <v>140041</v>
      </c>
      <c r="K119" s="580">
        <f>L119+M119</f>
        <v>112033</v>
      </c>
      <c r="L119" s="581">
        <v>112033</v>
      </c>
      <c r="M119" s="581">
        <v>0</v>
      </c>
      <c r="N119" s="580">
        <f>O119+R119+U119</f>
        <v>28008</v>
      </c>
      <c r="O119" s="580">
        <f>P119+Q119</f>
        <v>0</v>
      </c>
      <c r="P119" s="581">
        <v>0</v>
      </c>
      <c r="Q119" s="581">
        <v>0</v>
      </c>
      <c r="R119" s="580">
        <f>S119+T119</f>
        <v>28008</v>
      </c>
      <c r="S119" s="581">
        <v>28008</v>
      </c>
      <c r="T119" s="581">
        <v>0</v>
      </c>
      <c r="U119" s="580">
        <f>V119+W119</f>
        <v>0</v>
      </c>
      <c r="V119" s="581">
        <v>0</v>
      </c>
      <c r="W119" s="581">
        <v>0</v>
      </c>
    </row>
    <row r="120" spans="1:23" s="558" customFormat="1" ht="14.25" customHeight="1">
      <c r="A120" s="945"/>
      <c r="B120" s="934"/>
      <c r="C120" s="914"/>
      <c r="D120" s="906"/>
      <c r="E120" s="904"/>
      <c r="F120" s="903"/>
      <c r="G120" s="557">
        <v>198130</v>
      </c>
      <c r="H120" s="557">
        <v>0</v>
      </c>
      <c r="I120" s="901" t="s">
        <v>2</v>
      </c>
      <c r="J120" s="890">
        <f t="shared" ref="J120:W120" si="20">J117+J119</f>
        <v>140041</v>
      </c>
      <c r="K120" s="890">
        <f t="shared" si="20"/>
        <v>112033</v>
      </c>
      <c r="L120" s="890">
        <f t="shared" si="20"/>
        <v>112033</v>
      </c>
      <c r="M120" s="890">
        <f t="shared" si="20"/>
        <v>0</v>
      </c>
      <c r="N120" s="890">
        <f t="shared" si="20"/>
        <v>28008</v>
      </c>
      <c r="O120" s="890">
        <f t="shared" si="20"/>
        <v>0</v>
      </c>
      <c r="P120" s="890">
        <f t="shared" si="20"/>
        <v>0</v>
      </c>
      <c r="Q120" s="890">
        <f t="shared" si="20"/>
        <v>0</v>
      </c>
      <c r="R120" s="890">
        <f t="shared" si="20"/>
        <v>28008</v>
      </c>
      <c r="S120" s="890">
        <f t="shared" si="20"/>
        <v>28008</v>
      </c>
      <c r="T120" s="890">
        <f t="shared" si="20"/>
        <v>0</v>
      </c>
      <c r="U120" s="890">
        <f t="shared" si="20"/>
        <v>0</v>
      </c>
      <c r="V120" s="890">
        <f t="shared" si="20"/>
        <v>0</v>
      </c>
      <c r="W120" s="890">
        <f t="shared" si="20"/>
        <v>0</v>
      </c>
    </row>
    <row r="121" spans="1:23" s="558" customFormat="1" ht="14.25" customHeight="1">
      <c r="A121" s="945"/>
      <c r="B121" s="935"/>
      <c r="C121" s="915"/>
      <c r="D121" s="906"/>
      <c r="E121" s="904"/>
      <c r="F121" s="903"/>
      <c r="G121" s="557">
        <v>0</v>
      </c>
      <c r="H121" s="557">
        <v>0</v>
      </c>
      <c r="I121" s="902"/>
      <c r="J121" s="891"/>
      <c r="K121" s="891"/>
      <c r="L121" s="891"/>
      <c r="M121" s="891"/>
      <c r="N121" s="891"/>
      <c r="O121" s="891"/>
      <c r="P121" s="891"/>
      <c r="Q121" s="891"/>
      <c r="R121" s="891"/>
      <c r="S121" s="891"/>
      <c r="T121" s="891"/>
      <c r="U121" s="891"/>
      <c r="V121" s="891"/>
      <c r="W121" s="891"/>
    </row>
    <row r="122" spans="1:23" s="558" customFormat="1" ht="14.25" customHeight="1">
      <c r="A122" s="945">
        <v>12</v>
      </c>
      <c r="B122" s="933" t="s">
        <v>1091</v>
      </c>
      <c r="C122" s="913" t="s">
        <v>1092</v>
      </c>
      <c r="D122" s="906" t="s">
        <v>359</v>
      </c>
      <c r="E122" s="904" t="s">
        <v>1093</v>
      </c>
      <c r="F122" s="903" t="s">
        <v>1052</v>
      </c>
      <c r="G122" s="557">
        <f>G123+G124+G125+G126</f>
        <v>139286</v>
      </c>
      <c r="H122" s="557">
        <f>H123+H124+H125+H126</f>
        <v>4826</v>
      </c>
      <c r="I122" s="901" t="s">
        <v>0</v>
      </c>
      <c r="J122" s="890">
        <f>K122+N122</f>
        <v>74000</v>
      </c>
      <c r="K122" s="890">
        <f>L122+M122</f>
        <v>74000</v>
      </c>
      <c r="L122" s="890">
        <v>74000</v>
      </c>
      <c r="M122" s="890">
        <v>0</v>
      </c>
      <c r="N122" s="890">
        <f>O122+R122+U122</f>
        <v>0</v>
      </c>
      <c r="O122" s="890">
        <f>P122+Q122</f>
        <v>0</v>
      </c>
      <c r="P122" s="890">
        <v>0</v>
      </c>
      <c r="Q122" s="890">
        <v>0</v>
      </c>
      <c r="R122" s="890">
        <f>S122+T122</f>
        <v>0</v>
      </c>
      <c r="S122" s="890">
        <v>0</v>
      </c>
      <c r="T122" s="890">
        <v>0</v>
      </c>
      <c r="U122" s="890">
        <f>V122+W122</f>
        <v>0</v>
      </c>
      <c r="V122" s="890">
        <v>0</v>
      </c>
      <c r="W122" s="890">
        <v>0</v>
      </c>
    </row>
    <row r="123" spans="1:23" s="558" customFormat="1" ht="14.25" customHeight="1">
      <c r="A123" s="945"/>
      <c r="B123" s="934"/>
      <c r="C123" s="914"/>
      <c r="D123" s="906"/>
      <c r="E123" s="904"/>
      <c r="F123" s="903"/>
      <c r="G123" s="557">
        <v>139286</v>
      </c>
      <c r="H123" s="557">
        <v>4826</v>
      </c>
      <c r="I123" s="902"/>
      <c r="J123" s="891"/>
      <c r="K123" s="891"/>
      <c r="L123" s="891"/>
      <c r="M123" s="891"/>
      <c r="N123" s="891"/>
      <c r="O123" s="891"/>
      <c r="P123" s="891"/>
      <c r="Q123" s="891"/>
      <c r="R123" s="891"/>
      <c r="S123" s="891"/>
      <c r="T123" s="891"/>
      <c r="U123" s="891"/>
      <c r="V123" s="891"/>
      <c r="W123" s="891"/>
    </row>
    <row r="124" spans="1:23" s="558" customFormat="1" ht="14.25" customHeight="1">
      <c r="A124" s="945"/>
      <c r="B124" s="934"/>
      <c r="C124" s="914"/>
      <c r="D124" s="906"/>
      <c r="E124" s="904"/>
      <c r="F124" s="903"/>
      <c r="G124" s="557">
        <v>0</v>
      </c>
      <c r="H124" s="557">
        <v>0</v>
      </c>
      <c r="I124" s="559" t="s">
        <v>1</v>
      </c>
      <c r="J124" s="580">
        <f>K124+N124</f>
        <v>0</v>
      </c>
      <c r="K124" s="580">
        <f>L124+M124</f>
        <v>0</v>
      </c>
      <c r="L124" s="581">
        <v>0</v>
      </c>
      <c r="M124" s="581">
        <v>0</v>
      </c>
      <c r="N124" s="580">
        <f>O124+R124+U124</f>
        <v>0</v>
      </c>
      <c r="O124" s="580">
        <f>P124+Q124</f>
        <v>0</v>
      </c>
      <c r="P124" s="581">
        <v>0</v>
      </c>
      <c r="Q124" s="581">
        <v>0</v>
      </c>
      <c r="R124" s="580">
        <f>S124+T124</f>
        <v>0</v>
      </c>
      <c r="S124" s="581">
        <v>0</v>
      </c>
      <c r="T124" s="581">
        <v>0</v>
      </c>
      <c r="U124" s="580">
        <f>V124+W124</f>
        <v>0</v>
      </c>
      <c r="V124" s="581">
        <v>0</v>
      </c>
      <c r="W124" s="581">
        <v>0</v>
      </c>
    </row>
    <row r="125" spans="1:23" s="558" customFormat="1" ht="14.25" customHeight="1">
      <c r="A125" s="945"/>
      <c r="B125" s="934"/>
      <c r="C125" s="914"/>
      <c r="D125" s="906"/>
      <c r="E125" s="904"/>
      <c r="F125" s="903"/>
      <c r="G125" s="557">
        <v>0</v>
      </c>
      <c r="H125" s="557">
        <v>0</v>
      </c>
      <c r="I125" s="901" t="s">
        <v>2</v>
      </c>
      <c r="J125" s="890">
        <f t="shared" ref="J125:W125" si="21">J122+J124</f>
        <v>74000</v>
      </c>
      <c r="K125" s="890">
        <f t="shared" si="21"/>
        <v>74000</v>
      </c>
      <c r="L125" s="890">
        <f t="shared" si="21"/>
        <v>74000</v>
      </c>
      <c r="M125" s="890">
        <f t="shared" si="21"/>
        <v>0</v>
      </c>
      <c r="N125" s="890">
        <f t="shared" si="21"/>
        <v>0</v>
      </c>
      <c r="O125" s="890">
        <f t="shared" si="21"/>
        <v>0</v>
      </c>
      <c r="P125" s="890">
        <f t="shared" si="21"/>
        <v>0</v>
      </c>
      <c r="Q125" s="890">
        <f t="shared" si="21"/>
        <v>0</v>
      </c>
      <c r="R125" s="890">
        <f t="shared" si="21"/>
        <v>0</v>
      </c>
      <c r="S125" s="890">
        <f t="shared" si="21"/>
        <v>0</v>
      </c>
      <c r="T125" s="890">
        <f t="shared" si="21"/>
        <v>0</v>
      </c>
      <c r="U125" s="890">
        <f t="shared" si="21"/>
        <v>0</v>
      </c>
      <c r="V125" s="890">
        <f t="shared" si="21"/>
        <v>0</v>
      </c>
      <c r="W125" s="890">
        <f t="shared" si="21"/>
        <v>0</v>
      </c>
    </row>
    <row r="126" spans="1:23" s="558" customFormat="1" ht="14.25" customHeight="1">
      <c r="A126" s="945"/>
      <c r="B126" s="935"/>
      <c r="C126" s="915"/>
      <c r="D126" s="906"/>
      <c r="E126" s="904"/>
      <c r="F126" s="903"/>
      <c r="G126" s="557">
        <v>0</v>
      </c>
      <c r="H126" s="557">
        <v>0</v>
      </c>
      <c r="I126" s="902"/>
      <c r="J126" s="891"/>
      <c r="K126" s="891"/>
      <c r="L126" s="891"/>
      <c r="M126" s="891"/>
      <c r="N126" s="891"/>
      <c r="O126" s="891"/>
      <c r="P126" s="891"/>
      <c r="Q126" s="891"/>
      <c r="R126" s="891"/>
      <c r="S126" s="891"/>
      <c r="T126" s="891"/>
      <c r="U126" s="891"/>
      <c r="V126" s="891"/>
      <c r="W126" s="891"/>
    </row>
    <row r="127" spans="1:23" s="558" customFormat="1" ht="15" hidden="1" customHeight="1">
      <c r="A127" s="903"/>
      <c r="B127" s="933" t="s">
        <v>1091</v>
      </c>
      <c r="C127" s="913" t="s">
        <v>1094</v>
      </c>
      <c r="D127" s="906" t="s">
        <v>1055</v>
      </c>
      <c r="E127" s="904" t="s">
        <v>967</v>
      </c>
      <c r="F127" s="903">
        <v>2025</v>
      </c>
      <c r="G127" s="557">
        <f>G128+G129+G130+G131</f>
        <v>75987</v>
      </c>
      <c r="H127" s="557">
        <f>H128+H129+H130+H131</f>
        <v>0</v>
      </c>
      <c r="I127" s="901" t="s">
        <v>0</v>
      </c>
      <c r="J127" s="890">
        <f>K127+N127</f>
        <v>75987</v>
      </c>
      <c r="K127" s="890">
        <f t="shared" ref="K127:W127" si="22">L127+O127</f>
        <v>75987</v>
      </c>
      <c r="L127" s="890">
        <v>75987</v>
      </c>
      <c r="M127" s="890">
        <f t="shared" si="22"/>
        <v>0</v>
      </c>
      <c r="N127" s="890">
        <f t="shared" si="22"/>
        <v>0</v>
      </c>
      <c r="O127" s="890">
        <f t="shared" si="22"/>
        <v>0</v>
      </c>
      <c r="P127" s="890">
        <f t="shared" si="22"/>
        <v>0</v>
      </c>
      <c r="Q127" s="890">
        <f t="shared" si="22"/>
        <v>0</v>
      </c>
      <c r="R127" s="890">
        <f t="shared" si="22"/>
        <v>0</v>
      </c>
      <c r="S127" s="890">
        <f t="shared" si="22"/>
        <v>0</v>
      </c>
      <c r="T127" s="890">
        <f t="shared" si="22"/>
        <v>0</v>
      </c>
      <c r="U127" s="890">
        <f t="shared" si="22"/>
        <v>0</v>
      </c>
      <c r="V127" s="890">
        <f t="shared" si="22"/>
        <v>0</v>
      </c>
      <c r="W127" s="890">
        <f t="shared" si="22"/>
        <v>0</v>
      </c>
    </row>
    <row r="128" spans="1:23" s="558" customFormat="1" ht="15" hidden="1" customHeight="1">
      <c r="A128" s="903"/>
      <c r="B128" s="934"/>
      <c r="C128" s="914"/>
      <c r="D128" s="906"/>
      <c r="E128" s="904"/>
      <c r="F128" s="903"/>
      <c r="G128" s="557">
        <v>75987</v>
      </c>
      <c r="H128" s="557">
        <v>0</v>
      </c>
      <c r="I128" s="902"/>
      <c r="J128" s="891"/>
      <c r="K128" s="891"/>
      <c r="L128" s="891"/>
      <c r="M128" s="891"/>
      <c r="N128" s="891"/>
      <c r="O128" s="891"/>
      <c r="P128" s="891"/>
      <c r="Q128" s="891"/>
      <c r="R128" s="891"/>
      <c r="S128" s="891"/>
      <c r="T128" s="891"/>
      <c r="U128" s="891"/>
      <c r="V128" s="891"/>
      <c r="W128" s="891"/>
    </row>
    <row r="129" spans="1:23" s="558" customFormat="1" ht="15" hidden="1" customHeight="1">
      <c r="A129" s="903"/>
      <c r="B129" s="934"/>
      <c r="C129" s="914"/>
      <c r="D129" s="906"/>
      <c r="E129" s="904"/>
      <c r="F129" s="903"/>
      <c r="G129" s="557">
        <v>0</v>
      </c>
      <c r="H129" s="557">
        <v>0</v>
      </c>
      <c r="I129" s="559" t="s">
        <v>1</v>
      </c>
      <c r="J129" s="580">
        <f>K129+N129</f>
        <v>0</v>
      </c>
      <c r="K129" s="580">
        <f t="shared" ref="K129:W129" si="23">L129+O129</f>
        <v>0</v>
      </c>
      <c r="L129" s="580">
        <v>0</v>
      </c>
      <c r="M129" s="580">
        <f t="shared" si="23"/>
        <v>0</v>
      </c>
      <c r="N129" s="580">
        <f t="shared" si="23"/>
        <v>0</v>
      </c>
      <c r="O129" s="580">
        <f t="shared" si="23"/>
        <v>0</v>
      </c>
      <c r="P129" s="580">
        <f t="shared" si="23"/>
        <v>0</v>
      </c>
      <c r="Q129" s="580">
        <f t="shared" si="23"/>
        <v>0</v>
      </c>
      <c r="R129" s="580">
        <f t="shared" si="23"/>
        <v>0</v>
      </c>
      <c r="S129" s="580">
        <f t="shared" si="23"/>
        <v>0</v>
      </c>
      <c r="T129" s="580">
        <f t="shared" si="23"/>
        <v>0</v>
      </c>
      <c r="U129" s="580">
        <f t="shared" si="23"/>
        <v>0</v>
      </c>
      <c r="V129" s="580">
        <f t="shared" si="23"/>
        <v>0</v>
      </c>
      <c r="W129" s="580">
        <f t="shared" si="23"/>
        <v>0</v>
      </c>
    </row>
    <row r="130" spans="1:23" s="558" customFormat="1" ht="15" hidden="1" customHeight="1">
      <c r="A130" s="903"/>
      <c r="B130" s="934"/>
      <c r="C130" s="914"/>
      <c r="D130" s="906"/>
      <c r="E130" s="904"/>
      <c r="F130" s="903"/>
      <c r="G130" s="557">
        <v>0</v>
      </c>
      <c r="H130" s="557">
        <v>0</v>
      </c>
      <c r="I130" s="901" t="s">
        <v>2</v>
      </c>
      <c r="J130" s="890">
        <f t="shared" ref="J130:W130" si="24">J127+J129</f>
        <v>75987</v>
      </c>
      <c r="K130" s="890">
        <f t="shared" si="24"/>
        <v>75987</v>
      </c>
      <c r="L130" s="890">
        <f t="shared" si="24"/>
        <v>75987</v>
      </c>
      <c r="M130" s="890">
        <f t="shared" si="24"/>
        <v>0</v>
      </c>
      <c r="N130" s="890">
        <f t="shared" si="24"/>
        <v>0</v>
      </c>
      <c r="O130" s="890">
        <f t="shared" si="24"/>
        <v>0</v>
      </c>
      <c r="P130" s="890">
        <f t="shared" si="24"/>
        <v>0</v>
      </c>
      <c r="Q130" s="890">
        <f t="shared" si="24"/>
        <v>0</v>
      </c>
      <c r="R130" s="890">
        <f t="shared" si="24"/>
        <v>0</v>
      </c>
      <c r="S130" s="890">
        <f t="shared" si="24"/>
        <v>0</v>
      </c>
      <c r="T130" s="890">
        <f t="shared" si="24"/>
        <v>0</v>
      </c>
      <c r="U130" s="890">
        <f t="shared" si="24"/>
        <v>0</v>
      </c>
      <c r="V130" s="890">
        <f t="shared" si="24"/>
        <v>0</v>
      </c>
      <c r="W130" s="890">
        <f t="shared" si="24"/>
        <v>0</v>
      </c>
    </row>
    <row r="131" spans="1:23" s="558" customFormat="1" ht="15" hidden="1" customHeight="1">
      <c r="A131" s="903"/>
      <c r="B131" s="935"/>
      <c r="C131" s="915"/>
      <c r="D131" s="906"/>
      <c r="E131" s="904"/>
      <c r="F131" s="903"/>
      <c r="G131" s="557">
        <v>0</v>
      </c>
      <c r="H131" s="557">
        <v>0</v>
      </c>
      <c r="I131" s="902"/>
      <c r="J131" s="891"/>
      <c r="K131" s="891"/>
      <c r="L131" s="891"/>
      <c r="M131" s="891"/>
      <c r="N131" s="891"/>
      <c r="O131" s="891"/>
      <c r="P131" s="891"/>
      <c r="Q131" s="891"/>
      <c r="R131" s="891"/>
      <c r="S131" s="891"/>
      <c r="T131" s="891"/>
      <c r="U131" s="891"/>
      <c r="V131" s="891"/>
      <c r="W131" s="891"/>
    </row>
    <row r="132" spans="1:23" s="563" customFormat="1" ht="15" customHeight="1">
      <c r="A132" s="936" t="s">
        <v>920</v>
      </c>
      <c r="B132" s="937"/>
      <c r="C132" s="937"/>
      <c r="D132" s="937"/>
      <c r="E132" s="937"/>
      <c r="F132" s="938"/>
      <c r="G132" s="566">
        <f>G17+G22+G27+G32+G37+G42+G47+G52+G57+G62+G67+G72+G77+G82+G87+G92+G97+G102+G107+G122+G127+G112+G117</f>
        <v>165442392</v>
      </c>
      <c r="H132" s="566">
        <f>H17+H22+H27+H32+H37+H42+H47+H52+H57+H62+H67+H72+H77+H82+H87+H92+H97+H102+H107+H122+H127+H112+H117</f>
        <v>70286397</v>
      </c>
      <c r="I132" s="875" t="s">
        <v>0</v>
      </c>
      <c r="J132" s="873">
        <f>J17+J22+J27+J32+J37+J42+J47+J52+J57+J62+J67+J72+J77+J82+J87+J92+J97+J102+J107+J122+J127+J112+J117</f>
        <v>37349965</v>
      </c>
      <c r="K132" s="873">
        <f t="shared" ref="K132:W132" si="25">K17+K22+K27+K32+K37+K42+K47+K52+K57+K62+K67+K72+K77+K82+K87+K92+K97+K102+K107+K122+K127+K112+K117</f>
        <v>28437313</v>
      </c>
      <c r="L132" s="873">
        <f t="shared" si="25"/>
        <v>28387191</v>
      </c>
      <c r="M132" s="873">
        <f t="shared" si="25"/>
        <v>50122</v>
      </c>
      <c r="N132" s="873">
        <f t="shared" si="25"/>
        <v>8912652</v>
      </c>
      <c r="O132" s="873">
        <f t="shared" si="25"/>
        <v>5974524</v>
      </c>
      <c r="P132" s="873">
        <f t="shared" si="25"/>
        <v>5974524</v>
      </c>
      <c r="Q132" s="873">
        <f t="shared" si="25"/>
        <v>0</v>
      </c>
      <c r="R132" s="873">
        <f t="shared" si="25"/>
        <v>2938128</v>
      </c>
      <c r="S132" s="873">
        <f t="shared" si="25"/>
        <v>2926600</v>
      </c>
      <c r="T132" s="873">
        <f t="shared" si="25"/>
        <v>11528</v>
      </c>
      <c r="U132" s="873">
        <f t="shared" si="25"/>
        <v>0</v>
      </c>
      <c r="V132" s="873">
        <f t="shared" si="25"/>
        <v>0</v>
      </c>
      <c r="W132" s="873">
        <f t="shared" si="25"/>
        <v>0</v>
      </c>
    </row>
    <row r="133" spans="1:23" s="563" customFormat="1" ht="15" customHeight="1">
      <c r="A133" s="939"/>
      <c r="B133" s="940"/>
      <c r="C133" s="940"/>
      <c r="D133" s="940"/>
      <c r="E133" s="940"/>
      <c r="F133" s="941"/>
      <c r="G133" s="566">
        <f t="shared" ref="G133:H136" si="26">G18+G23+G28+G33+G38+G43+G48+G53+G58+G63+G68+G73+G78+G83+G88+G93+G98+G103+G108+G123+G128+G113+G118</f>
        <v>116695854</v>
      </c>
      <c r="H133" s="566">
        <f t="shared" si="26"/>
        <v>47850012</v>
      </c>
      <c r="I133" s="876"/>
      <c r="J133" s="874"/>
      <c r="K133" s="874"/>
      <c r="L133" s="874"/>
      <c r="M133" s="874"/>
      <c r="N133" s="874"/>
      <c r="O133" s="874"/>
      <c r="P133" s="874"/>
      <c r="Q133" s="874"/>
      <c r="R133" s="874"/>
      <c r="S133" s="874"/>
      <c r="T133" s="874"/>
      <c r="U133" s="874"/>
      <c r="V133" s="874"/>
      <c r="W133" s="874"/>
    </row>
    <row r="134" spans="1:23" s="563" customFormat="1" ht="15" customHeight="1">
      <c r="A134" s="939"/>
      <c r="B134" s="940"/>
      <c r="C134" s="940"/>
      <c r="D134" s="940"/>
      <c r="E134" s="940"/>
      <c r="F134" s="941"/>
      <c r="G134" s="566">
        <f t="shared" si="26"/>
        <v>42893961</v>
      </c>
      <c r="H134" s="566">
        <f t="shared" si="26"/>
        <v>20886093</v>
      </c>
      <c r="I134" s="567" t="s">
        <v>1</v>
      </c>
      <c r="J134" s="582">
        <f>J19+J24+J29+J34+J39+J44+J49+J54+J59+J64+J69+J74+J79+J84+J89+J94+J99+J104+J109+J124+J129+J114+J119</f>
        <v>777570</v>
      </c>
      <c r="K134" s="582">
        <f t="shared" ref="K134:W134" si="27">K19+K24+K29+K34+K39+K44+K49+K54+K59+K64+K69+K74+K79+K84+K89+K94+K99+K104+K109+K124+K129+K114+K119</f>
        <v>623878</v>
      </c>
      <c r="L134" s="582">
        <f t="shared" si="27"/>
        <v>623878</v>
      </c>
      <c r="M134" s="582">
        <f t="shared" si="27"/>
        <v>0</v>
      </c>
      <c r="N134" s="582">
        <f t="shared" si="27"/>
        <v>153692</v>
      </c>
      <c r="O134" s="582">
        <f t="shared" si="27"/>
        <v>62278</v>
      </c>
      <c r="P134" s="582">
        <f t="shared" si="27"/>
        <v>62278</v>
      </c>
      <c r="Q134" s="582">
        <f t="shared" si="27"/>
        <v>0</v>
      </c>
      <c r="R134" s="582">
        <f t="shared" si="27"/>
        <v>91414</v>
      </c>
      <c r="S134" s="582">
        <f t="shared" si="27"/>
        <v>91414</v>
      </c>
      <c r="T134" s="582">
        <f t="shared" si="27"/>
        <v>0</v>
      </c>
      <c r="U134" s="582">
        <f t="shared" si="27"/>
        <v>0</v>
      </c>
      <c r="V134" s="582">
        <f t="shared" si="27"/>
        <v>0</v>
      </c>
      <c r="W134" s="582">
        <f t="shared" si="27"/>
        <v>0</v>
      </c>
    </row>
    <row r="135" spans="1:23" s="563" customFormat="1" ht="15" customHeight="1">
      <c r="A135" s="939"/>
      <c r="B135" s="940"/>
      <c r="C135" s="940"/>
      <c r="D135" s="940"/>
      <c r="E135" s="940"/>
      <c r="F135" s="941"/>
      <c r="G135" s="566">
        <f t="shared" si="26"/>
        <v>5852577</v>
      </c>
      <c r="H135" s="566">
        <f t="shared" si="26"/>
        <v>1550292</v>
      </c>
      <c r="I135" s="875" t="s">
        <v>2</v>
      </c>
      <c r="J135" s="873">
        <f>J132+J134</f>
        <v>38127535</v>
      </c>
      <c r="K135" s="873">
        <f t="shared" ref="K135:W135" si="28">K132+K134</f>
        <v>29061191</v>
      </c>
      <c r="L135" s="873">
        <f t="shared" si="28"/>
        <v>29011069</v>
      </c>
      <c r="M135" s="873">
        <f t="shared" si="28"/>
        <v>50122</v>
      </c>
      <c r="N135" s="873">
        <f t="shared" si="28"/>
        <v>9066344</v>
      </c>
      <c r="O135" s="873">
        <f t="shared" si="28"/>
        <v>6036802</v>
      </c>
      <c r="P135" s="873">
        <f t="shared" si="28"/>
        <v>6036802</v>
      </c>
      <c r="Q135" s="873">
        <f t="shared" si="28"/>
        <v>0</v>
      </c>
      <c r="R135" s="873">
        <f t="shared" si="28"/>
        <v>3029542</v>
      </c>
      <c r="S135" s="873">
        <f t="shared" si="28"/>
        <v>3018014</v>
      </c>
      <c r="T135" s="873">
        <f t="shared" si="28"/>
        <v>11528</v>
      </c>
      <c r="U135" s="873">
        <f t="shared" si="28"/>
        <v>0</v>
      </c>
      <c r="V135" s="873">
        <f t="shared" si="28"/>
        <v>0</v>
      </c>
      <c r="W135" s="873">
        <f t="shared" si="28"/>
        <v>0</v>
      </c>
    </row>
    <row r="136" spans="1:23" s="563" customFormat="1" ht="15" customHeight="1">
      <c r="A136" s="942"/>
      <c r="B136" s="943"/>
      <c r="C136" s="943"/>
      <c r="D136" s="943"/>
      <c r="E136" s="943"/>
      <c r="F136" s="944"/>
      <c r="G136" s="566">
        <f t="shared" si="26"/>
        <v>0</v>
      </c>
      <c r="H136" s="566">
        <f t="shared" si="26"/>
        <v>0</v>
      </c>
      <c r="I136" s="876"/>
      <c r="J136" s="874"/>
      <c r="K136" s="874"/>
      <c r="L136" s="874"/>
      <c r="M136" s="874"/>
      <c r="N136" s="874"/>
      <c r="O136" s="874"/>
      <c r="P136" s="874"/>
      <c r="Q136" s="874"/>
      <c r="R136" s="874"/>
      <c r="S136" s="874"/>
      <c r="T136" s="874"/>
      <c r="U136" s="874"/>
      <c r="V136" s="874"/>
      <c r="W136" s="874"/>
    </row>
    <row r="137" spans="1:23" ht="4.5" customHeight="1"/>
    <row r="138" spans="1:23" ht="11.25" customHeight="1">
      <c r="A138" s="583" t="s">
        <v>94</v>
      </c>
      <c r="B138" s="572"/>
    </row>
    <row r="139" spans="1:23" ht="12" customHeight="1">
      <c r="A139" s="573" t="s">
        <v>0</v>
      </c>
      <c r="B139" s="574" t="s">
        <v>101</v>
      </c>
    </row>
    <row r="140" spans="1:23" ht="12" customHeight="1">
      <c r="A140" s="573" t="s">
        <v>1</v>
      </c>
      <c r="B140" s="574" t="s">
        <v>562</v>
      </c>
    </row>
    <row r="141" spans="1:23" ht="12" customHeight="1">
      <c r="A141" s="573" t="s">
        <v>2</v>
      </c>
      <c r="B141" s="574" t="s">
        <v>1043</v>
      </c>
    </row>
  </sheetData>
  <sheetProtection algorithmName="SHA-512" hashValue="UCVJvlx8CFS/S8EWVQTM6R6RaLJI3RfTJq2zBwXf5A9FDh3S39b/HR/LXxVgcw3N5akMN0NlfXNDSyBLTeu+jQ==" saltValue="LYmeaLoBjUBEBpqqQB0Jjw==" spinCount="100000" sheet="1" objects="1" scenarios="1"/>
  <mergeCells count="895"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  <mergeCell ref="U10:W10"/>
    <mergeCell ref="K11:K12"/>
    <mergeCell ref="L11:L12"/>
    <mergeCell ref="M11:M12"/>
    <mergeCell ref="R11:R12"/>
    <mergeCell ref="S11:S12"/>
    <mergeCell ref="T11:T12"/>
    <mergeCell ref="C17:C21"/>
    <mergeCell ref="D17:D21"/>
    <mergeCell ref="E17:E21"/>
    <mergeCell ref="F17:F21"/>
    <mergeCell ref="I20:I21"/>
    <mergeCell ref="J20:J21"/>
    <mergeCell ref="K20:K21"/>
    <mergeCell ref="L20:L21"/>
    <mergeCell ref="M20:M21"/>
    <mergeCell ref="N20:N21"/>
    <mergeCell ref="O20:O21"/>
    <mergeCell ref="U11:U12"/>
    <mergeCell ref="V11:V12"/>
    <mergeCell ref="W11:W12"/>
    <mergeCell ref="A14:W14"/>
    <mergeCell ref="A15:W15"/>
    <mergeCell ref="A16:W16"/>
    <mergeCell ref="U17:U18"/>
    <mergeCell ref="V17:V18"/>
    <mergeCell ref="W17:W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O11:O12"/>
    <mergeCell ref="P11:P12"/>
    <mergeCell ref="Q11:Q12"/>
    <mergeCell ref="K22:K23"/>
    <mergeCell ref="L22:L23"/>
    <mergeCell ref="M22:M23"/>
    <mergeCell ref="N22:N23"/>
    <mergeCell ref="O22:O23"/>
    <mergeCell ref="P22:P23"/>
    <mergeCell ref="V20:V21"/>
    <mergeCell ref="W20:W21"/>
    <mergeCell ref="A22:A26"/>
    <mergeCell ref="B22:B26"/>
    <mergeCell ref="C22:C26"/>
    <mergeCell ref="D22:D26"/>
    <mergeCell ref="E22:E26"/>
    <mergeCell ref="F22:F26"/>
    <mergeCell ref="I22:I23"/>
    <mergeCell ref="J22:J23"/>
    <mergeCell ref="P20:P21"/>
    <mergeCell ref="Q20:Q21"/>
    <mergeCell ref="R20:R21"/>
    <mergeCell ref="S20:S21"/>
    <mergeCell ref="T20:T21"/>
    <mergeCell ref="U20:U21"/>
    <mergeCell ref="A17:A21"/>
    <mergeCell ref="B17:B21"/>
    <mergeCell ref="E27:E31"/>
    <mergeCell ref="F27:F31"/>
    <mergeCell ref="R25:R26"/>
    <mergeCell ref="S25:S26"/>
    <mergeCell ref="T25:T26"/>
    <mergeCell ref="U25:U26"/>
    <mergeCell ref="V25:V26"/>
    <mergeCell ref="W25:W26"/>
    <mergeCell ref="W22:W23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U27:U28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M32:M33"/>
    <mergeCell ref="N32:N33"/>
    <mergeCell ref="O32:O33"/>
    <mergeCell ref="P32:P33"/>
    <mergeCell ref="V30:V31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A27:A31"/>
    <mergeCell ref="B27:B31"/>
    <mergeCell ref="C27:C31"/>
    <mergeCell ref="D27:D31"/>
    <mergeCell ref="R35:R36"/>
    <mergeCell ref="S35:S36"/>
    <mergeCell ref="T35:T36"/>
    <mergeCell ref="U35:U36"/>
    <mergeCell ref="V35:V36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I37:I38"/>
    <mergeCell ref="J37:J38"/>
    <mergeCell ref="K37:K38"/>
    <mergeCell ref="L37:L38"/>
    <mergeCell ref="M37:M38"/>
    <mergeCell ref="N37:N38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A37:A41"/>
    <mergeCell ref="B37:B41"/>
    <mergeCell ref="C37:C41"/>
    <mergeCell ref="D37:D41"/>
    <mergeCell ref="E37:E41"/>
    <mergeCell ref="F37:F41"/>
    <mergeCell ref="U37:U38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K52:K53"/>
    <mergeCell ref="L52:L53"/>
    <mergeCell ref="M52:M53"/>
    <mergeCell ref="N52:N53"/>
    <mergeCell ref="O52:O53"/>
    <mergeCell ref="P52:P53"/>
    <mergeCell ref="V50:V51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A47:A51"/>
    <mergeCell ref="B47:B51"/>
    <mergeCell ref="E57:E61"/>
    <mergeCell ref="F57:F61"/>
    <mergeCell ref="R55:R56"/>
    <mergeCell ref="S55:S56"/>
    <mergeCell ref="T55:T56"/>
    <mergeCell ref="U55:U56"/>
    <mergeCell ref="V55:V56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I57:I58"/>
    <mergeCell ref="J57:J58"/>
    <mergeCell ref="K57:K58"/>
    <mergeCell ref="L57:L58"/>
    <mergeCell ref="M57:M58"/>
    <mergeCell ref="N57:N58"/>
    <mergeCell ref="M62:M63"/>
    <mergeCell ref="N62:N63"/>
    <mergeCell ref="O62:O63"/>
    <mergeCell ref="P62:P63"/>
    <mergeCell ref="V60:V61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A57:A61"/>
    <mergeCell ref="B57:B61"/>
    <mergeCell ref="C57:C61"/>
    <mergeCell ref="D57:D61"/>
    <mergeCell ref="R65:R66"/>
    <mergeCell ref="S65:S66"/>
    <mergeCell ref="T65:T66"/>
    <mergeCell ref="U65:U66"/>
    <mergeCell ref="V65:V66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I67:I68"/>
    <mergeCell ref="J67:J68"/>
    <mergeCell ref="K67:K68"/>
    <mergeCell ref="L67:L68"/>
    <mergeCell ref="M67:M68"/>
    <mergeCell ref="N67:N68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A67:A71"/>
    <mergeCell ref="B67:B71"/>
    <mergeCell ref="C67:C71"/>
    <mergeCell ref="D67:D71"/>
    <mergeCell ref="E67:E71"/>
    <mergeCell ref="F67:F71"/>
    <mergeCell ref="U67:U68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I77:I78"/>
    <mergeCell ref="J77:J78"/>
    <mergeCell ref="K77:K78"/>
    <mergeCell ref="L77:L78"/>
    <mergeCell ref="M77:M78"/>
    <mergeCell ref="N77:N78"/>
    <mergeCell ref="K82:K83"/>
    <mergeCell ref="L82:L83"/>
    <mergeCell ref="M82:M83"/>
    <mergeCell ref="N82:N83"/>
    <mergeCell ref="O82:O83"/>
    <mergeCell ref="P82:P83"/>
    <mergeCell ref="V80:V81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A77:A81"/>
    <mergeCell ref="B77:B81"/>
    <mergeCell ref="E87:E91"/>
    <mergeCell ref="F87:F91"/>
    <mergeCell ref="R85:R86"/>
    <mergeCell ref="S85:S86"/>
    <mergeCell ref="T85:T86"/>
    <mergeCell ref="U85:U86"/>
    <mergeCell ref="V85:V86"/>
    <mergeCell ref="W85:W86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I87:I88"/>
    <mergeCell ref="J87:J88"/>
    <mergeCell ref="K87:K88"/>
    <mergeCell ref="L87:L88"/>
    <mergeCell ref="M87:M88"/>
    <mergeCell ref="N87:N88"/>
    <mergeCell ref="M92:M93"/>
    <mergeCell ref="N92:N93"/>
    <mergeCell ref="O92:O93"/>
    <mergeCell ref="P92:P93"/>
    <mergeCell ref="V90:V91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A87:A91"/>
    <mergeCell ref="B87:B91"/>
    <mergeCell ref="C87:C91"/>
    <mergeCell ref="D87:D91"/>
    <mergeCell ref="R95:R96"/>
    <mergeCell ref="S95:S96"/>
    <mergeCell ref="T95:T96"/>
    <mergeCell ref="U95:U96"/>
    <mergeCell ref="V95:V96"/>
    <mergeCell ref="W95:W96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I97:I98"/>
    <mergeCell ref="J97:J98"/>
    <mergeCell ref="K97:K98"/>
    <mergeCell ref="L97:L98"/>
    <mergeCell ref="M97:M98"/>
    <mergeCell ref="N97:N98"/>
    <mergeCell ref="V100:V101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A97:A101"/>
    <mergeCell ref="B97:B101"/>
    <mergeCell ref="C97:C101"/>
    <mergeCell ref="D97:D101"/>
    <mergeCell ref="E97:E101"/>
    <mergeCell ref="F97:F101"/>
    <mergeCell ref="U97:U98"/>
    <mergeCell ref="W105:W106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I107:I108"/>
    <mergeCell ref="J107:J108"/>
    <mergeCell ref="K107:K108"/>
    <mergeCell ref="L107:L108"/>
    <mergeCell ref="M107:M108"/>
    <mergeCell ref="N107:N108"/>
    <mergeCell ref="K112:K113"/>
    <mergeCell ref="L112:L113"/>
    <mergeCell ref="M112:M113"/>
    <mergeCell ref="N112:N113"/>
    <mergeCell ref="O112:O113"/>
    <mergeCell ref="P112:P113"/>
    <mergeCell ref="V110:V111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A107:A111"/>
    <mergeCell ref="B107:B111"/>
    <mergeCell ref="E117:E121"/>
    <mergeCell ref="F117:F121"/>
    <mergeCell ref="R115:R116"/>
    <mergeCell ref="S115:S116"/>
    <mergeCell ref="T115:T116"/>
    <mergeCell ref="U115:U116"/>
    <mergeCell ref="V115:V116"/>
    <mergeCell ref="W115:W116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I117:I118"/>
    <mergeCell ref="J117:J118"/>
    <mergeCell ref="K117:K118"/>
    <mergeCell ref="L117:L118"/>
    <mergeCell ref="M117:M118"/>
    <mergeCell ref="N117:N118"/>
    <mergeCell ref="M122:M123"/>
    <mergeCell ref="N122:N123"/>
    <mergeCell ref="O122:O123"/>
    <mergeCell ref="P122:P123"/>
    <mergeCell ref="V120:V121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A117:A121"/>
    <mergeCell ref="B117:B121"/>
    <mergeCell ref="C117:C121"/>
    <mergeCell ref="D117:D121"/>
    <mergeCell ref="R125:R126"/>
    <mergeCell ref="S125:S126"/>
    <mergeCell ref="T125:T126"/>
    <mergeCell ref="U125:U126"/>
    <mergeCell ref="V125:V126"/>
    <mergeCell ref="W125:W126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I127:I128"/>
    <mergeCell ref="J127:J128"/>
    <mergeCell ref="K127:K128"/>
    <mergeCell ref="L127:L128"/>
    <mergeCell ref="M127:M128"/>
    <mergeCell ref="N127:N128"/>
    <mergeCell ref="V130:V131"/>
    <mergeCell ref="W130:W131"/>
    <mergeCell ref="A132:F136"/>
    <mergeCell ref="I132:I133"/>
    <mergeCell ref="J132:J133"/>
    <mergeCell ref="K132:K133"/>
    <mergeCell ref="L132:L133"/>
    <mergeCell ref="M132:M133"/>
    <mergeCell ref="N132:N133"/>
    <mergeCell ref="O132:O133"/>
    <mergeCell ref="P130:P131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P132:P133"/>
    <mergeCell ref="Q130:Q131"/>
    <mergeCell ref="R130:R131"/>
    <mergeCell ref="S130:S131"/>
    <mergeCell ref="T130:T131"/>
    <mergeCell ref="U130:U131"/>
    <mergeCell ref="A127:A131"/>
    <mergeCell ref="B127:B131"/>
    <mergeCell ref="C127:C131"/>
    <mergeCell ref="D127:D131"/>
    <mergeCell ref="E127:E131"/>
    <mergeCell ref="F127:F131"/>
    <mergeCell ref="U127:U128"/>
    <mergeCell ref="W135:W136"/>
    <mergeCell ref="Q135:Q136"/>
    <mergeCell ref="R135:R136"/>
    <mergeCell ref="S135:S136"/>
    <mergeCell ref="T135:T136"/>
    <mergeCell ref="U135:U136"/>
    <mergeCell ref="V135:V136"/>
    <mergeCell ref="V132:V133"/>
    <mergeCell ref="W132:W133"/>
    <mergeCell ref="Q132:Q133"/>
    <mergeCell ref="R132:R133"/>
    <mergeCell ref="S132:S133"/>
    <mergeCell ref="T132:T133"/>
    <mergeCell ref="U132:U133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5" orientation="landscape" copies="2" r:id="rId1"/>
  <headerFooter alignWithMargins="0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1A24-13C5-4FC1-BC2D-A7B3A3C7BD55}">
  <dimension ref="A1:IV508"/>
  <sheetViews>
    <sheetView view="pageBreakPreview" topLeftCell="A438" zoomScaleNormal="98" zoomScaleSheetLayoutView="100" workbookViewId="0">
      <selection activeCell="C507" sqref="C507"/>
    </sheetView>
  </sheetViews>
  <sheetFormatPr defaultColWidth="8.75" defaultRowHeight="14.25"/>
  <cols>
    <col min="1" max="1" width="8.375" style="135" customWidth="1"/>
    <col min="2" max="2" width="47.75" style="135" customWidth="1"/>
    <col min="3" max="3" width="10.25" style="135" customWidth="1"/>
    <col min="4" max="4" width="2" style="135" customWidth="1"/>
    <col min="5" max="5" width="12.5" style="135" customWidth="1"/>
    <col min="6" max="6" width="11.75" style="135" customWidth="1"/>
    <col min="7" max="7" width="12.75" style="135" customWidth="1"/>
    <col min="8" max="8" width="12.875" style="135" customWidth="1"/>
    <col min="9" max="9" width="12" style="135" customWidth="1"/>
    <col min="10" max="10" width="30.75" style="135" customWidth="1"/>
    <col min="257" max="257" width="8.375" customWidth="1"/>
    <col min="258" max="258" width="47.75" customWidth="1"/>
    <col min="259" max="259" width="10.25" customWidth="1"/>
    <col min="260" max="260" width="2" customWidth="1"/>
    <col min="261" max="261" width="12.5" customWidth="1"/>
    <col min="262" max="262" width="11.75" customWidth="1"/>
    <col min="263" max="263" width="12.75" customWidth="1"/>
    <col min="264" max="264" width="12.875" customWidth="1"/>
    <col min="265" max="265" width="12" customWidth="1"/>
    <col min="266" max="266" width="30.75" customWidth="1"/>
    <col min="513" max="513" width="8.375" customWidth="1"/>
    <col min="514" max="514" width="47.75" customWidth="1"/>
    <col min="515" max="515" width="10.25" customWidth="1"/>
    <col min="516" max="516" width="2" customWidth="1"/>
    <col min="517" max="517" width="12.5" customWidth="1"/>
    <col min="518" max="518" width="11.75" customWidth="1"/>
    <col min="519" max="519" width="12.75" customWidth="1"/>
    <col min="520" max="520" width="12.875" customWidth="1"/>
    <col min="521" max="521" width="12" customWidth="1"/>
    <col min="522" max="522" width="30.75" customWidth="1"/>
    <col min="769" max="769" width="8.375" customWidth="1"/>
    <col min="770" max="770" width="47.75" customWidth="1"/>
    <col min="771" max="771" width="10.25" customWidth="1"/>
    <col min="772" max="772" width="2" customWidth="1"/>
    <col min="773" max="773" width="12.5" customWidth="1"/>
    <col min="774" max="774" width="11.75" customWidth="1"/>
    <col min="775" max="775" width="12.75" customWidth="1"/>
    <col min="776" max="776" width="12.875" customWidth="1"/>
    <col min="777" max="777" width="12" customWidth="1"/>
    <col min="778" max="778" width="30.75" customWidth="1"/>
    <col min="1025" max="1025" width="8.375" customWidth="1"/>
    <col min="1026" max="1026" width="47.75" customWidth="1"/>
    <col min="1027" max="1027" width="10.25" customWidth="1"/>
    <col min="1028" max="1028" width="2" customWidth="1"/>
    <col min="1029" max="1029" width="12.5" customWidth="1"/>
    <col min="1030" max="1030" width="11.75" customWidth="1"/>
    <col min="1031" max="1031" width="12.75" customWidth="1"/>
    <col min="1032" max="1032" width="12.875" customWidth="1"/>
    <col min="1033" max="1033" width="12" customWidth="1"/>
    <col min="1034" max="1034" width="30.75" customWidth="1"/>
    <col min="1281" max="1281" width="8.375" customWidth="1"/>
    <col min="1282" max="1282" width="47.75" customWidth="1"/>
    <col min="1283" max="1283" width="10.25" customWidth="1"/>
    <col min="1284" max="1284" width="2" customWidth="1"/>
    <col min="1285" max="1285" width="12.5" customWidth="1"/>
    <col min="1286" max="1286" width="11.75" customWidth="1"/>
    <col min="1287" max="1287" width="12.75" customWidth="1"/>
    <col min="1288" max="1288" width="12.875" customWidth="1"/>
    <col min="1289" max="1289" width="12" customWidth="1"/>
    <col min="1290" max="1290" width="30.75" customWidth="1"/>
    <col min="1537" max="1537" width="8.375" customWidth="1"/>
    <col min="1538" max="1538" width="47.75" customWidth="1"/>
    <col min="1539" max="1539" width="10.25" customWidth="1"/>
    <col min="1540" max="1540" width="2" customWidth="1"/>
    <col min="1541" max="1541" width="12.5" customWidth="1"/>
    <col min="1542" max="1542" width="11.75" customWidth="1"/>
    <col min="1543" max="1543" width="12.75" customWidth="1"/>
    <col min="1544" max="1544" width="12.875" customWidth="1"/>
    <col min="1545" max="1545" width="12" customWidth="1"/>
    <col min="1546" max="1546" width="30.75" customWidth="1"/>
    <col min="1793" max="1793" width="8.375" customWidth="1"/>
    <col min="1794" max="1794" width="47.75" customWidth="1"/>
    <col min="1795" max="1795" width="10.25" customWidth="1"/>
    <col min="1796" max="1796" width="2" customWidth="1"/>
    <col min="1797" max="1797" width="12.5" customWidth="1"/>
    <col min="1798" max="1798" width="11.75" customWidth="1"/>
    <col min="1799" max="1799" width="12.75" customWidth="1"/>
    <col min="1800" max="1800" width="12.875" customWidth="1"/>
    <col min="1801" max="1801" width="12" customWidth="1"/>
    <col min="1802" max="1802" width="30.75" customWidth="1"/>
    <col min="2049" max="2049" width="8.375" customWidth="1"/>
    <col min="2050" max="2050" width="47.75" customWidth="1"/>
    <col min="2051" max="2051" width="10.25" customWidth="1"/>
    <col min="2052" max="2052" width="2" customWidth="1"/>
    <col min="2053" max="2053" width="12.5" customWidth="1"/>
    <col min="2054" max="2054" width="11.75" customWidth="1"/>
    <col min="2055" max="2055" width="12.75" customWidth="1"/>
    <col min="2056" max="2056" width="12.875" customWidth="1"/>
    <col min="2057" max="2057" width="12" customWidth="1"/>
    <col min="2058" max="2058" width="30.75" customWidth="1"/>
    <col min="2305" max="2305" width="8.375" customWidth="1"/>
    <col min="2306" max="2306" width="47.75" customWidth="1"/>
    <col min="2307" max="2307" width="10.25" customWidth="1"/>
    <col min="2308" max="2308" width="2" customWidth="1"/>
    <col min="2309" max="2309" width="12.5" customWidth="1"/>
    <col min="2310" max="2310" width="11.75" customWidth="1"/>
    <col min="2311" max="2311" width="12.75" customWidth="1"/>
    <col min="2312" max="2312" width="12.875" customWidth="1"/>
    <col min="2313" max="2313" width="12" customWidth="1"/>
    <col min="2314" max="2314" width="30.75" customWidth="1"/>
    <col min="2561" max="2561" width="8.375" customWidth="1"/>
    <col min="2562" max="2562" width="47.75" customWidth="1"/>
    <col min="2563" max="2563" width="10.25" customWidth="1"/>
    <col min="2564" max="2564" width="2" customWidth="1"/>
    <col min="2565" max="2565" width="12.5" customWidth="1"/>
    <col min="2566" max="2566" width="11.75" customWidth="1"/>
    <col min="2567" max="2567" width="12.75" customWidth="1"/>
    <col min="2568" max="2568" width="12.875" customWidth="1"/>
    <col min="2569" max="2569" width="12" customWidth="1"/>
    <col min="2570" max="2570" width="30.75" customWidth="1"/>
    <col min="2817" max="2817" width="8.375" customWidth="1"/>
    <col min="2818" max="2818" width="47.75" customWidth="1"/>
    <col min="2819" max="2819" width="10.25" customWidth="1"/>
    <col min="2820" max="2820" width="2" customWidth="1"/>
    <col min="2821" max="2821" width="12.5" customWidth="1"/>
    <col min="2822" max="2822" width="11.75" customWidth="1"/>
    <col min="2823" max="2823" width="12.75" customWidth="1"/>
    <col min="2824" max="2824" width="12.875" customWidth="1"/>
    <col min="2825" max="2825" width="12" customWidth="1"/>
    <col min="2826" max="2826" width="30.75" customWidth="1"/>
    <col min="3073" max="3073" width="8.375" customWidth="1"/>
    <col min="3074" max="3074" width="47.75" customWidth="1"/>
    <col min="3075" max="3075" width="10.25" customWidth="1"/>
    <col min="3076" max="3076" width="2" customWidth="1"/>
    <col min="3077" max="3077" width="12.5" customWidth="1"/>
    <col min="3078" max="3078" width="11.75" customWidth="1"/>
    <col min="3079" max="3079" width="12.75" customWidth="1"/>
    <col min="3080" max="3080" width="12.875" customWidth="1"/>
    <col min="3081" max="3081" width="12" customWidth="1"/>
    <col min="3082" max="3082" width="30.75" customWidth="1"/>
    <col min="3329" max="3329" width="8.375" customWidth="1"/>
    <col min="3330" max="3330" width="47.75" customWidth="1"/>
    <col min="3331" max="3331" width="10.25" customWidth="1"/>
    <col min="3332" max="3332" width="2" customWidth="1"/>
    <col min="3333" max="3333" width="12.5" customWidth="1"/>
    <col min="3334" max="3334" width="11.75" customWidth="1"/>
    <col min="3335" max="3335" width="12.75" customWidth="1"/>
    <col min="3336" max="3336" width="12.875" customWidth="1"/>
    <col min="3337" max="3337" width="12" customWidth="1"/>
    <col min="3338" max="3338" width="30.75" customWidth="1"/>
    <col min="3585" max="3585" width="8.375" customWidth="1"/>
    <col min="3586" max="3586" width="47.75" customWidth="1"/>
    <col min="3587" max="3587" width="10.25" customWidth="1"/>
    <col min="3588" max="3588" width="2" customWidth="1"/>
    <col min="3589" max="3589" width="12.5" customWidth="1"/>
    <col min="3590" max="3590" width="11.75" customWidth="1"/>
    <col min="3591" max="3591" width="12.75" customWidth="1"/>
    <col min="3592" max="3592" width="12.875" customWidth="1"/>
    <col min="3593" max="3593" width="12" customWidth="1"/>
    <col min="3594" max="3594" width="30.75" customWidth="1"/>
    <col min="3841" max="3841" width="8.375" customWidth="1"/>
    <col min="3842" max="3842" width="47.75" customWidth="1"/>
    <col min="3843" max="3843" width="10.25" customWidth="1"/>
    <col min="3844" max="3844" width="2" customWidth="1"/>
    <col min="3845" max="3845" width="12.5" customWidth="1"/>
    <col min="3846" max="3846" width="11.75" customWidth="1"/>
    <col min="3847" max="3847" width="12.75" customWidth="1"/>
    <col min="3848" max="3848" width="12.875" customWidth="1"/>
    <col min="3849" max="3849" width="12" customWidth="1"/>
    <col min="3850" max="3850" width="30.75" customWidth="1"/>
    <col min="4097" max="4097" width="8.375" customWidth="1"/>
    <col min="4098" max="4098" width="47.75" customWidth="1"/>
    <col min="4099" max="4099" width="10.25" customWidth="1"/>
    <col min="4100" max="4100" width="2" customWidth="1"/>
    <col min="4101" max="4101" width="12.5" customWidth="1"/>
    <col min="4102" max="4102" width="11.75" customWidth="1"/>
    <col min="4103" max="4103" width="12.75" customWidth="1"/>
    <col min="4104" max="4104" width="12.875" customWidth="1"/>
    <col min="4105" max="4105" width="12" customWidth="1"/>
    <col min="4106" max="4106" width="30.75" customWidth="1"/>
    <col min="4353" max="4353" width="8.375" customWidth="1"/>
    <col min="4354" max="4354" width="47.75" customWidth="1"/>
    <col min="4355" max="4355" width="10.25" customWidth="1"/>
    <col min="4356" max="4356" width="2" customWidth="1"/>
    <col min="4357" max="4357" width="12.5" customWidth="1"/>
    <col min="4358" max="4358" width="11.75" customWidth="1"/>
    <col min="4359" max="4359" width="12.75" customWidth="1"/>
    <col min="4360" max="4360" width="12.875" customWidth="1"/>
    <col min="4361" max="4361" width="12" customWidth="1"/>
    <col min="4362" max="4362" width="30.75" customWidth="1"/>
    <col min="4609" max="4609" width="8.375" customWidth="1"/>
    <col min="4610" max="4610" width="47.75" customWidth="1"/>
    <col min="4611" max="4611" width="10.25" customWidth="1"/>
    <col min="4612" max="4612" width="2" customWidth="1"/>
    <col min="4613" max="4613" width="12.5" customWidth="1"/>
    <col min="4614" max="4614" width="11.75" customWidth="1"/>
    <col min="4615" max="4615" width="12.75" customWidth="1"/>
    <col min="4616" max="4616" width="12.875" customWidth="1"/>
    <col min="4617" max="4617" width="12" customWidth="1"/>
    <col min="4618" max="4618" width="30.75" customWidth="1"/>
    <col min="4865" max="4865" width="8.375" customWidth="1"/>
    <col min="4866" max="4866" width="47.75" customWidth="1"/>
    <col min="4867" max="4867" width="10.25" customWidth="1"/>
    <col min="4868" max="4868" width="2" customWidth="1"/>
    <col min="4869" max="4869" width="12.5" customWidth="1"/>
    <col min="4870" max="4870" width="11.75" customWidth="1"/>
    <col min="4871" max="4871" width="12.75" customWidth="1"/>
    <col min="4872" max="4872" width="12.875" customWidth="1"/>
    <col min="4873" max="4873" width="12" customWidth="1"/>
    <col min="4874" max="4874" width="30.75" customWidth="1"/>
    <col min="5121" max="5121" width="8.375" customWidth="1"/>
    <col min="5122" max="5122" width="47.75" customWidth="1"/>
    <col min="5123" max="5123" width="10.25" customWidth="1"/>
    <col min="5124" max="5124" width="2" customWidth="1"/>
    <col min="5125" max="5125" width="12.5" customWidth="1"/>
    <col min="5126" max="5126" width="11.75" customWidth="1"/>
    <col min="5127" max="5127" width="12.75" customWidth="1"/>
    <col min="5128" max="5128" width="12.875" customWidth="1"/>
    <col min="5129" max="5129" width="12" customWidth="1"/>
    <col min="5130" max="5130" width="30.75" customWidth="1"/>
    <col min="5377" max="5377" width="8.375" customWidth="1"/>
    <col min="5378" max="5378" width="47.75" customWidth="1"/>
    <col min="5379" max="5379" width="10.25" customWidth="1"/>
    <col min="5380" max="5380" width="2" customWidth="1"/>
    <col min="5381" max="5381" width="12.5" customWidth="1"/>
    <col min="5382" max="5382" width="11.75" customWidth="1"/>
    <col min="5383" max="5383" width="12.75" customWidth="1"/>
    <col min="5384" max="5384" width="12.875" customWidth="1"/>
    <col min="5385" max="5385" width="12" customWidth="1"/>
    <col min="5386" max="5386" width="30.75" customWidth="1"/>
    <col min="5633" max="5633" width="8.375" customWidth="1"/>
    <col min="5634" max="5634" width="47.75" customWidth="1"/>
    <col min="5635" max="5635" width="10.25" customWidth="1"/>
    <col min="5636" max="5636" width="2" customWidth="1"/>
    <col min="5637" max="5637" width="12.5" customWidth="1"/>
    <col min="5638" max="5638" width="11.75" customWidth="1"/>
    <col min="5639" max="5639" width="12.75" customWidth="1"/>
    <col min="5640" max="5640" width="12.875" customWidth="1"/>
    <col min="5641" max="5641" width="12" customWidth="1"/>
    <col min="5642" max="5642" width="30.75" customWidth="1"/>
    <col min="5889" max="5889" width="8.375" customWidth="1"/>
    <col min="5890" max="5890" width="47.75" customWidth="1"/>
    <col min="5891" max="5891" width="10.25" customWidth="1"/>
    <col min="5892" max="5892" width="2" customWidth="1"/>
    <col min="5893" max="5893" width="12.5" customWidth="1"/>
    <col min="5894" max="5894" width="11.75" customWidth="1"/>
    <col min="5895" max="5895" width="12.75" customWidth="1"/>
    <col min="5896" max="5896" width="12.875" customWidth="1"/>
    <col min="5897" max="5897" width="12" customWidth="1"/>
    <col min="5898" max="5898" width="30.75" customWidth="1"/>
    <col min="6145" max="6145" width="8.375" customWidth="1"/>
    <col min="6146" max="6146" width="47.75" customWidth="1"/>
    <col min="6147" max="6147" width="10.25" customWidth="1"/>
    <col min="6148" max="6148" width="2" customWidth="1"/>
    <col min="6149" max="6149" width="12.5" customWidth="1"/>
    <col min="6150" max="6150" width="11.75" customWidth="1"/>
    <col min="6151" max="6151" width="12.75" customWidth="1"/>
    <col min="6152" max="6152" width="12.875" customWidth="1"/>
    <col min="6153" max="6153" width="12" customWidth="1"/>
    <col min="6154" max="6154" width="30.75" customWidth="1"/>
    <col min="6401" max="6401" width="8.375" customWidth="1"/>
    <col min="6402" max="6402" width="47.75" customWidth="1"/>
    <col min="6403" max="6403" width="10.25" customWidth="1"/>
    <col min="6404" max="6404" width="2" customWidth="1"/>
    <col min="6405" max="6405" width="12.5" customWidth="1"/>
    <col min="6406" max="6406" width="11.75" customWidth="1"/>
    <col min="6407" max="6407" width="12.75" customWidth="1"/>
    <col min="6408" max="6408" width="12.875" customWidth="1"/>
    <col min="6409" max="6409" width="12" customWidth="1"/>
    <col min="6410" max="6410" width="30.75" customWidth="1"/>
    <col min="6657" max="6657" width="8.375" customWidth="1"/>
    <col min="6658" max="6658" width="47.75" customWidth="1"/>
    <col min="6659" max="6659" width="10.25" customWidth="1"/>
    <col min="6660" max="6660" width="2" customWidth="1"/>
    <col min="6661" max="6661" width="12.5" customWidth="1"/>
    <col min="6662" max="6662" width="11.75" customWidth="1"/>
    <col min="6663" max="6663" width="12.75" customWidth="1"/>
    <col min="6664" max="6664" width="12.875" customWidth="1"/>
    <col min="6665" max="6665" width="12" customWidth="1"/>
    <col min="6666" max="6666" width="30.75" customWidth="1"/>
    <col min="6913" max="6913" width="8.375" customWidth="1"/>
    <col min="6914" max="6914" width="47.75" customWidth="1"/>
    <col min="6915" max="6915" width="10.25" customWidth="1"/>
    <col min="6916" max="6916" width="2" customWidth="1"/>
    <col min="6917" max="6917" width="12.5" customWidth="1"/>
    <col min="6918" max="6918" width="11.75" customWidth="1"/>
    <col min="6919" max="6919" width="12.75" customWidth="1"/>
    <col min="6920" max="6920" width="12.875" customWidth="1"/>
    <col min="6921" max="6921" width="12" customWidth="1"/>
    <col min="6922" max="6922" width="30.75" customWidth="1"/>
    <col min="7169" max="7169" width="8.375" customWidth="1"/>
    <col min="7170" max="7170" width="47.75" customWidth="1"/>
    <col min="7171" max="7171" width="10.25" customWidth="1"/>
    <col min="7172" max="7172" width="2" customWidth="1"/>
    <col min="7173" max="7173" width="12.5" customWidth="1"/>
    <col min="7174" max="7174" width="11.75" customWidth="1"/>
    <col min="7175" max="7175" width="12.75" customWidth="1"/>
    <col min="7176" max="7176" width="12.875" customWidth="1"/>
    <col min="7177" max="7177" width="12" customWidth="1"/>
    <col min="7178" max="7178" width="30.75" customWidth="1"/>
    <col min="7425" max="7425" width="8.375" customWidth="1"/>
    <col min="7426" max="7426" width="47.75" customWidth="1"/>
    <col min="7427" max="7427" width="10.25" customWidth="1"/>
    <col min="7428" max="7428" width="2" customWidth="1"/>
    <col min="7429" max="7429" width="12.5" customWidth="1"/>
    <col min="7430" max="7430" width="11.75" customWidth="1"/>
    <col min="7431" max="7431" width="12.75" customWidth="1"/>
    <col min="7432" max="7432" width="12.875" customWidth="1"/>
    <col min="7433" max="7433" width="12" customWidth="1"/>
    <col min="7434" max="7434" width="30.75" customWidth="1"/>
    <col min="7681" max="7681" width="8.375" customWidth="1"/>
    <col min="7682" max="7682" width="47.75" customWidth="1"/>
    <col min="7683" max="7683" width="10.25" customWidth="1"/>
    <col min="7684" max="7684" width="2" customWidth="1"/>
    <col min="7685" max="7685" width="12.5" customWidth="1"/>
    <col min="7686" max="7686" width="11.75" customWidth="1"/>
    <col min="7687" max="7687" width="12.75" customWidth="1"/>
    <col min="7688" max="7688" width="12.875" customWidth="1"/>
    <col min="7689" max="7689" width="12" customWidth="1"/>
    <col min="7690" max="7690" width="30.75" customWidth="1"/>
    <col min="7937" max="7937" width="8.375" customWidth="1"/>
    <col min="7938" max="7938" width="47.75" customWidth="1"/>
    <col min="7939" max="7939" width="10.25" customWidth="1"/>
    <col min="7940" max="7940" width="2" customWidth="1"/>
    <col min="7941" max="7941" width="12.5" customWidth="1"/>
    <col min="7942" max="7942" width="11.75" customWidth="1"/>
    <col min="7943" max="7943" width="12.75" customWidth="1"/>
    <col min="7944" max="7944" width="12.875" customWidth="1"/>
    <col min="7945" max="7945" width="12" customWidth="1"/>
    <col min="7946" max="7946" width="30.75" customWidth="1"/>
    <col min="8193" max="8193" width="8.375" customWidth="1"/>
    <col min="8194" max="8194" width="47.75" customWidth="1"/>
    <col min="8195" max="8195" width="10.25" customWidth="1"/>
    <col min="8196" max="8196" width="2" customWidth="1"/>
    <col min="8197" max="8197" width="12.5" customWidth="1"/>
    <col min="8198" max="8198" width="11.75" customWidth="1"/>
    <col min="8199" max="8199" width="12.75" customWidth="1"/>
    <col min="8200" max="8200" width="12.875" customWidth="1"/>
    <col min="8201" max="8201" width="12" customWidth="1"/>
    <col min="8202" max="8202" width="30.75" customWidth="1"/>
    <col min="8449" max="8449" width="8.375" customWidth="1"/>
    <col min="8450" max="8450" width="47.75" customWidth="1"/>
    <col min="8451" max="8451" width="10.25" customWidth="1"/>
    <col min="8452" max="8452" width="2" customWidth="1"/>
    <col min="8453" max="8453" width="12.5" customWidth="1"/>
    <col min="8454" max="8454" width="11.75" customWidth="1"/>
    <col min="8455" max="8455" width="12.75" customWidth="1"/>
    <col min="8456" max="8456" width="12.875" customWidth="1"/>
    <col min="8457" max="8457" width="12" customWidth="1"/>
    <col min="8458" max="8458" width="30.75" customWidth="1"/>
    <col min="8705" max="8705" width="8.375" customWidth="1"/>
    <col min="8706" max="8706" width="47.75" customWidth="1"/>
    <col min="8707" max="8707" width="10.25" customWidth="1"/>
    <col min="8708" max="8708" width="2" customWidth="1"/>
    <col min="8709" max="8709" width="12.5" customWidth="1"/>
    <col min="8710" max="8710" width="11.75" customWidth="1"/>
    <col min="8711" max="8711" width="12.75" customWidth="1"/>
    <col min="8712" max="8712" width="12.875" customWidth="1"/>
    <col min="8713" max="8713" width="12" customWidth="1"/>
    <col min="8714" max="8714" width="30.75" customWidth="1"/>
    <col min="8961" max="8961" width="8.375" customWidth="1"/>
    <col min="8962" max="8962" width="47.75" customWidth="1"/>
    <col min="8963" max="8963" width="10.25" customWidth="1"/>
    <col min="8964" max="8964" width="2" customWidth="1"/>
    <col min="8965" max="8965" width="12.5" customWidth="1"/>
    <col min="8966" max="8966" width="11.75" customWidth="1"/>
    <col min="8967" max="8967" width="12.75" customWidth="1"/>
    <col min="8968" max="8968" width="12.875" customWidth="1"/>
    <col min="8969" max="8969" width="12" customWidth="1"/>
    <col min="8970" max="8970" width="30.75" customWidth="1"/>
    <col min="9217" max="9217" width="8.375" customWidth="1"/>
    <col min="9218" max="9218" width="47.75" customWidth="1"/>
    <col min="9219" max="9219" width="10.25" customWidth="1"/>
    <col min="9220" max="9220" width="2" customWidth="1"/>
    <col min="9221" max="9221" width="12.5" customWidth="1"/>
    <col min="9222" max="9222" width="11.75" customWidth="1"/>
    <col min="9223" max="9223" width="12.75" customWidth="1"/>
    <col min="9224" max="9224" width="12.875" customWidth="1"/>
    <col min="9225" max="9225" width="12" customWidth="1"/>
    <col min="9226" max="9226" width="30.75" customWidth="1"/>
    <col min="9473" max="9473" width="8.375" customWidth="1"/>
    <col min="9474" max="9474" width="47.75" customWidth="1"/>
    <col min="9475" max="9475" width="10.25" customWidth="1"/>
    <col min="9476" max="9476" width="2" customWidth="1"/>
    <col min="9477" max="9477" width="12.5" customWidth="1"/>
    <col min="9478" max="9478" width="11.75" customWidth="1"/>
    <col min="9479" max="9479" width="12.75" customWidth="1"/>
    <col min="9480" max="9480" width="12.875" customWidth="1"/>
    <col min="9481" max="9481" width="12" customWidth="1"/>
    <col min="9482" max="9482" width="30.75" customWidth="1"/>
    <col min="9729" max="9729" width="8.375" customWidth="1"/>
    <col min="9730" max="9730" width="47.75" customWidth="1"/>
    <col min="9731" max="9731" width="10.25" customWidth="1"/>
    <col min="9732" max="9732" width="2" customWidth="1"/>
    <col min="9733" max="9733" width="12.5" customWidth="1"/>
    <col min="9734" max="9734" width="11.75" customWidth="1"/>
    <col min="9735" max="9735" width="12.75" customWidth="1"/>
    <col min="9736" max="9736" width="12.875" customWidth="1"/>
    <col min="9737" max="9737" width="12" customWidth="1"/>
    <col min="9738" max="9738" width="30.75" customWidth="1"/>
    <col min="9985" max="9985" width="8.375" customWidth="1"/>
    <col min="9986" max="9986" width="47.75" customWidth="1"/>
    <col min="9987" max="9987" width="10.25" customWidth="1"/>
    <col min="9988" max="9988" width="2" customWidth="1"/>
    <col min="9989" max="9989" width="12.5" customWidth="1"/>
    <col min="9990" max="9990" width="11.75" customWidth="1"/>
    <col min="9991" max="9991" width="12.75" customWidth="1"/>
    <col min="9992" max="9992" width="12.875" customWidth="1"/>
    <col min="9993" max="9993" width="12" customWidth="1"/>
    <col min="9994" max="9994" width="30.75" customWidth="1"/>
    <col min="10241" max="10241" width="8.375" customWidth="1"/>
    <col min="10242" max="10242" width="47.75" customWidth="1"/>
    <col min="10243" max="10243" width="10.25" customWidth="1"/>
    <col min="10244" max="10244" width="2" customWidth="1"/>
    <col min="10245" max="10245" width="12.5" customWidth="1"/>
    <col min="10246" max="10246" width="11.75" customWidth="1"/>
    <col min="10247" max="10247" width="12.75" customWidth="1"/>
    <col min="10248" max="10248" width="12.875" customWidth="1"/>
    <col min="10249" max="10249" width="12" customWidth="1"/>
    <col min="10250" max="10250" width="30.75" customWidth="1"/>
    <col min="10497" max="10497" width="8.375" customWidth="1"/>
    <col min="10498" max="10498" width="47.75" customWidth="1"/>
    <col min="10499" max="10499" width="10.25" customWidth="1"/>
    <col min="10500" max="10500" width="2" customWidth="1"/>
    <col min="10501" max="10501" width="12.5" customWidth="1"/>
    <col min="10502" max="10502" width="11.75" customWidth="1"/>
    <col min="10503" max="10503" width="12.75" customWidth="1"/>
    <col min="10504" max="10504" width="12.875" customWidth="1"/>
    <col min="10505" max="10505" width="12" customWidth="1"/>
    <col min="10506" max="10506" width="30.75" customWidth="1"/>
    <col min="10753" max="10753" width="8.375" customWidth="1"/>
    <col min="10754" max="10754" width="47.75" customWidth="1"/>
    <col min="10755" max="10755" width="10.25" customWidth="1"/>
    <col min="10756" max="10756" width="2" customWidth="1"/>
    <col min="10757" max="10757" width="12.5" customWidth="1"/>
    <col min="10758" max="10758" width="11.75" customWidth="1"/>
    <col min="10759" max="10759" width="12.75" customWidth="1"/>
    <col min="10760" max="10760" width="12.875" customWidth="1"/>
    <col min="10761" max="10761" width="12" customWidth="1"/>
    <col min="10762" max="10762" width="30.75" customWidth="1"/>
    <col min="11009" max="11009" width="8.375" customWidth="1"/>
    <col min="11010" max="11010" width="47.75" customWidth="1"/>
    <col min="11011" max="11011" width="10.25" customWidth="1"/>
    <col min="11012" max="11012" width="2" customWidth="1"/>
    <col min="11013" max="11013" width="12.5" customWidth="1"/>
    <col min="11014" max="11014" width="11.75" customWidth="1"/>
    <col min="11015" max="11015" width="12.75" customWidth="1"/>
    <col min="11016" max="11016" width="12.875" customWidth="1"/>
    <col min="11017" max="11017" width="12" customWidth="1"/>
    <col min="11018" max="11018" width="30.75" customWidth="1"/>
    <col min="11265" max="11265" width="8.375" customWidth="1"/>
    <col min="11266" max="11266" width="47.75" customWidth="1"/>
    <col min="11267" max="11267" width="10.25" customWidth="1"/>
    <col min="11268" max="11268" width="2" customWidth="1"/>
    <col min="11269" max="11269" width="12.5" customWidth="1"/>
    <col min="11270" max="11270" width="11.75" customWidth="1"/>
    <col min="11271" max="11271" width="12.75" customWidth="1"/>
    <col min="11272" max="11272" width="12.875" customWidth="1"/>
    <col min="11273" max="11273" width="12" customWidth="1"/>
    <col min="11274" max="11274" width="30.75" customWidth="1"/>
    <col min="11521" max="11521" width="8.375" customWidth="1"/>
    <col min="11522" max="11522" width="47.75" customWidth="1"/>
    <col min="11523" max="11523" width="10.25" customWidth="1"/>
    <col min="11524" max="11524" width="2" customWidth="1"/>
    <col min="11525" max="11525" width="12.5" customWidth="1"/>
    <col min="11526" max="11526" width="11.75" customWidth="1"/>
    <col min="11527" max="11527" width="12.75" customWidth="1"/>
    <col min="11528" max="11528" width="12.875" customWidth="1"/>
    <col min="11529" max="11529" width="12" customWidth="1"/>
    <col min="11530" max="11530" width="30.75" customWidth="1"/>
    <col min="11777" max="11777" width="8.375" customWidth="1"/>
    <col min="11778" max="11778" width="47.75" customWidth="1"/>
    <col min="11779" max="11779" width="10.25" customWidth="1"/>
    <col min="11780" max="11780" width="2" customWidth="1"/>
    <col min="11781" max="11781" width="12.5" customWidth="1"/>
    <col min="11782" max="11782" width="11.75" customWidth="1"/>
    <col min="11783" max="11783" width="12.75" customWidth="1"/>
    <col min="11784" max="11784" width="12.875" customWidth="1"/>
    <col min="11785" max="11785" width="12" customWidth="1"/>
    <col min="11786" max="11786" width="30.75" customWidth="1"/>
    <col min="12033" max="12033" width="8.375" customWidth="1"/>
    <col min="12034" max="12034" width="47.75" customWidth="1"/>
    <col min="12035" max="12035" width="10.25" customWidth="1"/>
    <col min="12036" max="12036" width="2" customWidth="1"/>
    <col min="12037" max="12037" width="12.5" customWidth="1"/>
    <col min="12038" max="12038" width="11.75" customWidth="1"/>
    <col min="12039" max="12039" width="12.75" customWidth="1"/>
    <col min="12040" max="12040" width="12.875" customWidth="1"/>
    <col min="12041" max="12041" width="12" customWidth="1"/>
    <col min="12042" max="12042" width="30.75" customWidth="1"/>
    <col min="12289" max="12289" width="8.375" customWidth="1"/>
    <col min="12290" max="12290" width="47.75" customWidth="1"/>
    <col min="12291" max="12291" width="10.25" customWidth="1"/>
    <col min="12292" max="12292" width="2" customWidth="1"/>
    <col min="12293" max="12293" width="12.5" customWidth="1"/>
    <col min="12294" max="12294" width="11.75" customWidth="1"/>
    <col min="12295" max="12295" width="12.75" customWidth="1"/>
    <col min="12296" max="12296" width="12.875" customWidth="1"/>
    <col min="12297" max="12297" width="12" customWidth="1"/>
    <col min="12298" max="12298" width="30.75" customWidth="1"/>
    <col min="12545" max="12545" width="8.375" customWidth="1"/>
    <col min="12546" max="12546" width="47.75" customWidth="1"/>
    <col min="12547" max="12547" width="10.25" customWidth="1"/>
    <col min="12548" max="12548" width="2" customWidth="1"/>
    <col min="12549" max="12549" width="12.5" customWidth="1"/>
    <col min="12550" max="12550" width="11.75" customWidth="1"/>
    <col min="12551" max="12551" width="12.75" customWidth="1"/>
    <col min="12552" max="12552" width="12.875" customWidth="1"/>
    <col min="12553" max="12553" width="12" customWidth="1"/>
    <col min="12554" max="12554" width="30.75" customWidth="1"/>
    <col min="12801" max="12801" width="8.375" customWidth="1"/>
    <col min="12802" max="12802" width="47.75" customWidth="1"/>
    <col min="12803" max="12803" width="10.25" customWidth="1"/>
    <col min="12804" max="12804" width="2" customWidth="1"/>
    <col min="12805" max="12805" width="12.5" customWidth="1"/>
    <col min="12806" max="12806" width="11.75" customWidth="1"/>
    <col min="12807" max="12807" width="12.75" customWidth="1"/>
    <col min="12808" max="12808" width="12.875" customWidth="1"/>
    <col min="12809" max="12809" width="12" customWidth="1"/>
    <col min="12810" max="12810" width="30.75" customWidth="1"/>
    <col min="13057" max="13057" width="8.375" customWidth="1"/>
    <col min="13058" max="13058" width="47.75" customWidth="1"/>
    <col min="13059" max="13059" width="10.25" customWidth="1"/>
    <col min="13060" max="13060" width="2" customWidth="1"/>
    <col min="13061" max="13061" width="12.5" customWidth="1"/>
    <col min="13062" max="13062" width="11.75" customWidth="1"/>
    <col min="13063" max="13063" width="12.75" customWidth="1"/>
    <col min="13064" max="13064" width="12.875" customWidth="1"/>
    <col min="13065" max="13065" width="12" customWidth="1"/>
    <col min="13066" max="13066" width="30.75" customWidth="1"/>
    <col min="13313" max="13313" width="8.375" customWidth="1"/>
    <col min="13314" max="13314" width="47.75" customWidth="1"/>
    <col min="13315" max="13315" width="10.25" customWidth="1"/>
    <col min="13316" max="13316" width="2" customWidth="1"/>
    <col min="13317" max="13317" width="12.5" customWidth="1"/>
    <col min="13318" max="13318" width="11.75" customWidth="1"/>
    <col min="13319" max="13319" width="12.75" customWidth="1"/>
    <col min="13320" max="13320" width="12.875" customWidth="1"/>
    <col min="13321" max="13321" width="12" customWidth="1"/>
    <col min="13322" max="13322" width="30.75" customWidth="1"/>
    <col min="13569" max="13569" width="8.375" customWidth="1"/>
    <col min="13570" max="13570" width="47.75" customWidth="1"/>
    <col min="13571" max="13571" width="10.25" customWidth="1"/>
    <col min="13572" max="13572" width="2" customWidth="1"/>
    <col min="13573" max="13573" width="12.5" customWidth="1"/>
    <col min="13574" max="13574" width="11.75" customWidth="1"/>
    <col min="13575" max="13575" width="12.75" customWidth="1"/>
    <col min="13576" max="13576" width="12.875" customWidth="1"/>
    <col min="13577" max="13577" width="12" customWidth="1"/>
    <col min="13578" max="13578" width="30.75" customWidth="1"/>
    <col min="13825" max="13825" width="8.375" customWidth="1"/>
    <col min="13826" max="13826" width="47.75" customWidth="1"/>
    <col min="13827" max="13827" width="10.25" customWidth="1"/>
    <col min="13828" max="13828" width="2" customWidth="1"/>
    <col min="13829" max="13829" width="12.5" customWidth="1"/>
    <col min="13830" max="13830" width="11.75" customWidth="1"/>
    <col min="13831" max="13831" width="12.75" customWidth="1"/>
    <col min="13832" max="13832" width="12.875" customWidth="1"/>
    <col min="13833" max="13833" width="12" customWidth="1"/>
    <col min="13834" max="13834" width="30.75" customWidth="1"/>
    <col min="14081" max="14081" width="8.375" customWidth="1"/>
    <col min="14082" max="14082" width="47.75" customWidth="1"/>
    <col min="14083" max="14083" width="10.25" customWidth="1"/>
    <col min="14084" max="14084" width="2" customWidth="1"/>
    <col min="14085" max="14085" width="12.5" customWidth="1"/>
    <col min="14086" max="14086" width="11.75" customWidth="1"/>
    <col min="14087" max="14087" width="12.75" customWidth="1"/>
    <col min="14088" max="14088" width="12.875" customWidth="1"/>
    <col min="14089" max="14089" width="12" customWidth="1"/>
    <col min="14090" max="14090" width="30.75" customWidth="1"/>
    <col min="14337" max="14337" width="8.375" customWidth="1"/>
    <col min="14338" max="14338" width="47.75" customWidth="1"/>
    <col min="14339" max="14339" width="10.25" customWidth="1"/>
    <col min="14340" max="14340" width="2" customWidth="1"/>
    <col min="14341" max="14341" width="12.5" customWidth="1"/>
    <col min="14342" max="14342" width="11.75" customWidth="1"/>
    <col min="14343" max="14343" width="12.75" customWidth="1"/>
    <col min="14344" max="14344" width="12.875" customWidth="1"/>
    <col min="14345" max="14345" width="12" customWidth="1"/>
    <col min="14346" max="14346" width="30.75" customWidth="1"/>
    <col min="14593" max="14593" width="8.375" customWidth="1"/>
    <col min="14594" max="14594" width="47.75" customWidth="1"/>
    <col min="14595" max="14595" width="10.25" customWidth="1"/>
    <col min="14596" max="14596" width="2" customWidth="1"/>
    <col min="14597" max="14597" width="12.5" customWidth="1"/>
    <col min="14598" max="14598" width="11.75" customWidth="1"/>
    <col min="14599" max="14599" width="12.75" customWidth="1"/>
    <col min="14600" max="14600" width="12.875" customWidth="1"/>
    <col min="14601" max="14601" width="12" customWidth="1"/>
    <col min="14602" max="14602" width="30.75" customWidth="1"/>
    <col min="14849" max="14849" width="8.375" customWidth="1"/>
    <col min="14850" max="14850" width="47.75" customWidth="1"/>
    <col min="14851" max="14851" width="10.25" customWidth="1"/>
    <col min="14852" max="14852" width="2" customWidth="1"/>
    <col min="14853" max="14853" width="12.5" customWidth="1"/>
    <col min="14854" max="14854" width="11.75" customWidth="1"/>
    <col min="14855" max="14855" width="12.75" customWidth="1"/>
    <col min="14856" max="14856" width="12.875" customWidth="1"/>
    <col min="14857" max="14857" width="12" customWidth="1"/>
    <col min="14858" max="14858" width="30.75" customWidth="1"/>
    <col min="15105" max="15105" width="8.375" customWidth="1"/>
    <col min="15106" max="15106" width="47.75" customWidth="1"/>
    <col min="15107" max="15107" width="10.25" customWidth="1"/>
    <col min="15108" max="15108" width="2" customWidth="1"/>
    <col min="15109" max="15109" width="12.5" customWidth="1"/>
    <col min="15110" max="15110" width="11.75" customWidth="1"/>
    <col min="15111" max="15111" width="12.75" customWidth="1"/>
    <col min="15112" max="15112" width="12.875" customWidth="1"/>
    <col min="15113" max="15113" width="12" customWidth="1"/>
    <col min="15114" max="15114" width="30.75" customWidth="1"/>
    <col min="15361" max="15361" width="8.375" customWidth="1"/>
    <col min="15362" max="15362" width="47.75" customWidth="1"/>
    <col min="15363" max="15363" width="10.25" customWidth="1"/>
    <col min="15364" max="15364" width="2" customWidth="1"/>
    <col min="15365" max="15365" width="12.5" customWidth="1"/>
    <col min="15366" max="15366" width="11.75" customWidth="1"/>
    <col min="15367" max="15367" width="12.75" customWidth="1"/>
    <col min="15368" max="15368" width="12.875" customWidth="1"/>
    <col min="15369" max="15369" width="12" customWidth="1"/>
    <col min="15370" max="15370" width="30.75" customWidth="1"/>
    <col min="15617" max="15617" width="8.375" customWidth="1"/>
    <col min="15618" max="15618" width="47.75" customWidth="1"/>
    <col min="15619" max="15619" width="10.25" customWidth="1"/>
    <col min="15620" max="15620" width="2" customWidth="1"/>
    <col min="15621" max="15621" width="12.5" customWidth="1"/>
    <col min="15622" max="15622" width="11.75" customWidth="1"/>
    <col min="15623" max="15623" width="12.75" customWidth="1"/>
    <col min="15624" max="15624" width="12.875" customWidth="1"/>
    <col min="15625" max="15625" width="12" customWidth="1"/>
    <col min="15626" max="15626" width="30.75" customWidth="1"/>
    <col min="15873" max="15873" width="8.375" customWidth="1"/>
    <col min="15874" max="15874" width="47.75" customWidth="1"/>
    <col min="15875" max="15875" width="10.25" customWidth="1"/>
    <col min="15876" max="15876" width="2" customWidth="1"/>
    <col min="15877" max="15877" width="12.5" customWidth="1"/>
    <col min="15878" max="15878" width="11.75" customWidth="1"/>
    <col min="15879" max="15879" width="12.75" customWidth="1"/>
    <col min="15880" max="15880" width="12.875" customWidth="1"/>
    <col min="15881" max="15881" width="12" customWidth="1"/>
    <col min="15882" max="15882" width="30.75" customWidth="1"/>
    <col min="16129" max="16129" width="8.375" customWidth="1"/>
    <col min="16130" max="16130" width="47.75" customWidth="1"/>
    <col min="16131" max="16131" width="10.25" customWidth="1"/>
    <col min="16132" max="16132" width="2" customWidth="1"/>
    <col min="16133" max="16133" width="12.5" customWidth="1"/>
    <col min="16134" max="16134" width="11.75" customWidth="1"/>
    <col min="16135" max="16135" width="12.75" customWidth="1"/>
    <col min="16136" max="16136" width="12.875" customWidth="1"/>
    <col min="16137" max="16137" width="12" customWidth="1"/>
    <col min="16138" max="16138" width="30.75" customWidth="1"/>
  </cols>
  <sheetData>
    <row r="1" spans="1:256" s="135" customFormat="1" ht="13.9" customHeight="1">
      <c r="A1" s="183"/>
      <c r="J1" s="133" t="s">
        <v>1099</v>
      </c>
      <c r="K1" s="133"/>
      <c r="L1" s="132"/>
    </row>
    <row r="2" spans="1:256" s="135" customFormat="1" ht="13.9" customHeight="1">
      <c r="A2" s="229"/>
      <c r="B2" s="229"/>
      <c r="C2" s="229"/>
      <c r="D2" s="229"/>
      <c r="E2" s="229"/>
      <c r="F2" s="229"/>
      <c r="G2" s="229"/>
      <c r="H2" s="229"/>
      <c r="J2" s="4" t="s">
        <v>132</v>
      </c>
      <c r="K2" s="4"/>
      <c r="L2" s="229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  <c r="ER2" s="230"/>
      <c r="ES2" s="230"/>
      <c r="ET2" s="230"/>
      <c r="EU2" s="230"/>
      <c r="EV2" s="230"/>
      <c r="EW2" s="230"/>
      <c r="EX2" s="230"/>
      <c r="EY2" s="230"/>
      <c r="EZ2" s="230"/>
      <c r="FA2" s="230"/>
      <c r="FB2" s="230"/>
      <c r="FC2" s="230"/>
      <c r="FD2" s="230"/>
      <c r="FE2" s="230"/>
      <c r="FF2" s="230"/>
      <c r="FG2" s="230"/>
      <c r="FH2" s="230"/>
      <c r="FI2" s="230"/>
      <c r="FJ2" s="230"/>
      <c r="FK2" s="230"/>
      <c r="FL2" s="230"/>
      <c r="FM2" s="230"/>
      <c r="FN2" s="230"/>
      <c r="FO2" s="230"/>
      <c r="FP2" s="230"/>
      <c r="FQ2" s="230"/>
      <c r="FR2" s="230"/>
      <c r="FS2" s="230"/>
      <c r="FT2" s="230"/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30"/>
      <c r="GI2" s="230"/>
      <c r="GJ2" s="230"/>
      <c r="GK2" s="230"/>
      <c r="GL2" s="230"/>
      <c r="GM2" s="230"/>
      <c r="GN2" s="230"/>
      <c r="GO2" s="230"/>
      <c r="GP2" s="230"/>
      <c r="GQ2" s="230"/>
      <c r="GR2" s="230"/>
      <c r="GS2" s="230"/>
      <c r="GT2" s="230"/>
      <c r="GU2" s="230"/>
      <c r="GV2" s="230"/>
      <c r="GW2" s="230"/>
      <c r="GX2" s="230"/>
      <c r="GY2" s="230"/>
      <c r="GZ2" s="230"/>
      <c r="HA2" s="230"/>
      <c r="HB2" s="230"/>
      <c r="HC2" s="230"/>
      <c r="HD2" s="230"/>
      <c r="HE2" s="230"/>
      <c r="HF2" s="230"/>
      <c r="HG2" s="230"/>
      <c r="HH2" s="230"/>
      <c r="HI2" s="230"/>
      <c r="HJ2" s="230"/>
      <c r="HK2" s="230"/>
      <c r="HL2" s="230"/>
      <c r="HM2" s="230"/>
      <c r="HN2" s="230"/>
      <c r="HO2" s="230"/>
      <c r="HP2" s="230"/>
      <c r="HQ2" s="230"/>
      <c r="HR2" s="230"/>
      <c r="HS2" s="230"/>
      <c r="HT2" s="230"/>
      <c r="HU2" s="230"/>
      <c r="HV2" s="230"/>
      <c r="HW2" s="230"/>
      <c r="HX2" s="230"/>
      <c r="HY2" s="230"/>
      <c r="HZ2" s="230"/>
      <c r="IA2" s="230"/>
      <c r="IB2" s="230"/>
      <c r="IC2" s="230"/>
      <c r="ID2" s="230"/>
      <c r="IE2" s="230"/>
      <c r="IF2" s="230"/>
      <c r="IG2" s="230"/>
      <c r="IH2" s="230"/>
      <c r="II2" s="230"/>
      <c r="IJ2" s="230"/>
      <c r="IK2" s="230"/>
      <c r="IL2" s="230"/>
      <c r="IM2" s="230"/>
      <c r="IN2" s="230"/>
      <c r="IO2" s="230"/>
      <c r="IP2" s="230"/>
      <c r="IQ2" s="230"/>
      <c r="IR2" s="230"/>
      <c r="IS2" s="230"/>
      <c r="IT2" s="230"/>
      <c r="IU2" s="230"/>
      <c r="IV2" s="230"/>
    </row>
    <row r="3" spans="1:256" s="135" customFormat="1" ht="13.9" customHeight="1">
      <c r="A3" s="229"/>
      <c r="B3" s="229"/>
      <c r="C3" s="229"/>
      <c r="D3" s="229"/>
      <c r="E3" s="229"/>
      <c r="F3" s="229"/>
      <c r="G3" s="229"/>
      <c r="H3" s="229"/>
      <c r="J3" s="4" t="s">
        <v>131</v>
      </c>
      <c r="K3" s="4"/>
      <c r="L3" s="229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30"/>
      <c r="GB3" s="230"/>
      <c r="GC3" s="230"/>
      <c r="GD3" s="230"/>
      <c r="GE3" s="230"/>
      <c r="GF3" s="230"/>
      <c r="GG3" s="230"/>
      <c r="GH3" s="230"/>
      <c r="GI3" s="230"/>
      <c r="GJ3" s="230"/>
      <c r="GK3" s="230"/>
      <c r="GL3" s="230"/>
      <c r="GM3" s="230"/>
      <c r="GN3" s="230"/>
      <c r="GO3" s="230"/>
      <c r="GP3" s="230"/>
      <c r="GQ3" s="230"/>
      <c r="GR3" s="230"/>
      <c r="GS3" s="230"/>
      <c r="GT3" s="230"/>
      <c r="GU3" s="230"/>
      <c r="GV3" s="230"/>
      <c r="GW3" s="230"/>
      <c r="GX3" s="230"/>
      <c r="GY3" s="230"/>
      <c r="GZ3" s="230"/>
      <c r="HA3" s="230"/>
      <c r="HB3" s="230"/>
      <c r="HC3" s="230"/>
      <c r="HD3" s="230"/>
      <c r="HE3" s="230"/>
      <c r="HF3" s="230"/>
      <c r="HG3" s="230"/>
      <c r="HH3" s="230"/>
      <c r="HI3" s="230"/>
      <c r="HJ3" s="230"/>
      <c r="HK3" s="230"/>
      <c r="HL3" s="230"/>
      <c r="HM3" s="230"/>
      <c r="HN3" s="230"/>
      <c r="HO3" s="230"/>
      <c r="HP3" s="230"/>
      <c r="HQ3" s="230"/>
      <c r="HR3" s="230"/>
      <c r="HS3" s="230"/>
      <c r="HT3" s="230"/>
      <c r="HU3" s="230"/>
      <c r="HV3" s="230"/>
      <c r="HW3" s="230"/>
      <c r="HX3" s="230"/>
      <c r="HY3" s="230"/>
      <c r="HZ3" s="230"/>
      <c r="IA3" s="230"/>
      <c r="IB3" s="230"/>
      <c r="IC3" s="230"/>
      <c r="ID3" s="230"/>
      <c r="IE3" s="230"/>
      <c r="IF3" s="230"/>
      <c r="IG3" s="230"/>
      <c r="IH3" s="230"/>
      <c r="II3" s="230"/>
      <c r="IJ3" s="230"/>
      <c r="IK3" s="230"/>
      <c r="IL3" s="230"/>
      <c r="IM3" s="230"/>
      <c r="IN3" s="230"/>
      <c r="IO3" s="230"/>
      <c r="IP3" s="230"/>
      <c r="IQ3" s="230"/>
      <c r="IR3" s="230"/>
      <c r="IS3" s="230"/>
      <c r="IT3" s="230"/>
      <c r="IU3" s="230"/>
      <c r="IV3" s="230"/>
    </row>
    <row r="4" spans="1:256" s="135" customFormat="1" ht="14.2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230"/>
      <c r="FG4" s="230"/>
      <c r="FH4" s="230"/>
      <c r="FI4" s="230"/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  <c r="FY4" s="230"/>
      <c r="FZ4" s="230"/>
      <c r="GA4" s="230"/>
      <c r="GB4" s="230"/>
      <c r="GC4" s="230"/>
      <c r="GD4" s="230"/>
      <c r="GE4" s="230"/>
      <c r="GF4" s="230"/>
      <c r="GG4" s="230"/>
      <c r="GH4" s="230"/>
      <c r="GI4" s="230"/>
      <c r="GJ4" s="230"/>
      <c r="GK4" s="230"/>
      <c r="GL4" s="230"/>
      <c r="GM4" s="230"/>
      <c r="GN4" s="230"/>
      <c r="GO4" s="230"/>
      <c r="GP4" s="230"/>
      <c r="GQ4" s="230"/>
      <c r="GR4" s="230"/>
      <c r="GS4" s="230"/>
      <c r="GT4" s="230"/>
      <c r="GU4" s="230"/>
      <c r="GV4" s="230"/>
      <c r="GW4" s="230"/>
      <c r="GX4" s="230"/>
      <c r="GY4" s="230"/>
      <c r="GZ4" s="230"/>
      <c r="HA4" s="230"/>
      <c r="HB4" s="230"/>
      <c r="HC4" s="230"/>
      <c r="HD4" s="230"/>
      <c r="HE4" s="230"/>
      <c r="HF4" s="230"/>
      <c r="HG4" s="230"/>
      <c r="HH4" s="230"/>
      <c r="HI4" s="230"/>
      <c r="HJ4" s="230"/>
      <c r="HK4" s="230"/>
      <c r="HL4" s="230"/>
      <c r="HM4" s="230"/>
      <c r="HN4" s="230"/>
      <c r="HO4" s="230"/>
      <c r="HP4" s="230"/>
      <c r="HQ4" s="230"/>
      <c r="HR4" s="230"/>
      <c r="HS4" s="230"/>
      <c r="HT4" s="230"/>
      <c r="HU4" s="230"/>
      <c r="HV4" s="230"/>
      <c r="HW4" s="230"/>
      <c r="HX4" s="230"/>
      <c r="HY4" s="230"/>
      <c r="HZ4" s="230"/>
      <c r="IA4" s="230"/>
      <c r="IB4" s="230"/>
      <c r="IC4" s="230"/>
      <c r="ID4" s="230"/>
      <c r="IE4" s="230"/>
      <c r="IF4" s="230"/>
      <c r="IG4" s="230"/>
      <c r="IH4" s="230"/>
      <c r="II4" s="230"/>
      <c r="IJ4" s="230"/>
      <c r="IK4" s="230"/>
      <c r="IL4" s="230"/>
      <c r="IM4" s="230"/>
      <c r="IN4" s="230"/>
      <c r="IO4" s="230"/>
      <c r="IP4" s="230"/>
      <c r="IQ4" s="230"/>
      <c r="IR4" s="230"/>
      <c r="IS4" s="230"/>
      <c r="IT4" s="230"/>
      <c r="IU4" s="230"/>
      <c r="IV4" s="230"/>
    </row>
    <row r="5" spans="1:256" s="135" customFormat="1" ht="28.15" customHeight="1">
      <c r="A5" s="1011" t="s">
        <v>342</v>
      </c>
      <c r="B5" s="1011"/>
      <c r="C5" s="1011"/>
      <c r="D5" s="1011"/>
      <c r="E5" s="1011"/>
      <c r="F5" s="1011"/>
      <c r="G5" s="1011"/>
      <c r="H5" s="1011"/>
      <c r="I5" s="1011"/>
      <c r="J5" s="1011"/>
      <c r="K5" s="231"/>
      <c r="L5" s="231"/>
      <c r="M5" s="231"/>
      <c r="N5" s="231"/>
      <c r="O5" s="231"/>
      <c r="P5" s="231"/>
    </row>
    <row r="6" spans="1:256">
      <c r="I6" s="232"/>
      <c r="J6" s="183" t="s">
        <v>35</v>
      </c>
    </row>
    <row r="7" spans="1:256">
      <c r="A7" s="1007" t="s">
        <v>343</v>
      </c>
      <c r="B7" s="1007" t="s">
        <v>344</v>
      </c>
      <c r="C7" s="1007" t="s">
        <v>345</v>
      </c>
      <c r="D7" s="993" t="s">
        <v>94</v>
      </c>
      <c r="E7" s="1007" t="s">
        <v>346</v>
      </c>
      <c r="F7" s="1007" t="s">
        <v>347</v>
      </c>
      <c r="G7" s="1012" t="s">
        <v>348</v>
      </c>
      <c r="H7" s="1012"/>
      <c r="I7" s="1012"/>
      <c r="J7" s="1007" t="s">
        <v>349</v>
      </c>
    </row>
    <row r="8" spans="1:256">
      <c r="A8" s="1007"/>
      <c r="B8" s="1007"/>
      <c r="C8" s="1007"/>
      <c r="D8" s="994"/>
      <c r="E8" s="1007"/>
      <c r="F8" s="1007"/>
      <c r="G8" s="1007" t="s">
        <v>350</v>
      </c>
      <c r="H8" s="1006" t="s">
        <v>351</v>
      </c>
      <c r="I8" s="1006"/>
      <c r="J8" s="1007"/>
    </row>
    <row r="9" spans="1:256">
      <c r="A9" s="1007"/>
      <c r="B9" s="1007"/>
      <c r="C9" s="1007"/>
      <c r="D9" s="994"/>
      <c r="E9" s="1007"/>
      <c r="F9" s="1007"/>
      <c r="G9" s="1007"/>
      <c r="H9" s="1007" t="s">
        <v>352</v>
      </c>
      <c r="I9" s="1007" t="s">
        <v>353</v>
      </c>
      <c r="J9" s="1007"/>
    </row>
    <row r="10" spans="1:256">
      <c r="A10" s="1007"/>
      <c r="B10" s="1007"/>
      <c r="C10" s="1007"/>
      <c r="D10" s="995"/>
      <c r="E10" s="1007"/>
      <c r="F10" s="1007"/>
      <c r="G10" s="1007"/>
      <c r="H10" s="1007"/>
      <c r="I10" s="1007"/>
      <c r="J10" s="1007"/>
    </row>
    <row r="11" spans="1:256">
      <c r="A11" s="234">
        <v>1</v>
      </c>
      <c r="B11" s="234">
        <v>2</v>
      </c>
      <c r="C11" s="234">
        <v>3</v>
      </c>
      <c r="D11" s="234"/>
      <c r="E11" s="234">
        <v>4</v>
      </c>
      <c r="F11" s="234">
        <v>5</v>
      </c>
      <c r="G11" s="234">
        <v>6</v>
      </c>
      <c r="H11" s="234" t="s">
        <v>354</v>
      </c>
      <c r="I11" s="234" t="s">
        <v>355</v>
      </c>
      <c r="J11" s="234">
        <v>7</v>
      </c>
    </row>
    <row r="12" spans="1:256" ht="5.0999999999999996" customHeight="1">
      <c r="A12" s="235"/>
      <c r="B12" s="235"/>
      <c r="C12" s="235"/>
      <c r="D12" s="235"/>
      <c r="E12" s="235"/>
      <c r="F12" s="235"/>
      <c r="G12" s="235"/>
      <c r="H12" s="235"/>
      <c r="I12" s="236"/>
      <c r="J12" s="235"/>
    </row>
    <row r="13" spans="1:256" ht="15.75">
      <c r="A13" s="961"/>
      <c r="B13" s="1008" t="s">
        <v>151</v>
      </c>
      <c r="C13" s="961" t="s">
        <v>356</v>
      </c>
      <c r="D13" s="237" t="s">
        <v>0</v>
      </c>
      <c r="E13" s="961" t="s">
        <v>356</v>
      </c>
      <c r="F13" s="961" t="s">
        <v>356</v>
      </c>
      <c r="G13" s="238">
        <f t="shared" ref="G13:I14" si="0">G272+G480+G492+G486+G498</f>
        <v>703204030</v>
      </c>
      <c r="H13" s="238">
        <f t="shared" si="0"/>
        <v>475709397</v>
      </c>
      <c r="I13" s="238">
        <f t="shared" si="0"/>
        <v>227494633</v>
      </c>
      <c r="J13" s="961" t="s">
        <v>356</v>
      </c>
    </row>
    <row r="14" spans="1:256" ht="15.75">
      <c r="A14" s="962"/>
      <c r="B14" s="1009"/>
      <c r="C14" s="962"/>
      <c r="D14" s="237" t="s">
        <v>1</v>
      </c>
      <c r="E14" s="962"/>
      <c r="F14" s="962"/>
      <c r="G14" s="238">
        <f t="shared" si="0"/>
        <v>75564554</v>
      </c>
      <c r="H14" s="238">
        <f t="shared" si="0"/>
        <v>75829553</v>
      </c>
      <c r="I14" s="238">
        <f t="shared" si="0"/>
        <v>-264999</v>
      </c>
      <c r="J14" s="962"/>
    </row>
    <row r="15" spans="1:256" ht="15.75">
      <c r="A15" s="963"/>
      <c r="B15" s="1010"/>
      <c r="C15" s="963"/>
      <c r="D15" s="237" t="s">
        <v>2</v>
      </c>
      <c r="E15" s="963"/>
      <c r="F15" s="963"/>
      <c r="G15" s="238">
        <f>G13+G14</f>
        <v>778768584</v>
      </c>
      <c r="H15" s="238">
        <f>H13+H14</f>
        <v>551538950</v>
      </c>
      <c r="I15" s="238">
        <f>I13+I14</f>
        <v>227229634</v>
      </c>
      <c r="J15" s="963"/>
    </row>
    <row r="16" spans="1:256" ht="5.0999999999999996" customHeight="1">
      <c r="A16" s="235"/>
      <c r="B16" s="239"/>
      <c r="C16" s="240"/>
      <c r="D16" s="240"/>
      <c r="E16" s="235"/>
      <c r="F16" s="235"/>
      <c r="G16" s="235"/>
      <c r="H16" s="235"/>
      <c r="I16" s="236"/>
      <c r="J16" s="235"/>
    </row>
    <row r="17" spans="1:10" ht="15.75">
      <c r="A17" s="974" t="s">
        <v>357</v>
      </c>
      <c r="B17" s="974"/>
      <c r="C17" s="974"/>
      <c r="D17" s="974"/>
      <c r="E17" s="974"/>
      <c r="F17" s="974"/>
      <c r="G17" s="974"/>
      <c r="H17" s="974"/>
      <c r="I17" s="974"/>
      <c r="J17" s="974"/>
    </row>
    <row r="18" spans="1:10" ht="5.0999999999999996" customHeight="1">
      <c r="A18" s="241"/>
      <c r="B18" s="242"/>
      <c r="C18" s="235"/>
      <c r="D18" s="235"/>
      <c r="E18" s="235"/>
      <c r="F18" s="235"/>
      <c r="G18" s="235"/>
      <c r="H18" s="235"/>
      <c r="I18" s="236"/>
      <c r="J18" s="235"/>
    </row>
    <row r="19" spans="1:10" hidden="1">
      <c r="A19" s="984" t="s">
        <v>42</v>
      </c>
      <c r="B19" s="990" t="s">
        <v>98</v>
      </c>
      <c r="C19" s="971" t="s">
        <v>356</v>
      </c>
      <c r="D19" s="233" t="s">
        <v>0</v>
      </c>
      <c r="E19" s="243">
        <f>E22</f>
        <v>14025000</v>
      </c>
      <c r="F19" s="1003" t="s">
        <v>356</v>
      </c>
      <c r="G19" s="243">
        <f t="shared" ref="G19:I20" si="1">G22</f>
        <v>14025000</v>
      </c>
      <c r="H19" s="243">
        <f t="shared" si="1"/>
        <v>14025000</v>
      </c>
      <c r="I19" s="243">
        <f t="shared" si="1"/>
        <v>0</v>
      </c>
      <c r="J19" s="971" t="s">
        <v>356</v>
      </c>
    </row>
    <row r="20" spans="1:10" hidden="1">
      <c r="A20" s="985"/>
      <c r="B20" s="991"/>
      <c r="C20" s="972"/>
      <c r="D20" s="233" t="s">
        <v>1</v>
      </c>
      <c r="E20" s="243">
        <f>E23</f>
        <v>0</v>
      </c>
      <c r="F20" s="1004"/>
      <c r="G20" s="243">
        <f t="shared" si="1"/>
        <v>0</v>
      </c>
      <c r="H20" s="243">
        <f t="shared" si="1"/>
        <v>0</v>
      </c>
      <c r="I20" s="243">
        <f t="shared" si="1"/>
        <v>0</v>
      </c>
      <c r="J20" s="972"/>
    </row>
    <row r="21" spans="1:10" hidden="1">
      <c r="A21" s="986"/>
      <c r="B21" s="992"/>
      <c r="C21" s="973"/>
      <c r="D21" s="233" t="s">
        <v>2</v>
      </c>
      <c r="E21" s="243">
        <f>E19+E20</f>
        <v>14025000</v>
      </c>
      <c r="F21" s="1005"/>
      <c r="G21" s="243">
        <f>G19+G20</f>
        <v>14025000</v>
      </c>
      <c r="H21" s="243">
        <f>H19+H20</f>
        <v>14025000</v>
      </c>
      <c r="I21" s="243">
        <f>I19+I20</f>
        <v>0</v>
      </c>
      <c r="J21" s="973"/>
    </row>
    <row r="22" spans="1:10" hidden="1">
      <c r="A22" s="975" t="s">
        <v>156</v>
      </c>
      <c r="B22" s="978" t="s">
        <v>358</v>
      </c>
      <c r="C22" s="981">
        <v>2025</v>
      </c>
      <c r="D22" s="244" t="s">
        <v>0</v>
      </c>
      <c r="E22" s="245">
        <v>14025000</v>
      </c>
      <c r="F22" s="997" t="s">
        <v>356</v>
      </c>
      <c r="G22" s="245">
        <f>H22+I22</f>
        <v>14025000</v>
      </c>
      <c r="H22" s="245">
        <v>14025000</v>
      </c>
      <c r="I22" s="245">
        <v>0</v>
      </c>
      <c r="J22" s="978" t="s">
        <v>359</v>
      </c>
    </row>
    <row r="23" spans="1:10" hidden="1">
      <c r="A23" s="976"/>
      <c r="B23" s="979"/>
      <c r="C23" s="982"/>
      <c r="D23" s="244" t="s">
        <v>1</v>
      </c>
      <c r="E23" s="245"/>
      <c r="F23" s="998"/>
      <c r="G23" s="245">
        <f>H23+I23</f>
        <v>0</v>
      </c>
      <c r="H23" s="245"/>
      <c r="I23" s="245"/>
      <c r="J23" s="979"/>
    </row>
    <row r="24" spans="1:10" hidden="1">
      <c r="A24" s="977"/>
      <c r="B24" s="980"/>
      <c r="C24" s="983"/>
      <c r="D24" s="244" t="s">
        <v>2</v>
      </c>
      <c r="E24" s="245">
        <f>E22+E23</f>
        <v>14025000</v>
      </c>
      <c r="F24" s="999"/>
      <c r="G24" s="245">
        <f>G22+G23</f>
        <v>14025000</v>
      </c>
      <c r="H24" s="245">
        <f>H22+H23</f>
        <v>14025000</v>
      </c>
      <c r="I24" s="245">
        <f>I22+I23</f>
        <v>0</v>
      </c>
      <c r="J24" s="980"/>
    </row>
    <row r="25" spans="1:10">
      <c r="A25" s="984" t="s">
        <v>45</v>
      </c>
      <c r="B25" s="990" t="s">
        <v>46</v>
      </c>
      <c r="C25" s="971" t="s">
        <v>356</v>
      </c>
      <c r="D25" s="233" t="s">
        <v>0</v>
      </c>
      <c r="E25" s="243">
        <f>E28+E31+E34+E37+E40+E43+E46+E49+E52+E55+E67+E64+E58+E61</f>
        <v>178608819</v>
      </c>
      <c r="F25" s="1003" t="s">
        <v>356</v>
      </c>
      <c r="G25" s="243">
        <f t="shared" ref="G25:I26" si="2">G28+G31+G34+G37+G40+G43+G46+G49+G52+G55+G67+G64+G58+G61</f>
        <v>178608819</v>
      </c>
      <c r="H25" s="243">
        <f t="shared" si="2"/>
        <v>177574055</v>
      </c>
      <c r="I25" s="243">
        <f t="shared" si="2"/>
        <v>1034764</v>
      </c>
      <c r="J25" s="971" t="s">
        <v>356</v>
      </c>
    </row>
    <row r="26" spans="1:10">
      <c r="A26" s="985"/>
      <c r="B26" s="991"/>
      <c r="C26" s="972"/>
      <c r="D26" s="233" t="s">
        <v>1</v>
      </c>
      <c r="E26" s="243">
        <f>E29+E32+E35+E38+E41+E44+E47+E50+E53+E56+E68+E65+E59+E62</f>
        <v>55385000</v>
      </c>
      <c r="F26" s="1004"/>
      <c r="G26" s="243">
        <f t="shared" si="2"/>
        <v>55385000</v>
      </c>
      <c r="H26" s="243">
        <f t="shared" si="2"/>
        <v>55385000</v>
      </c>
      <c r="I26" s="243">
        <f t="shared" si="2"/>
        <v>0</v>
      </c>
      <c r="J26" s="972"/>
    </row>
    <row r="27" spans="1:10">
      <c r="A27" s="986"/>
      <c r="B27" s="992"/>
      <c r="C27" s="973"/>
      <c r="D27" s="233" t="s">
        <v>2</v>
      </c>
      <c r="E27" s="243">
        <f>E25+E26</f>
        <v>233993819</v>
      </c>
      <c r="F27" s="1005"/>
      <c r="G27" s="243">
        <f>G25+G26</f>
        <v>233993819</v>
      </c>
      <c r="H27" s="243">
        <f>H25+H26</f>
        <v>232959055</v>
      </c>
      <c r="I27" s="243">
        <f>I25+I26</f>
        <v>1034764</v>
      </c>
      <c r="J27" s="973"/>
    </row>
    <row r="28" spans="1:10" hidden="1">
      <c r="A28" s="975" t="s">
        <v>172</v>
      </c>
      <c r="B28" s="978" t="s">
        <v>360</v>
      </c>
      <c r="C28" s="981">
        <v>2025</v>
      </c>
      <c r="D28" s="244" t="s">
        <v>0</v>
      </c>
      <c r="E28" s="245">
        <v>1860375</v>
      </c>
      <c r="F28" s="997" t="s">
        <v>356</v>
      </c>
      <c r="G28" s="245">
        <f t="shared" ref="G28:G56" si="3">H28+I28</f>
        <v>1860375</v>
      </c>
      <c r="H28" s="245">
        <v>1860375</v>
      </c>
      <c r="I28" s="245">
        <v>0</v>
      </c>
      <c r="J28" s="978" t="s">
        <v>359</v>
      </c>
    </row>
    <row r="29" spans="1:10" hidden="1">
      <c r="A29" s="976"/>
      <c r="B29" s="979"/>
      <c r="C29" s="982"/>
      <c r="D29" s="244" t="s">
        <v>1</v>
      </c>
      <c r="E29" s="245"/>
      <c r="F29" s="998"/>
      <c r="G29" s="245">
        <f t="shared" si="3"/>
        <v>0</v>
      </c>
      <c r="H29" s="245"/>
      <c r="I29" s="245"/>
      <c r="J29" s="979"/>
    </row>
    <row r="30" spans="1:10" hidden="1">
      <c r="A30" s="977"/>
      <c r="B30" s="980"/>
      <c r="C30" s="983"/>
      <c r="D30" s="244" t="s">
        <v>2</v>
      </c>
      <c r="E30" s="245">
        <f>E28+E29</f>
        <v>1860375</v>
      </c>
      <c r="F30" s="999"/>
      <c r="G30" s="245">
        <f>G28+G29</f>
        <v>1860375</v>
      </c>
      <c r="H30" s="245">
        <f>H28+H29</f>
        <v>1860375</v>
      </c>
      <c r="I30" s="245">
        <f>I28+I29</f>
        <v>0</v>
      </c>
      <c r="J30" s="980"/>
    </row>
    <row r="31" spans="1:10" hidden="1">
      <c r="A31" s="975" t="s">
        <v>178</v>
      </c>
      <c r="B31" s="978" t="s">
        <v>361</v>
      </c>
      <c r="C31" s="981">
        <v>2025</v>
      </c>
      <c r="D31" s="244" t="s">
        <v>0</v>
      </c>
      <c r="E31" s="245">
        <v>710000</v>
      </c>
      <c r="F31" s="997" t="s">
        <v>356</v>
      </c>
      <c r="G31" s="245">
        <f t="shared" si="3"/>
        <v>710000</v>
      </c>
      <c r="H31" s="245">
        <v>710000</v>
      </c>
      <c r="I31" s="245">
        <v>0</v>
      </c>
      <c r="J31" s="978" t="s">
        <v>362</v>
      </c>
    </row>
    <row r="32" spans="1:10" hidden="1">
      <c r="A32" s="976"/>
      <c r="B32" s="979"/>
      <c r="C32" s="982"/>
      <c r="D32" s="244" t="s">
        <v>1</v>
      </c>
      <c r="E32" s="245"/>
      <c r="F32" s="998"/>
      <c r="G32" s="245">
        <f t="shared" si="3"/>
        <v>0</v>
      </c>
      <c r="H32" s="245"/>
      <c r="I32" s="245"/>
      <c r="J32" s="979"/>
    </row>
    <row r="33" spans="1:10" hidden="1">
      <c r="A33" s="977"/>
      <c r="B33" s="980"/>
      <c r="C33" s="983"/>
      <c r="D33" s="244" t="s">
        <v>2</v>
      </c>
      <c r="E33" s="245">
        <f>E31+E32</f>
        <v>710000</v>
      </c>
      <c r="F33" s="999"/>
      <c r="G33" s="245">
        <f>G31+G32</f>
        <v>710000</v>
      </c>
      <c r="H33" s="245">
        <f>H31+H32</f>
        <v>710000</v>
      </c>
      <c r="I33" s="245">
        <f>I31+I32</f>
        <v>0</v>
      </c>
      <c r="J33" s="980"/>
    </row>
    <row r="34" spans="1:10" hidden="1">
      <c r="A34" s="975" t="s">
        <v>178</v>
      </c>
      <c r="B34" s="978" t="s">
        <v>363</v>
      </c>
      <c r="C34" s="981">
        <v>2025</v>
      </c>
      <c r="D34" s="244" t="s">
        <v>0</v>
      </c>
      <c r="E34" s="245">
        <v>1925000</v>
      </c>
      <c r="F34" s="997" t="s">
        <v>356</v>
      </c>
      <c r="G34" s="245">
        <f t="shared" si="3"/>
        <v>1925000</v>
      </c>
      <c r="H34" s="245">
        <v>1925000</v>
      </c>
      <c r="I34" s="245">
        <v>0</v>
      </c>
      <c r="J34" s="978" t="s">
        <v>362</v>
      </c>
    </row>
    <row r="35" spans="1:10" hidden="1">
      <c r="A35" s="976"/>
      <c r="B35" s="979"/>
      <c r="C35" s="982"/>
      <c r="D35" s="244" t="s">
        <v>1</v>
      </c>
      <c r="E35" s="245"/>
      <c r="F35" s="998"/>
      <c r="G35" s="245">
        <f t="shared" si="3"/>
        <v>0</v>
      </c>
      <c r="H35" s="245"/>
      <c r="I35" s="245"/>
      <c r="J35" s="979"/>
    </row>
    <row r="36" spans="1:10" hidden="1">
      <c r="A36" s="977"/>
      <c r="B36" s="980"/>
      <c r="C36" s="983"/>
      <c r="D36" s="244" t="s">
        <v>2</v>
      </c>
      <c r="E36" s="245">
        <f>E34+E35</f>
        <v>1925000</v>
      </c>
      <c r="F36" s="999"/>
      <c r="G36" s="245">
        <f>G34+G35</f>
        <v>1925000</v>
      </c>
      <c r="H36" s="245">
        <f>H34+H35</f>
        <v>1925000</v>
      </c>
      <c r="I36" s="245">
        <f>I34+I35</f>
        <v>0</v>
      </c>
      <c r="J36" s="980"/>
    </row>
    <row r="37" spans="1:10">
      <c r="A37" s="975" t="s">
        <v>178</v>
      </c>
      <c r="B37" s="978" t="s">
        <v>364</v>
      </c>
      <c r="C37" s="981">
        <v>2025</v>
      </c>
      <c r="D37" s="244" t="s">
        <v>0</v>
      </c>
      <c r="E37" s="245">
        <v>60000000</v>
      </c>
      <c r="F37" s="997" t="s">
        <v>356</v>
      </c>
      <c r="G37" s="245">
        <f t="shared" si="3"/>
        <v>60000000</v>
      </c>
      <c r="H37" s="245">
        <v>60000000</v>
      </c>
      <c r="I37" s="245">
        <v>0</v>
      </c>
      <c r="J37" s="978" t="s">
        <v>362</v>
      </c>
    </row>
    <row r="38" spans="1:10">
      <c r="A38" s="976"/>
      <c r="B38" s="979"/>
      <c r="C38" s="982"/>
      <c r="D38" s="244" t="s">
        <v>1</v>
      </c>
      <c r="E38" s="245">
        <v>34000000</v>
      </c>
      <c r="F38" s="998"/>
      <c r="G38" s="245">
        <f t="shared" si="3"/>
        <v>34000000</v>
      </c>
      <c r="H38" s="245">
        <v>34000000</v>
      </c>
      <c r="I38" s="245"/>
      <c r="J38" s="979"/>
    </row>
    <row r="39" spans="1:10">
      <c r="A39" s="977"/>
      <c r="B39" s="980"/>
      <c r="C39" s="983"/>
      <c r="D39" s="244" t="s">
        <v>2</v>
      </c>
      <c r="E39" s="245">
        <f>E37+E38</f>
        <v>94000000</v>
      </c>
      <c r="F39" s="999"/>
      <c r="G39" s="245">
        <f>G37+G38</f>
        <v>94000000</v>
      </c>
      <c r="H39" s="245">
        <f>H37+H38</f>
        <v>94000000</v>
      </c>
      <c r="I39" s="245">
        <f>I37+I38</f>
        <v>0</v>
      </c>
      <c r="J39" s="980"/>
    </row>
    <row r="40" spans="1:10" hidden="1">
      <c r="A40" s="975" t="s">
        <v>178</v>
      </c>
      <c r="B40" s="978" t="s">
        <v>365</v>
      </c>
      <c r="C40" s="981">
        <v>2025</v>
      </c>
      <c r="D40" s="244" t="s">
        <v>0</v>
      </c>
      <c r="E40" s="245">
        <v>3530295</v>
      </c>
      <c r="F40" s="997" t="s">
        <v>356</v>
      </c>
      <c r="G40" s="245">
        <f t="shared" si="3"/>
        <v>3530295</v>
      </c>
      <c r="H40" s="245">
        <v>3500000</v>
      </c>
      <c r="I40" s="245">
        <v>30295</v>
      </c>
      <c r="J40" s="978" t="s">
        <v>362</v>
      </c>
    </row>
    <row r="41" spans="1:10" hidden="1">
      <c r="A41" s="976"/>
      <c r="B41" s="979"/>
      <c r="C41" s="982"/>
      <c r="D41" s="244" t="s">
        <v>1</v>
      </c>
      <c r="E41" s="245"/>
      <c r="F41" s="998"/>
      <c r="G41" s="245">
        <f t="shared" si="3"/>
        <v>0</v>
      </c>
      <c r="H41" s="245"/>
      <c r="I41" s="245"/>
      <c r="J41" s="979"/>
    </row>
    <row r="42" spans="1:10" hidden="1">
      <c r="A42" s="977"/>
      <c r="B42" s="980"/>
      <c r="C42" s="983"/>
      <c r="D42" s="244" t="s">
        <v>2</v>
      </c>
      <c r="E42" s="245">
        <f>E40+E41</f>
        <v>3530295</v>
      </c>
      <c r="F42" s="999"/>
      <c r="G42" s="245">
        <f>G40+G41</f>
        <v>3530295</v>
      </c>
      <c r="H42" s="245">
        <f>H40+H41</f>
        <v>3500000</v>
      </c>
      <c r="I42" s="245">
        <f>I40+I41</f>
        <v>30295</v>
      </c>
      <c r="J42" s="980"/>
    </row>
    <row r="43" spans="1:10" hidden="1">
      <c r="A43" s="975" t="s">
        <v>178</v>
      </c>
      <c r="B43" s="978" t="s">
        <v>366</v>
      </c>
      <c r="C43" s="981">
        <v>2025</v>
      </c>
      <c r="D43" s="244" t="s">
        <v>0</v>
      </c>
      <c r="E43" s="245">
        <v>3004469</v>
      </c>
      <c r="F43" s="997" t="s">
        <v>356</v>
      </c>
      <c r="G43" s="245">
        <f t="shared" si="3"/>
        <v>3004469</v>
      </c>
      <c r="H43" s="245">
        <v>2000000</v>
      </c>
      <c r="I43" s="245">
        <v>1004469</v>
      </c>
      <c r="J43" s="978" t="s">
        <v>362</v>
      </c>
    </row>
    <row r="44" spans="1:10" hidden="1">
      <c r="A44" s="976"/>
      <c r="B44" s="979"/>
      <c r="C44" s="982"/>
      <c r="D44" s="244" t="s">
        <v>1</v>
      </c>
      <c r="E44" s="245"/>
      <c r="F44" s="998"/>
      <c r="G44" s="245">
        <f t="shared" si="3"/>
        <v>0</v>
      </c>
      <c r="H44" s="245"/>
      <c r="I44" s="245"/>
      <c r="J44" s="979"/>
    </row>
    <row r="45" spans="1:10" hidden="1">
      <c r="A45" s="977"/>
      <c r="B45" s="980"/>
      <c r="C45" s="983"/>
      <c r="D45" s="244" t="s">
        <v>2</v>
      </c>
      <c r="E45" s="245">
        <f>E43+E44</f>
        <v>3004469</v>
      </c>
      <c r="F45" s="999"/>
      <c r="G45" s="245">
        <f>G43+G44</f>
        <v>3004469</v>
      </c>
      <c r="H45" s="245">
        <f>H43+H44</f>
        <v>2000000</v>
      </c>
      <c r="I45" s="245">
        <f>I43+I44</f>
        <v>1004469</v>
      </c>
      <c r="J45" s="980"/>
    </row>
    <row r="46" spans="1:10" ht="15.75" customHeight="1">
      <c r="A46" s="975" t="s">
        <v>178</v>
      </c>
      <c r="B46" s="978" t="s">
        <v>367</v>
      </c>
      <c r="C46" s="981">
        <v>2025</v>
      </c>
      <c r="D46" s="244" t="s">
        <v>0</v>
      </c>
      <c r="E46" s="245">
        <v>80000000</v>
      </c>
      <c r="F46" s="997" t="s">
        <v>356</v>
      </c>
      <c r="G46" s="245">
        <f t="shared" si="3"/>
        <v>80000000</v>
      </c>
      <c r="H46" s="245">
        <v>80000000</v>
      </c>
      <c r="I46" s="245">
        <v>0</v>
      </c>
      <c r="J46" s="978" t="s">
        <v>362</v>
      </c>
    </row>
    <row r="47" spans="1:10" ht="15.75" customHeight="1">
      <c r="A47" s="976"/>
      <c r="B47" s="979"/>
      <c r="C47" s="982"/>
      <c r="D47" s="244" t="s">
        <v>1</v>
      </c>
      <c r="E47" s="245">
        <v>15000000</v>
      </c>
      <c r="F47" s="998"/>
      <c r="G47" s="245">
        <f t="shared" si="3"/>
        <v>15000000</v>
      </c>
      <c r="H47" s="245">
        <v>15000000</v>
      </c>
      <c r="I47" s="245"/>
      <c r="J47" s="979"/>
    </row>
    <row r="48" spans="1:10" ht="15.75" customHeight="1">
      <c r="A48" s="977"/>
      <c r="B48" s="980"/>
      <c r="C48" s="983"/>
      <c r="D48" s="244" t="s">
        <v>2</v>
      </c>
      <c r="E48" s="245">
        <f>E46+E47</f>
        <v>95000000</v>
      </c>
      <c r="F48" s="999"/>
      <c r="G48" s="245">
        <f>G46+G47</f>
        <v>95000000</v>
      </c>
      <c r="H48" s="245">
        <f>H46+H47</f>
        <v>95000000</v>
      </c>
      <c r="I48" s="245">
        <f>I46+I47</f>
        <v>0</v>
      </c>
      <c r="J48" s="980"/>
    </row>
    <row r="49" spans="1:10" hidden="1">
      <c r="A49" s="975" t="s">
        <v>178</v>
      </c>
      <c r="B49" s="978" t="s">
        <v>368</v>
      </c>
      <c r="C49" s="981">
        <v>2025</v>
      </c>
      <c r="D49" s="244" t="s">
        <v>0</v>
      </c>
      <c r="E49" s="245">
        <v>3000000</v>
      </c>
      <c r="F49" s="997" t="s">
        <v>356</v>
      </c>
      <c r="G49" s="245">
        <f t="shared" si="3"/>
        <v>3000000</v>
      </c>
      <c r="H49" s="245">
        <v>3000000</v>
      </c>
      <c r="I49" s="245">
        <v>0</v>
      </c>
      <c r="J49" s="978" t="s">
        <v>362</v>
      </c>
    </row>
    <row r="50" spans="1:10" hidden="1">
      <c r="A50" s="976"/>
      <c r="B50" s="979"/>
      <c r="C50" s="982"/>
      <c r="D50" s="244" t="s">
        <v>1</v>
      </c>
      <c r="E50" s="245"/>
      <c r="F50" s="998"/>
      <c r="G50" s="245">
        <f t="shared" si="3"/>
        <v>0</v>
      </c>
      <c r="H50" s="245"/>
      <c r="I50" s="245"/>
      <c r="J50" s="979"/>
    </row>
    <row r="51" spans="1:10" hidden="1">
      <c r="A51" s="977"/>
      <c r="B51" s="980"/>
      <c r="C51" s="983"/>
      <c r="D51" s="244" t="s">
        <v>2</v>
      </c>
      <c r="E51" s="245">
        <f>E49+E50</f>
        <v>3000000</v>
      </c>
      <c r="F51" s="999"/>
      <c r="G51" s="245">
        <f>G49+G50</f>
        <v>3000000</v>
      </c>
      <c r="H51" s="245">
        <f>H49+H50</f>
        <v>3000000</v>
      </c>
      <c r="I51" s="245">
        <f>I49+I50</f>
        <v>0</v>
      </c>
      <c r="J51" s="980"/>
    </row>
    <row r="52" spans="1:10" hidden="1">
      <c r="A52" s="975" t="s">
        <v>178</v>
      </c>
      <c r="B52" s="978" t="s">
        <v>369</v>
      </c>
      <c r="C52" s="981">
        <v>2025</v>
      </c>
      <c r="D52" s="244" t="s">
        <v>0</v>
      </c>
      <c r="E52" s="245">
        <v>1900000</v>
      </c>
      <c r="F52" s="997" t="s">
        <v>356</v>
      </c>
      <c r="G52" s="245">
        <f t="shared" si="3"/>
        <v>1900000</v>
      </c>
      <c r="H52" s="245">
        <v>1900000</v>
      </c>
      <c r="I52" s="245">
        <v>0</v>
      </c>
      <c r="J52" s="978" t="s">
        <v>362</v>
      </c>
    </row>
    <row r="53" spans="1:10" hidden="1">
      <c r="A53" s="976"/>
      <c r="B53" s="979"/>
      <c r="C53" s="982"/>
      <c r="D53" s="244" t="s">
        <v>1</v>
      </c>
      <c r="E53" s="245"/>
      <c r="F53" s="998"/>
      <c r="G53" s="245">
        <f t="shared" si="3"/>
        <v>0</v>
      </c>
      <c r="H53" s="245"/>
      <c r="I53" s="245"/>
      <c r="J53" s="979"/>
    </row>
    <row r="54" spans="1:10" hidden="1">
      <c r="A54" s="977"/>
      <c r="B54" s="980"/>
      <c r="C54" s="983"/>
      <c r="D54" s="244" t="s">
        <v>2</v>
      </c>
      <c r="E54" s="245">
        <f>E52+E53</f>
        <v>1900000</v>
      </c>
      <c r="F54" s="999"/>
      <c r="G54" s="245">
        <f>G52+G53</f>
        <v>1900000</v>
      </c>
      <c r="H54" s="245">
        <f>H52+H53</f>
        <v>1900000</v>
      </c>
      <c r="I54" s="245">
        <f>I52+I53</f>
        <v>0</v>
      </c>
      <c r="J54" s="980"/>
    </row>
    <row r="55" spans="1:10" hidden="1">
      <c r="A55" s="975" t="s">
        <v>178</v>
      </c>
      <c r="B55" s="978" t="s">
        <v>370</v>
      </c>
      <c r="C55" s="981">
        <v>2025</v>
      </c>
      <c r="D55" s="244" t="s">
        <v>0</v>
      </c>
      <c r="E55" s="245">
        <v>22000000</v>
      </c>
      <c r="F55" s="997" t="s">
        <v>356</v>
      </c>
      <c r="G55" s="245">
        <f t="shared" si="3"/>
        <v>22000000</v>
      </c>
      <c r="H55" s="245">
        <v>22000000</v>
      </c>
      <c r="I55" s="245">
        <v>0</v>
      </c>
      <c r="J55" s="978" t="s">
        <v>362</v>
      </c>
    </row>
    <row r="56" spans="1:10" hidden="1">
      <c r="A56" s="976"/>
      <c r="B56" s="979"/>
      <c r="C56" s="982"/>
      <c r="D56" s="244" t="s">
        <v>1</v>
      </c>
      <c r="E56" s="245"/>
      <c r="F56" s="998"/>
      <c r="G56" s="245">
        <f t="shared" si="3"/>
        <v>0</v>
      </c>
      <c r="H56" s="245"/>
      <c r="I56" s="245"/>
      <c r="J56" s="979"/>
    </row>
    <row r="57" spans="1:10" hidden="1">
      <c r="A57" s="977"/>
      <c r="B57" s="980"/>
      <c r="C57" s="983"/>
      <c r="D57" s="244" t="s">
        <v>2</v>
      </c>
      <c r="E57" s="245">
        <f>E55+E56</f>
        <v>22000000</v>
      </c>
      <c r="F57" s="999"/>
      <c r="G57" s="245">
        <f>G55+G56</f>
        <v>22000000</v>
      </c>
      <c r="H57" s="245">
        <f>H55+H56</f>
        <v>22000000</v>
      </c>
      <c r="I57" s="245">
        <f>I55+I56</f>
        <v>0</v>
      </c>
      <c r="J57" s="980"/>
    </row>
    <row r="58" spans="1:10">
      <c r="A58" s="975" t="s">
        <v>178</v>
      </c>
      <c r="B58" s="978" t="s">
        <v>371</v>
      </c>
      <c r="C58" s="981">
        <v>2025</v>
      </c>
      <c r="D58" s="244" t="s">
        <v>0</v>
      </c>
      <c r="E58" s="245">
        <v>0</v>
      </c>
      <c r="F58" s="997" t="s">
        <v>356</v>
      </c>
      <c r="G58" s="245">
        <f>H58+I58</f>
        <v>0</v>
      </c>
      <c r="H58" s="245">
        <v>0</v>
      </c>
      <c r="I58" s="245">
        <v>0</v>
      </c>
      <c r="J58" s="978" t="s">
        <v>362</v>
      </c>
    </row>
    <row r="59" spans="1:10">
      <c r="A59" s="976"/>
      <c r="B59" s="979"/>
      <c r="C59" s="982"/>
      <c r="D59" s="244" t="s">
        <v>1</v>
      </c>
      <c r="E59" s="245">
        <v>3585000</v>
      </c>
      <c r="F59" s="998"/>
      <c r="G59" s="245">
        <f>H59+I59</f>
        <v>3585000</v>
      </c>
      <c r="H59" s="245">
        <v>3585000</v>
      </c>
      <c r="I59" s="245"/>
      <c r="J59" s="979"/>
    </row>
    <row r="60" spans="1:10">
      <c r="A60" s="977"/>
      <c r="B60" s="980"/>
      <c r="C60" s="983"/>
      <c r="D60" s="244" t="s">
        <v>2</v>
      </c>
      <c r="E60" s="245">
        <f>E58+E59</f>
        <v>3585000</v>
      </c>
      <c r="F60" s="999"/>
      <c r="G60" s="245">
        <f>G58+G59</f>
        <v>3585000</v>
      </c>
      <c r="H60" s="245">
        <f>H58+H59</f>
        <v>3585000</v>
      </c>
      <c r="I60" s="245">
        <f>I58+I59</f>
        <v>0</v>
      </c>
      <c r="J60" s="980"/>
    </row>
    <row r="61" spans="1:10">
      <c r="A61" s="975" t="s">
        <v>178</v>
      </c>
      <c r="B61" s="978" t="s">
        <v>372</v>
      </c>
      <c r="C61" s="981">
        <v>2025</v>
      </c>
      <c r="D61" s="244" t="s">
        <v>0</v>
      </c>
      <c r="E61" s="245">
        <v>0</v>
      </c>
      <c r="F61" s="997" t="s">
        <v>356</v>
      </c>
      <c r="G61" s="245">
        <f>H61+I61</f>
        <v>0</v>
      </c>
      <c r="H61" s="245">
        <v>0</v>
      </c>
      <c r="I61" s="245">
        <v>0</v>
      </c>
      <c r="J61" s="978" t="s">
        <v>362</v>
      </c>
    </row>
    <row r="62" spans="1:10">
      <c r="A62" s="976"/>
      <c r="B62" s="979"/>
      <c r="C62" s="982"/>
      <c r="D62" s="244" t="s">
        <v>1</v>
      </c>
      <c r="E62" s="245">
        <v>2800000</v>
      </c>
      <c r="F62" s="998"/>
      <c r="G62" s="245">
        <f>H62+I62</f>
        <v>2800000</v>
      </c>
      <c r="H62" s="245">
        <v>2800000</v>
      </c>
      <c r="I62" s="245"/>
      <c r="J62" s="979"/>
    </row>
    <row r="63" spans="1:10">
      <c r="A63" s="977"/>
      <c r="B63" s="980"/>
      <c r="C63" s="983"/>
      <c r="D63" s="244" t="s">
        <v>2</v>
      </c>
      <c r="E63" s="245">
        <f>E61+E62</f>
        <v>2800000</v>
      </c>
      <c r="F63" s="999"/>
      <c r="G63" s="245">
        <f>G61+G62</f>
        <v>2800000</v>
      </c>
      <c r="H63" s="245">
        <f>H61+H62</f>
        <v>2800000</v>
      </c>
      <c r="I63" s="245">
        <f>I61+I62</f>
        <v>0</v>
      </c>
      <c r="J63" s="980"/>
    </row>
    <row r="64" spans="1:10" ht="36" customHeight="1">
      <c r="A64" s="975" t="s">
        <v>181</v>
      </c>
      <c r="B64" s="978" t="s">
        <v>373</v>
      </c>
      <c r="C64" s="981">
        <v>2025</v>
      </c>
      <c r="D64" s="244" t="s">
        <v>0</v>
      </c>
      <c r="E64" s="245">
        <v>648680</v>
      </c>
      <c r="F64" s="997" t="s">
        <v>356</v>
      </c>
      <c r="G64" s="245">
        <f>H64+I64</f>
        <v>648680</v>
      </c>
      <c r="H64" s="245">
        <v>648680</v>
      </c>
      <c r="I64" s="245">
        <v>0</v>
      </c>
      <c r="J64" s="978" t="s">
        <v>359</v>
      </c>
    </row>
    <row r="65" spans="1:10" ht="36" customHeight="1">
      <c r="A65" s="976"/>
      <c r="B65" s="979"/>
      <c r="C65" s="982"/>
      <c r="D65" s="244" t="s">
        <v>1</v>
      </c>
      <c r="E65" s="245"/>
      <c r="F65" s="998"/>
      <c r="G65" s="245">
        <f>H65+I65</f>
        <v>0</v>
      </c>
      <c r="H65" s="245"/>
      <c r="I65" s="245"/>
      <c r="J65" s="979"/>
    </row>
    <row r="66" spans="1:10" ht="36" customHeight="1">
      <c r="A66" s="977"/>
      <c r="B66" s="980"/>
      <c r="C66" s="983"/>
      <c r="D66" s="244" t="s">
        <v>2</v>
      </c>
      <c r="E66" s="245">
        <f>E64+E65</f>
        <v>648680</v>
      </c>
      <c r="F66" s="999"/>
      <c r="G66" s="245">
        <f>G64+G65</f>
        <v>648680</v>
      </c>
      <c r="H66" s="245">
        <f>H64+H65</f>
        <v>648680</v>
      </c>
      <c r="I66" s="245">
        <f>I64+I65</f>
        <v>0</v>
      </c>
      <c r="J66" s="980"/>
    </row>
    <row r="67" spans="1:10" hidden="1">
      <c r="A67" s="975" t="s">
        <v>183</v>
      </c>
      <c r="B67" s="978" t="s">
        <v>374</v>
      </c>
      <c r="C67" s="981">
        <v>2025</v>
      </c>
      <c r="D67" s="244" t="s">
        <v>0</v>
      </c>
      <c r="E67" s="245">
        <v>30000</v>
      </c>
      <c r="F67" s="997" t="s">
        <v>356</v>
      </c>
      <c r="G67" s="245">
        <f>H67+I67</f>
        <v>30000</v>
      </c>
      <c r="H67" s="245">
        <v>30000</v>
      </c>
      <c r="I67" s="245">
        <v>0</v>
      </c>
      <c r="J67" s="978" t="s">
        <v>359</v>
      </c>
    </row>
    <row r="68" spans="1:10" hidden="1">
      <c r="A68" s="976"/>
      <c r="B68" s="979"/>
      <c r="C68" s="982"/>
      <c r="D68" s="244" t="s">
        <v>1</v>
      </c>
      <c r="E68" s="245"/>
      <c r="F68" s="998"/>
      <c r="G68" s="245">
        <f>H68+I68</f>
        <v>0</v>
      </c>
      <c r="H68" s="245"/>
      <c r="I68" s="245"/>
      <c r="J68" s="979"/>
    </row>
    <row r="69" spans="1:10" hidden="1">
      <c r="A69" s="977"/>
      <c r="B69" s="980"/>
      <c r="C69" s="983"/>
      <c r="D69" s="244" t="s">
        <v>2</v>
      </c>
      <c r="E69" s="245">
        <f>E67+E68</f>
        <v>30000</v>
      </c>
      <c r="F69" s="999"/>
      <c r="G69" s="245">
        <f>G67+G68</f>
        <v>30000</v>
      </c>
      <c r="H69" s="245">
        <f>H67+H68</f>
        <v>30000</v>
      </c>
      <c r="I69" s="245">
        <f>I67+I68</f>
        <v>0</v>
      </c>
      <c r="J69" s="980"/>
    </row>
    <row r="70" spans="1:10" hidden="1">
      <c r="A70" s="984" t="s">
        <v>47</v>
      </c>
      <c r="B70" s="990" t="s">
        <v>48</v>
      </c>
      <c r="C70" s="971" t="s">
        <v>356</v>
      </c>
      <c r="D70" s="233" t="s">
        <v>0</v>
      </c>
      <c r="E70" s="243">
        <f>E73+E76</f>
        <v>6679448</v>
      </c>
      <c r="F70" s="1003" t="s">
        <v>356</v>
      </c>
      <c r="G70" s="243">
        <f t="shared" ref="G70:I71" si="4">G73+G76</f>
        <v>6679448</v>
      </c>
      <c r="H70" s="243">
        <f t="shared" si="4"/>
        <v>6679448</v>
      </c>
      <c r="I70" s="243">
        <f t="shared" si="4"/>
        <v>0</v>
      </c>
      <c r="J70" s="971" t="s">
        <v>356</v>
      </c>
    </row>
    <row r="71" spans="1:10" hidden="1">
      <c r="A71" s="985"/>
      <c r="B71" s="991"/>
      <c r="C71" s="972"/>
      <c r="D71" s="233" t="s">
        <v>1</v>
      </c>
      <c r="E71" s="243">
        <f>E74+E77</f>
        <v>0</v>
      </c>
      <c r="F71" s="1004"/>
      <c r="G71" s="243">
        <f t="shared" si="4"/>
        <v>0</v>
      </c>
      <c r="H71" s="243">
        <f t="shared" si="4"/>
        <v>0</v>
      </c>
      <c r="I71" s="243">
        <f t="shared" si="4"/>
        <v>0</v>
      </c>
      <c r="J71" s="972"/>
    </row>
    <row r="72" spans="1:10" hidden="1">
      <c r="A72" s="986"/>
      <c r="B72" s="992"/>
      <c r="C72" s="973"/>
      <c r="D72" s="233" t="s">
        <v>2</v>
      </c>
      <c r="E72" s="243">
        <f>E70+E71</f>
        <v>6679448</v>
      </c>
      <c r="F72" s="1005"/>
      <c r="G72" s="243">
        <f>G70+G71</f>
        <v>6679448</v>
      </c>
      <c r="H72" s="243">
        <f>H70+H71</f>
        <v>6679448</v>
      </c>
      <c r="I72" s="243">
        <f>I70+I71</f>
        <v>0</v>
      </c>
      <c r="J72" s="973"/>
    </row>
    <row r="73" spans="1:10" hidden="1">
      <c r="A73" s="975" t="s">
        <v>188</v>
      </c>
      <c r="B73" s="978" t="s">
        <v>375</v>
      </c>
      <c r="C73" s="981">
        <v>2025</v>
      </c>
      <c r="D73" s="244" t="s">
        <v>0</v>
      </c>
      <c r="E73" s="245">
        <v>6579000</v>
      </c>
      <c r="F73" s="997" t="s">
        <v>356</v>
      </c>
      <c r="G73" s="245">
        <f>H73+I73</f>
        <v>6579000</v>
      </c>
      <c r="H73" s="245">
        <v>6579000</v>
      </c>
      <c r="I73" s="245">
        <v>0</v>
      </c>
      <c r="J73" s="978" t="s">
        <v>359</v>
      </c>
    </row>
    <row r="74" spans="1:10" hidden="1">
      <c r="A74" s="976"/>
      <c r="B74" s="979"/>
      <c r="C74" s="982"/>
      <c r="D74" s="244" t="s">
        <v>1</v>
      </c>
      <c r="E74" s="245"/>
      <c r="F74" s="998"/>
      <c r="G74" s="245">
        <f>H74+I74</f>
        <v>0</v>
      </c>
      <c r="H74" s="245"/>
      <c r="I74" s="245"/>
      <c r="J74" s="979"/>
    </row>
    <row r="75" spans="1:10" hidden="1">
      <c r="A75" s="977"/>
      <c r="B75" s="980"/>
      <c r="C75" s="983"/>
      <c r="D75" s="244" t="s">
        <v>2</v>
      </c>
      <c r="E75" s="245">
        <f>E73+E74</f>
        <v>6579000</v>
      </c>
      <c r="F75" s="999"/>
      <c r="G75" s="245">
        <f>G73+G74</f>
        <v>6579000</v>
      </c>
      <c r="H75" s="245">
        <f>H73+H74</f>
        <v>6579000</v>
      </c>
      <c r="I75" s="245">
        <f>I73+I74</f>
        <v>0</v>
      </c>
      <c r="J75" s="980"/>
    </row>
    <row r="76" spans="1:10" hidden="1">
      <c r="A76" s="975" t="s">
        <v>188</v>
      </c>
      <c r="B76" s="978" t="s">
        <v>376</v>
      </c>
      <c r="C76" s="981">
        <v>2025</v>
      </c>
      <c r="D76" s="244" t="s">
        <v>0</v>
      </c>
      <c r="E76" s="245">
        <v>100448</v>
      </c>
      <c r="F76" s="997" t="s">
        <v>356</v>
      </c>
      <c r="G76" s="245">
        <f>H76+I76</f>
        <v>100448</v>
      </c>
      <c r="H76" s="245">
        <v>100448</v>
      </c>
      <c r="I76" s="245">
        <v>0</v>
      </c>
      <c r="J76" s="978" t="s">
        <v>359</v>
      </c>
    </row>
    <row r="77" spans="1:10" hidden="1">
      <c r="A77" s="976"/>
      <c r="B77" s="979"/>
      <c r="C77" s="982"/>
      <c r="D77" s="244" t="s">
        <v>1</v>
      </c>
      <c r="E77" s="245"/>
      <c r="F77" s="998"/>
      <c r="G77" s="245">
        <f>H77+I77</f>
        <v>0</v>
      </c>
      <c r="H77" s="245"/>
      <c r="I77" s="245"/>
      <c r="J77" s="979"/>
    </row>
    <row r="78" spans="1:10" hidden="1">
      <c r="A78" s="977"/>
      <c r="B78" s="980"/>
      <c r="C78" s="983"/>
      <c r="D78" s="244" t="s">
        <v>2</v>
      </c>
      <c r="E78" s="245">
        <f>E76+E77</f>
        <v>100448</v>
      </c>
      <c r="F78" s="999"/>
      <c r="G78" s="245">
        <f>G76+G77</f>
        <v>100448</v>
      </c>
      <c r="H78" s="245">
        <f>H76+H77</f>
        <v>100448</v>
      </c>
      <c r="I78" s="245">
        <f>I76+I77</f>
        <v>0</v>
      </c>
      <c r="J78" s="980"/>
    </row>
    <row r="79" spans="1:10" hidden="1">
      <c r="A79" s="984" t="s">
        <v>197</v>
      </c>
      <c r="B79" s="990" t="s">
        <v>198</v>
      </c>
      <c r="C79" s="971" t="s">
        <v>356</v>
      </c>
      <c r="D79" s="233" t="s">
        <v>0</v>
      </c>
      <c r="E79" s="243">
        <f>E82</f>
        <v>500000</v>
      </c>
      <c r="F79" s="1003" t="s">
        <v>356</v>
      </c>
      <c r="G79" s="243">
        <f t="shared" ref="G79:I80" si="5">G82</f>
        <v>500000</v>
      </c>
      <c r="H79" s="243">
        <f t="shared" si="5"/>
        <v>500000</v>
      </c>
      <c r="I79" s="243">
        <f t="shared" si="5"/>
        <v>0</v>
      </c>
      <c r="J79" s="971" t="s">
        <v>356</v>
      </c>
    </row>
    <row r="80" spans="1:10" hidden="1">
      <c r="A80" s="985"/>
      <c r="B80" s="991"/>
      <c r="C80" s="972"/>
      <c r="D80" s="233" t="s">
        <v>1</v>
      </c>
      <c r="E80" s="243">
        <f>E83</f>
        <v>0</v>
      </c>
      <c r="F80" s="1004"/>
      <c r="G80" s="243">
        <f t="shared" si="5"/>
        <v>0</v>
      </c>
      <c r="H80" s="243">
        <f t="shared" si="5"/>
        <v>0</v>
      </c>
      <c r="I80" s="243">
        <f t="shared" si="5"/>
        <v>0</v>
      </c>
      <c r="J80" s="972"/>
    </row>
    <row r="81" spans="1:10" hidden="1">
      <c r="A81" s="986"/>
      <c r="B81" s="992"/>
      <c r="C81" s="973"/>
      <c r="D81" s="233" t="s">
        <v>2</v>
      </c>
      <c r="E81" s="243">
        <f>E79+E80</f>
        <v>500000</v>
      </c>
      <c r="F81" s="1005"/>
      <c r="G81" s="243">
        <f>G79+G80</f>
        <v>500000</v>
      </c>
      <c r="H81" s="243">
        <f>H79+H80</f>
        <v>500000</v>
      </c>
      <c r="I81" s="243">
        <f>I79+I80</f>
        <v>0</v>
      </c>
      <c r="J81" s="973"/>
    </row>
    <row r="82" spans="1:10" hidden="1">
      <c r="A82" s="975" t="s">
        <v>201</v>
      </c>
      <c r="B82" s="978" t="s">
        <v>377</v>
      </c>
      <c r="C82" s="981">
        <v>2025</v>
      </c>
      <c r="D82" s="244" t="s">
        <v>0</v>
      </c>
      <c r="E82" s="245">
        <v>500000</v>
      </c>
      <c r="F82" s="997" t="s">
        <v>356</v>
      </c>
      <c r="G82" s="245">
        <f>H82+I82</f>
        <v>500000</v>
      </c>
      <c r="H82" s="245">
        <v>500000</v>
      </c>
      <c r="I82" s="245">
        <v>0</v>
      </c>
      <c r="J82" s="978" t="s">
        <v>359</v>
      </c>
    </row>
    <row r="83" spans="1:10" hidden="1">
      <c r="A83" s="976"/>
      <c r="B83" s="979"/>
      <c r="C83" s="982"/>
      <c r="D83" s="244" t="s">
        <v>1</v>
      </c>
      <c r="E83" s="245"/>
      <c r="F83" s="998"/>
      <c r="G83" s="245">
        <f>H83+I83</f>
        <v>0</v>
      </c>
      <c r="H83" s="245"/>
      <c r="I83" s="245"/>
      <c r="J83" s="979"/>
    </row>
    <row r="84" spans="1:10" hidden="1">
      <c r="A84" s="977"/>
      <c r="B84" s="980"/>
      <c r="C84" s="983"/>
      <c r="D84" s="244" t="s">
        <v>2</v>
      </c>
      <c r="E84" s="245">
        <f>E82+E83</f>
        <v>500000</v>
      </c>
      <c r="F84" s="999"/>
      <c r="G84" s="245">
        <f>G82+G83</f>
        <v>500000</v>
      </c>
      <c r="H84" s="245">
        <f>H82+H83</f>
        <v>500000</v>
      </c>
      <c r="I84" s="245">
        <f>I82+I83</f>
        <v>0</v>
      </c>
      <c r="J84" s="980"/>
    </row>
    <row r="85" spans="1:10" ht="16.5" customHeight="1">
      <c r="A85" s="984" t="s">
        <v>53</v>
      </c>
      <c r="B85" s="990" t="s">
        <v>54</v>
      </c>
      <c r="C85" s="971" t="s">
        <v>356</v>
      </c>
      <c r="D85" s="233" t="s">
        <v>0</v>
      </c>
      <c r="E85" s="243">
        <f>E88+E91+E94</f>
        <v>1775000</v>
      </c>
      <c r="F85" s="1003" t="s">
        <v>356</v>
      </c>
      <c r="G85" s="243">
        <f t="shared" ref="G85:I86" si="6">G88+G91+G94</f>
        <v>1775000</v>
      </c>
      <c r="H85" s="243">
        <f t="shared" si="6"/>
        <v>1775000</v>
      </c>
      <c r="I85" s="243">
        <f t="shared" si="6"/>
        <v>0</v>
      </c>
      <c r="J85" s="971" t="s">
        <v>356</v>
      </c>
    </row>
    <row r="86" spans="1:10" ht="16.5" customHeight="1">
      <c r="A86" s="985"/>
      <c r="B86" s="991"/>
      <c r="C86" s="972"/>
      <c r="D86" s="233" t="s">
        <v>1</v>
      </c>
      <c r="E86" s="243">
        <f>E89+E92+E95</f>
        <v>70000</v>
      </c>
      <c r="F86" s="1004"/>
      <c r="G86" s="243">
        <f t="shared" si="6"/>
        <v>70000</v>
      </c>
      <c r="H86" s="243">
        <f t="shared" si="6"/>
        <v>70000</v>
      </c>
      <c r="I86" s="243">
        <f t="shared" si="6"/>
        <v>0</v>
      </c>
      <c r="J86" s="972"/>
    </row>
    <row r="87" spans="1:10" ht="16.5" customHeight="1">
      <c r="A87" s="986"/>
      <c r="B87" s="992"/>
      <c r="C87" s="973"/>
      <c r="D87" s="233" t="s">
        <v>2</v>
      </c>
      <c r="E87" s="243">
        <f>E85+E86</f>
        <v>1845000</v>
      </c>
      <c r="F87" s="1005"/>
      <c r="G87" s="243">
        <f>G85+G86</f>
        <v>1845000</v>
      </c>
      <c r="H87" s="243">
        <f>H85+H86</f>
        <v>1845000</v>
      </c>
      <c r="I87" s="243">
        <f>I85+I86</f>
        <v>0</v>
      </c>
      <c r="J87" s="973"/>
    </row>
    <row r="88" spans="1:10">
      <c r="A88" s="975" t="s">
        <v>204</v>
      </c>
      <c r="B88" s="978" t="s">
        <v>361</v>
      </c>
      <c r="C88" s="981">
        <v>2025</v>
      </c>
      <c r="D88" s="244" t="s">
        <v>0</v>
      </c>
      <c r="E88" s="245">
        <v>875000</v>
      </c>
      <c r="F88" s="997" t="s">
        <v>356</v>
      </c>
      <c r="G88" s="245">
        <f>H88+I88</f>
        <v>875000</v>
      </c>
      <c r="H88" s="245">
        <v>875000</v>
      </c>
      <c r="I88" s="245">
        <v>0</v>
      </c>
      <c r="J88" s="978" t="s">
        <v>359</v>
      </c>
    </row>
    <row r="89" spans="1:10">
      <c r="A89" s="976"/>
      <c r="B89" s="979"/>
      <c r="C89" s="982"/>
      <c r="D89" s="244" t="s">
        <v>1</v>
      </c>
      <c r="E89" s="245">
        <v>70000</v>
      </c>
      <c r="F89" s="998"/>
      <c r="G89" s="245">
        <f>H89+I89</f>
        <v>70000</v>
      </c>
      <c r="H89" s="245">
        <v>70000</v>
      </c>
      <c r="I89" s="245"/>
      <c r="J89" s="979"/>
    </row>
    <row r="90" spans="1:10">
      <c r="A90" s="977"/>
      <c r="B90" s="980"/>
      <c r="C90" s="983"/>
      <c r="D90" s="244" t="s">
        <v>2</v>
      </c>
      <c r="E90" s="245">
        <f>E88+E89</f>
        <v>945000</v>
      </c>
      <c r="F90" s="999"/>
      <c r="G90" s="245">
        <f>G88+G89</f>
        <v>945000</v>
      </c>
      <c r="H90" s="245">
        <f>H88+H89</f>
        <v>945000</v>
      </c>
      <c r="I90" s="245">
        <f>I88+I89</f>
        <v>0</v>
      </c>
      <c r="J90" s="980"/>
    </row>
    <row r="91" spans="1:10" hidden="1">
      <c r="A91" s="975" t="s">
        <v>204</v>
      </c>
      <c r="B91" s="978" t="s">
        <v>378</v>
      </c>
      <c r="C91" s="981">
        <v>2025</v>
      </c>
      <c r="D91" s="244" t="s">
        <v>0</v>
      </c>
      <c r="E91" s="245">
        <v>500000</v>
      </c>
      <c r="F91" s="997" t="s">
        <v>356</v>
      </c>
      <c r="G91" s="245">
        <f>H91+I91</f>
        <v>500000</v>
      </c>
      <c r="H91" s="245">
        <v>500000</v>
      </c>
      <c r="I91" s="245">
        <v>0</v>
      </c>
      <c r="J91" s="978" t="s">
        <v>359</v>
      </c>
    </row>
    <row r="92" spans="1:10" hidden="1">
      <c r="A92" s="976"/>
      <c r="B92" s="979"/>
      <c r="C92" s="982"/>
      <c r="D92" s="244" t="s">
        <v>1</v>
      </c>
      <c r="E92" s="245"/>
      <c r="F92" s="998"/>
      <c r="G92" s="245">
        <f>H92+I92</f>
        <v>0</v>
      </c>
      <c r="H92" s="245"/>
      <c r="I92" s="245"/>
      <c r="J92" s="979"/>
    </row>
    <row r="93" spans="1:10" hidden="1">
      <c r="A93" s="977"/>
      <c r="B93" s="980"/>
      <c r="C93" s="983"/>
      <c r="D93" s="244" t="s">
        <v>2</v>
      </c>
      <c r="E93" s="245">
        <f>E91+E92</f>
        <v>500000</v>
      </c>
      <c r="F93" s="999"/>
      <c r="G93" s="245">
        <f>G91+G92</f>
        <v>500000</v>
      </c>
      <c r="H93" s="245">
        <f>H91+H92</f>
        <v>500000</v>
      </c>
      <c r="I93" s="245">
        <f>I91+I92</f>
        <v>0</v>
      </c>
      <c r="J93" s="980"/>
    </row>
    <row r="94" spans="1:10" hidden="1">
      <c r="A94" s="975" t="s">
        <v>204</v>
      </c>
      <c r="B94" s="978" t="s">
        <v>361</v>
      </c>
      <c r="C94" s="981">
        <v>2025</v>
      </c>
      <c r="D94" s="244" t="s">
        <v>0</v>
      </c>
      <c r="E94" s="245">
        <v>400000</v>
      </c>
      <c r="F94" s="997" t="s">
        <v>356</v>
      </c>
      <c r="G94" s="245">
        <f>H94+I94</f>
        <v>400000</v>
      </c>
      <c r="H94" s="245">
        <v>400000</v>
      </c>
      <c r="I94" s="245">
        <v>0</v>
      </c>
      <c r="J94" s="978" t="s">
        <v>362</v>
      </c>
    </row>
    <row r="95" spans="1:10" hidden="1">
      <c r="A95" s="976"/>
      <c r="B95" s="979"/>
      <c r="C95" s="982"/>
      <c r="D95" s="244" t="s">
        <v>1</v>
      </c>
      <c r="E95" s="245"/>
      <c r="F95" s="998"/>
      <c r="G95" s="245">
        <f>H95+I95</f>
        <v>0</v>
      </c>
      <c r="H95" s="245"/>
      <c r="I95" s="245"/>
      <c r="J95" s="979"/>
    </row>
    <row r="96" spans="1:10" hidden="1">
      <c r="A96" s="977"/>
      <c r="B96" s="980"/>
      <c r="C96" s="983"/>
      <c r="D96" s="244" t="s">
        <v>2</v>
      </c>
      <c r="E96" s="245">
        <f>E94+E95</f>
        <v>400000</v>
      </c>
      <c r="F96" s="999"/>
      <c r="G96" s="245">
        <f>G94+G95</f>
        <v>400000</v>
      </c>
      <c r="H96" s="245">
        <f>H94+H95</f>
        <v>400000</v>
      </c>
      <c r="I96" s="245">
        <f>I94+I95</f>
        <v>0</v>
      </c>
      <c r="J96" s="980"/>
    </row>
    <row r="97" spans="1:10" hidden="1">
      <c r="A97" s="984" t="s">
        <v>59</v>
      </c>
      <c r="B97" s="990" t="s">
        <v>60</v>
      </c>
      <c r="C97" s="971" t="s">
        <v>356</v>
      </c>
      <c r="D97" s="233" t="s">
        <v>0</v>
      </c>
      <c r="E97" s="243">
        <f>E100+E103+E106+E109+E112+E115+E118+E121+E124+E127</f>
        <v>773841</v>
      </c>
      <c r="F97" s="1003" t="s">
        <v>356</v>
      </c>
      <c r="G97" s="243">
        <f t="shared" ref="G97:I98" si="7">G100+G103+G106+G109+G112+G115+G118+G121+G124+G127</f>
        <v>773841</v>
      </c>
      <c r="H97" s="243">
        <f t="shared" si="7"/>
        <v>773841</v>
      </c>
      <c r="I97" s="243">
        <f t="shared" si="7"/>
        <v>0</v>
      </c>
      <c r="J97" s="971" t="s">
        <v>356</v>
      </c>
    </row>
    <row r="98" spans="1:10" hidden="1">
      <c r="A98" s="985"/>
      <c r="B98" s="991"/>
      <c r="C98" s="972"/>
      <c r="D98" s="233" t="s">
        <v>1</v>
      </c>
      <c r="E98" s="243">
        <f>E101+E104+E107+E110+E113+E116+E119+E122+E125+E128</f>
        <v>0</v>
      </c>
      <c r="F98" s="1004"/>
      <c r="G98" s="243">
        <f t="shared" si="7"/>
        <v>0</v>
      </c>
      <c r="H98" s="243">
        <f t="shared" si="7"/>
        <v>0</v>
      </c>
      <c r="I98" s="243">
        <f t="shared" si="7"/>
        <v>0</v>
      </c>
      <c r="J98" s="972"/>
    </row>
    <row r="99" spans="1:10" hidden="1">
      <c r="A99" s="986"/>
      <c r="B99" s="992"/>
      <c r="C99" s="973"/>
      <c r="D99" s="233" t="s">
        <v>2</v>
      </c>
      <c r="E99" s="243">
        <f>E97+E98</f>
        <v>773841</v>
      </c>
      <c r="F99" s="1005"/>
      <c r="G99" s="243">
        <f>G97+G98</f>
        <v>773841</v>
      </c>
      <c r="H99" s="243">
        <f>H97+H98</f>
        <v>773841</v>
      </c>
      <c r="I99" s="243">
        <f>I97+I98</f>
        <v>0</v>
      </c>
      <c r="J99" s="973"/>
    </row>
    <row r="100" spans="1:10" hidden="1">
      <c r="A100" s="975" t="s">
        <v>239</v>
      </c>
      <c r="B100" s="978" t="s">
        <v>361</v>
      </c>
      <c r="C100" s="981">
        <v>2025</v>
      </c>
      <c r="D100" s="244" t="s">
        <v>0</v>
      </c>
      <c r="E100" s="245">
        <v>23000</v>
      </c>
      <c r="F100" s="997" t="s">
        <v>356</v>
      </c>
      <c r="G100" s="245">
        <f t="shared" ref="G100:G128" si="8">H100+I100</f>
        <v>23000</v>
      </c>
      <c r="H100" s="245">
        <v>23000</v>
      </c>
      <c r="I100" s="245">
        <v>0</v>
      </c>
      <c r="J100" s="978" t="s">
        <v>379</v>
      </c>
    </row>
    <row r="101" spans="1:10" hidden="1">
      <c r="A101" s="976"/>
      <c r="B101" s="979"/>
      <c r="C101" s="982"/>
      <c r="D101" s="244" t="s">
        <v>1</v>
      </c>
      <c r="E101" s="245"/>
      <c r="F101" s="998"/>
      <c r="G101" s="245">
        <f t="shared" si="8"/>
        <v>0</v>
      </c>
      <c r="H101" s="245"/>
      <c r="I101" s="245"/>
      <c r="J101" s="979"/>
    </row>
    <row r="102" spans="1:10" hidden="1">
      <c r="A102" s="977"/>
      <c r="B102" s="980"/>
      <c r="C102" s="983"/>
      <c r="D102" s="244" t="s">
        <v>2</v>
      </c>
      <c r="E102" s="245">
        <f>E100+E101</f>
        <v>23000</v>
      </c>
      <c r="F102" s="999"/>
      <c r="G102" s="245">
        <f>G100+G101</f>
        <v>23000</v>
      </c>
      <c r="H102" s="245">
        <f>H100+H101</f>
        <v>23000</v>
      </c>
      <c r="I102" s="245">
        <f>I100+I101</f>
        <v>0</v>
      </c>
      <c r="J102" s="980"/>
    </row>
    <row r="103" spans="1:10" hidden="1">
      <c r="A103" s="975" t="s">
        <v>239</v>
      </c>
      <c r="B103" s="978" t="s">
        <v>380</v>
      </c>
      <c r="C103" s="981">
        <v>2025</v>
      </c>
      <c r="D103" s="244" t="s">
        <v>0</v>
      </c>
      <c r="E103" s="245">
        <v>123000</v>
      </c>
      <c r="F103" s="997" t="s">
        <v>356</v>
      </c>
      <c r="G103" s="245">
        <f t="shared" si="8"/>
        <v>123000</v>
      </c>
      <c r="H103" s="245">
        <v>123000</v>
      </c>
      <c r="I103" s="245">
        <v>0</v>
      </c>
      <c r="J103" s="978" t="s">
        <v>379</v>
      </c>
    </row>
    <row r="104" spans="1:10" hidden="1">
      <c r="A104" s="976"/>
      <c r="B104" s="979"/>
      <c r="C104" s="982"/>
      <c r="D104" s="244" t="s">
        <v>1</v>
      </c>
      <c r="E104" s="245"/>
      <c r="F104" s="998"/>
      <c r="G104" s="245">
        <f t="shared" si="8"/>
        <v>0</v>
      </c>
      <c r="H104" s="245"/>
      <c r="I104" s="245"/>
      <c r="J104" s="979"/>
    </row>
    <row r="105" spans="1:10" hidden="1">
      <c r="A105" s="977"/>
      <c r="B105" s="980"/>
      <c r="C105" s="983"/>
      <c r="D105" s="244" t="s">
        <v>2</v>
      </c>
      <c r="E105" s="245">
        <f>E103+E104</f>
        <v>123000</v>
      </c>
      <c r="F105" s="999"/>
      <c r="G105" s="245">
        <f>G103+G104</f>
        <v>123000</v>
      </c>
      <c r="H105" s="245">
        <f>H103+H104</f>
        <v>123000</v>
      </c>
      <c r="I105" s="245">
        <f>I103+I104</f>
        <v>0</v>
      </c>
      <c r="J105" s="980"/>
    </row>
    <row r="106" spans="1:10" hidden="1">
      <c r="A106" s="975" t="s">
        <v>239</v>
      </c>
      <c r="B106" s="978" t="s">
        <v>381</v>
      </c>
      <c r="C106" s="981">
        <v>2025</v>
      </c>
      <c r="D106" s="244" t="s">
        <v>0</v>
      </c>
      <c r="E106" s="245">
        <v>25000</v>
      </c>
      <c r="F106" s="997" t="s">
        <v>356</v>
      </c>
      <c r="G106" s="245">
        <f t="shared" si="8"/>
        <v>25000</v>
      </c>
      <c r="H106" s="245">
        <v>25000</v>
      </c>
      <c r="I106" s="245">
        <v>0</v>
      </c>
      <c r="J106" s="978" t="s">
        <v>379</v>
      </c>
    </row>
    <row r="107" spans="1:10" hidden="1">
      <c r="A107" s="976"/>
      <c r="B107" s="979"/>
      <c r="C107" s="982"/>
      <c r="D107" s="244" t="s">
        <v>1</v>
      </c>
      <c r="E107" s="245"/>
      <c r="F107" s="998"/>
      <c r="G107" s="245">
        <f t="shared" si="8"/>
        <v>0</v>
      </c>
      <c r="H107" s="245"/>
      <c r="I107" s="245"/>
      <c r="J107" s="979"/>
    </row>
    <row r="108" spans="1:10" hidden="1">
      <c r="A108" s="977"/>
      <c r="B108" s="980"/>
      <c r="C108" s="983"/>
      <c r="D108" s="244" t="s">
        <v>2</v>
      </c>
      <c r="E108" s="245">
        <f>E106+E107</f>
        <v>25000</v>
      </c>
      <c r="F108" s="999"/>
      <c r="G108" s="245">
        <f>G106+G107</f>
        <v>25000</v>
      </c>
      <c r="H108" s="245">
        <f>H106+H107</f>
        <v>25000</v>
      </c>
      <c r="I108" s="245">
        <f>I106+I107</f>
        <v>0</v>
      </c>
      <c r="J108" s="980"/>
    </row>
    <row r="109" spans="1:10" hidden="1">
      <c r="A109" s="975" t="s">
        <v>239</v>
      </c>
      <c r="B109" s="978" t="s">
        <v>382</v>
      </c>
      <c r="C109" s="981">
        <v>2025</v>
      </c>
      <c r="D109" s="244" t="s">
        <v>0</v>
      </c>
      <c r="E109" s="245">
        <v>20000</v>
      </c>
      <c r="F109" s="997" t="s">
        <v>356</v>
      </c>
      <c r="G109" s="245">
        <f t="shared" si="8"/>
        <v>20000</v>
      </c>
      <c r="H109" s="245">
        <v>20000</v>
      </c>
      <c r="I109" s="245">
        <v>0</v>
      </c>
      <c r="J109" s="978" t="s">
        <v>383</v>
      </c>
    </row>
    <row r="110" spans="1:10" hidden="1">
      <c r="A110" s="976"/>
      <c r="B110" s="979"/>
      <c r="C110" s="982"/>
      <c r="D110" s="244" t="s">
        <v>1</v>
      </c>
      <c r="E110" s="245"/>
      <c r="F110" s="998"/>
      <c r="G110" s="245">
        <f t="shared" si="8"/>
        <v>0</v>
      </c>
      <c r="H110" s="245"/>
      <c r="I110" s="245"/>
      <c r="J110" s="979"/>
    </row>
    <row r="111" spans="1:10" hidden="1">
      <c r="A111" s="977"/>
      <c r="B111" s="980"/>
      <c r="C111" s="983"/>
      <c r="D111" s="244" t="s">
        <v>2</v>
      </c>
      <c r="E111" s="245">
        <f>E109+E110</f>
        <v>20000</v>
      </c>
      <c r="F111" s="999"/>
      <c r="G111" s="245">
        <f>G109+G110</f>
        <v>20000</v>
      </c>
      <c r="H111" s="245">
        <f>H109+H110</f>
        <v>20000</v>
      </c>
      <c r="I111" s="245">
        <f>I109+I110</f>
        <v>0</v>
      </c>
      <c r="J111" s="980"/>
    </row>
    <row r="112" spans="1:10" hidden="1">
      <c r="A112" s="975" t="s">
        <v>239</v>
      </c>
      <c r="B112" s="978" t="s">
        <v>361</v>
      </c>
      <c r="C112" s="981">
        <v>2025</v>
      </c>
      <c r="D112" s="244" t="s">
        <v>0</v>
      </c>
      <c r="E112" s="245">
        <v>20000</v>
      </c>
      <c r="F112" s="997" t="s">
        <v>356</v>
      </c>
      <c r="G112" s="245">
        <f t="shared" si="8"/>
        <v>20000</v>
      </c>
      <c r="H112" s="245">
        <v>20000</v>
      </c>
      <c r="I112" s="245">
        <v>0</v>
      </c>
      <c r="J112" s="978" t="s">
        <v>384</v>
      </c>
    </row>
    <row r="113" spans="1:10" hidden="1">
      <c r="A113" s="976"/>
      <c r="B113" s="979"/>
      <c r="C113" s="982"/>
      <c r="D113" s="244" t="s">
        <v>1</v>
      </c>
      <c r="E113" s="245"/>
      <c r="F113" s="998"/>
      <c r="G113" s="245">
        <f t="shared" si="8"/>
        <v>0</v>
      </c>
      <c r="H113" s="245"/>
      <c r="I113" s="245"/>
      <c r="J113" s="979"/>
    </row>
    <row r="114" spans="1:10" hidden="1">
      <c r="A114" s="977"/>
      <c r="B114" s="980"/>
      <c r="C114" s="983"/>
      <c r="D114" s="244" t="s">
        <v>2</v>
      </c>
      <c r="E114" s="245">
        <f>E112+E113</f>
        <v>20000</v>
      </c>
      <c r="F114" s="999"/>
      <c r="G114" s="245">
        <f>G112+G113</f>
        <v>20000</v>
      </c>
      <c r="H114" s="245">
        <f>H112+H113</f>
        <v>20000</v>
      </c>
      <c r="I114" s="245">
        <f>I112+I113</f>
        <v>0</v>
      </c>
      <c r="J114" s="980"/>
    </row>
    <row r="115" spans="1:10" hidden="1">
      <c r="A115" s="975" t="s">
        <v>241</v>
      </c>
      <c r="B115" s="978" t="s">
        <v>361</v>
      </c>
      <c r="C115" s="981">
        <v>2025</v>
      </c>
      <c r="D115" s="244" t="s">
        <v>0</v>
      </c>
      <c r="E115" s="245">
        <v>26384</v>
      </c>
      <c r="F115" s="997" t="s">
        <v>356</v>
      </c>
      <c r="G115" s="245">
        <f t="shared" si="8"/>
        <v>26384</v>
      </c>
      <c r="H115" s="245">
        <v>26384</v>
      </c>
      <c r="I115" s="245">
        <v>0</v>
      </c>
      <c r="J115" s="978" t="s">
        <v>385</v>
      </c>
    </row>
    <row r="116" spans="1:10" hidden="1">
      <c r="A116" s="976"/>
      <c r="B116" s="979"/>
      <c r="C116" s="982"/>
      <c r="D116" s="244" t="s">
        <v>1</v>
      </c>
      <c r="E116" s="245"/>
      <c r="F116" s="998"/>
      <c r="G116" s="245">
        <f t="shared" si="8"/>
        <v>0</v>
      </c>
      <c r="H116" s="245"/>
      <c r="I116" s="245"/>
      <c r="J116" s="979"/>
    </row>
    <row r="117" spans="1:10" hidden="1">
      <c r="A117" s="977"/>
      <c r="B117" s="980"/>
      <c r="C117" s="983"/>
      <c r="D117" s="244" t="s">
        <v>2</v>
      </c>
      <c r="E117" s="245">
        <f>E115+E116</f>
        <v>26384</v>
      </c>
      <c r="F117" s="999"/>
      <c r="G117" s="245">
        <f>G115+G116</f>
        <v>26384</v>
      </c>
      <c r="H117" s="245">
        <f>H115+H116</f>
        <v>26384</v>
      </c>
      <c r="I117" s="245">
        <f>I115+I116</f>
        <v>0</v>
      </c>
      <c r="J117" s="980"/>
    </row>
    <row r="118" spans="1:10" hidden="1">
      <c r="A118" s="975" t="s">
        <v>241</v>
      </c>
      <c r="B118" s="978" t="s">
        <v>386</v>
      </c>
      <c r="C118" s="981">
        <v>2025</v>
      </c>
      <c r="D118" s="244" t="s">
        <v>0</v>
      </c>
      <c r="E118" s="245">
        <v>22000</v>
      </c>
      <c r="F118" s="997" t="s">
        <v>356</v>
      </c>
      <c r="G118" s="245">
        <f t="shared" si="8"/>
        <v>22000</v>
      </c>
      <c r="H118" s="245">
        <v>22000</v>
      </c>
      <c r="I118" s="245">
        <v>0</v>
      </c>
      <c r="J118" s="978" t="s">
        <v>387</v>
      </c>
    </row>
    <row r="119" spans="1:10" hidden="1">
      <c r="A119" s="976"/>
      <c r="B119" s="979"/>
      <c r="C119" s="982"/>
      <c r="D119" s="244" t="s">
        <v>1</v>
      </c>
      <c r="E119" s="245"/>
      <c r="F119" s="998"/>
      <c r="G119" s="245">
        <f t="shared" si="8"/>
        <v>0</v>
      </c>
      <c r="H119" s="245"/>
      <c r="I119" s="245"/>
      <c r="J119" s="979"/>
    </row>
    <row r="120" spans="1:10" hidden="1">
      <c r="A120" s="977"/>
      <c r="B120" s="980"/>
      <c r="C120" s="983"/>
      <c r="D120" s="244" t="s">
        <v>2</v>
      </c>
      <c r="E120" s="245">
        <f>E118+E119</f>
        <v>22000</v>
      </c>
      <c r="F120" s="999"/>
      <c r="G120" s="245">
        <f>G118+G119</f>
        <v>22000</v>
      </c>
      <c r="H120" s="245">
        <f>H118+H119</f>
        <v>22000</v>
      </c>
      <c r="I120" s="245">
        <f>I118+I119</f>
        <v>0</v>
      </c>
      <c r="J120" s="980"/>
    </row>
    <row r="121" spans="1:10" hidden="1">
      <c r="A121" s="975" t="s">
        <v>241</v>
      </c>
      <c r="B121" s="978" t="s">
        <v>380</v>
      </c>
      <c r="C121" s="981">
        <v>2025</v>
      </c>
      <c r="D121" s="244" t="s">
        <v>0</v>
      </c>
      <c r="E121" s="245">
        <v>27800</v>
      </c>
      <c r="F121" s="997" t="s">
        <v>356</v>
      </c>
      <c r="G121" s="245">
        <f t="shared" si="8"/>
        <v>27800</v>
      </c>
      <c r="H121" s="245">
        <v>27800</v>
      </c>
      <c r="I121" s="245">
        <v>0</v>
      </c>
      <c r="J121" s="978" t="s">
        <v>387</v>
      </c>
    </row>
    <row r="122" spans="1:10" hidden="1">
      <c r="A122" s="976"/>
      <c r="B122" s="979"/>
      <c r="C122" s="982"/>
      <c r="D122" s="244" t="s">
        <v>1</v>
      </c>
      <c r="E122" s="245"/>
      <c r="F122" s="998"/>
      <c r="G122" s="245">
        <f t="shared" si="8"/>
        <v>0</v>
      </c>
      <c r="H122" s="245"/>
      <c r="I122" s="245"/>
      <c r="J122" s="979"/>
    </row>
    <row r="123" spans="1:10" hidden="1">
      <c r="A123" s="977"/>
      <c r="B123" s="980"/>
      <c r="C123" s="983"/>
      <c r="D123" s="244" t="s">
        <v>2</v>
      </c>
      <c r="E123" s="245">
        <f>E121+E122</f>
        <v>27800</v>
      </c>
      <c r="F123" s="999"/>
      <c r="G123" s="245">
        <f>G121+G122</f>
        <v>27800</v>
      </c>
      <c r="H123" s="245">
        <f>H121+H122</f>
        <v>27800</v>
      </c>
      <c r="I123" s="245">
        <f>I121+I122</f>
        <v>0</v>
      </c>
      <c r="J123" s="980"/>
    </row>
    <row r="124" spans="1:10" hidden="1">
      <c r="A124" s="975" t="s">
        <v>241</v>
      </c>
      <c r="B124" s="978" t="s">
        <v>361</v>
      </c>
      <c r="C124" s="981">
        <v>2025</v>
      </c>
      <c r="D124" s="244" t="s">
        <v>0</v>
      </c>
      <c r="E124" s="245">
        <v>67445</v>
      </c>
      <c r="F124" s="997" t="s">
        <v>356</v>
      </c>
      <c r="G124" s="245">
        <f t="shared" si="8"/>
        <v>67445</v>
      </c>
      <c r="H124" s="245">
        <v>67445</v>
      </c>
      <c r="I124" s="245">
        <v>0</v>
      </c>
      <c r="J124" s="978" t="s">
        <v>387</v>
      </c>
    </row>
    <row r="125" spans="1:10" hidden="1">
      <c r="A125" s="976"/>
      <c r="B125" s="979"/>
      <c r="C125" s="982"/>
      <c r="D125" s="244" t="s">
        <v>1</v>
      </c>
      <c r="E125" s="245"/>
      <c r="F125" s="998"/>
      <c r="G125" s="245">
        <f t="shared" si="8"/>
        <v>0</v>
      </c>
      <c r="H125" s="245"/>
      <c r="I125" s="245"/>
      <c r="J125" s="979"/>
    </row>
    <row r="126" spans="1:10" hidden="1">
      <c r="A126" s="977"/>
      <c r="B126" s="980"/>
      <c r="C126" s="983"/>
      <c r="D126" s="244" t="s">
        <v>2</v>
      </c>
      <c r="E126" s="245">
        <f>E124+E125</f>
        <v>67445</v>
      </c>
      <c r="F126" s="999"/>
      <c r="G126" s="245">
        <f>G124+G125</f>
        <v>67445</v>
      </c>
      <c r="H126" s="245">
        <f>H124+H125</f>
        <v>67445</v>
      </c>
      <c r="I126" s="245">
        <f>I124+I125</f>
        <v>0</v>
      </c>
      <c r="J126" s="980"/>
    </row>
    <row r="127" spans="1:10" hidden="1">
      <c r="A127" s="975" t="s">
        <v>241</v>
      </c>
      <c r="B127" s="978" t="s">
        <v>388</v>
      </c>
      <c r="C127" s="981">
        <v>2025</v>
      </c>
      <c r="D127" s="244" t="s">
        <v>0</v>
      </c>
      <c r="E127" s="245">
        <v>419212</v>
      </c>
      <c r="F127" s="997" t="s">
        <v>356</v>
      </c>
      <c r="G127" s="245">
        <f t="shared" si="8"/>
        <v>419212</v>
      </c>
      <c r="H127" s="245">
        <v>419212</v>
      </c>
      <c r="I127" s="245">
        <v>0</v>
      </c>
      <c r="J127" s="978" t="s">
        <v>359</v>
      </c>
    </row>
    <row r="128" spans="1:10" hidden="1">
      <c r="A128" s="976"/>
      <c r="B128" s="979"/>
      <c r="C128" s="982"/>
      <c r="D128" s="244" t="s">
        <v>1</v>
      </c>
      <c r="E128" s="245"/>
      <c r="F128" s="998"/>
      <c r="G128" s="245">
        <f t="shared" si="8"/>
        <v>0</v>
      </c>
      <c r="H128" s="245"/>
      <c r="I128" s="245"/>
      <c r="J128" s="979"/>
    </row>
    <row r="129" spans="1:10" hidden="1">
      <c r="A129" s="977"/>
      <c r="B129" s="980"/>
      <c r="C129" s="983"/>
      <c r="D129" s="244" t="s">
        <v>2</v>
      </c>
      <c r="E129" s="245">
        <f>E127+E128</f>
        <v>419212</v>
      </c>
      <c r="F129" s="999"/>
      <c r="G129" s="245">
        <f>G127+G128</f>
        <v>419212</v>
      </c>
      <c r="H129" s="245">
        <f>H127+H128</f>
        <v>419212</v>
      </c>
      <c r="I129" s="245">
        <f>I127+I128</f>
        <v>0</v>
      </c>
      <c r="J129" s="980"/>
    </row>
    <row r="130" spans="1:10">
      <c r="A130" s="984" t="s">
        <v>61</v>
      </c>
      <c r="B130" s="990" t="s">
        <v>62</v>
      </c>
      <c r="C130" s="971" t="s">
        <v>356</v>
      </c>
      <c r="D130" s="233" t="s">
        <v>0</v>
      </c>
      <c r="E130" s="243">
        <f>E142+E133+E136+E139</f>
        <v>2687637</v>
      </c>
      <c r="F130" s="1003" t="s">
        <v>356</v>
      </c>
      <c r="G130" s="243">
        <f t="shared" ref="G130:I131" si="9">G142+G133+G136+G139</f>
        <v>2687637</v>
      </c>
      <c r="H130" s="243">
        <f t="shared" si="9"/>
        <v>2687637</v>
      </c>
      <c r="I130" s="243">
        <f t="shared" si="9"/>
        <v>0</v>
      </c>
      <c r="J130" s="971" t="s">
        <v>356</v>
      </c>
    </row>
    <row r="131" spans="1:10">
      <c r="A131" s="985"/>
      <c r="B131" s="991"/>
      <c r="C131" s="972"/>
      <c r="D131" s="233" t="s">
        <v>1</v>
      </c>
      <c r="E131" s="243">
        <f>E143+E134+E137+E140</f>
        <v>2391893</v>
      </c>
      <c r="F131" s="1004"/>
      <c r="G131" s="243">
        <f t="shared" si="9"/>
        <v>2391893</v>
      </c>
      <c r="H131" s="243">
        <f t="shared" si="9"/>
        <v>993710</v>
      </c>
      <c r="I131" s="243">
        <f t="shared" si="9"/>
        <v>1398183</v>
      </c>
      <c r="J131" s="972"/>
    </row>
    <row r="132" spans="1:10">
      <c r="A132" s="986"/>
      <c r="B132" s="992"/>
      <c r="C132" s="973"/>
      <c r="D132" s="233" t="s">
        <v>2</v>
      </c>
      <c r="E132" s="243">
        <f>E130+E131</f>
        <v>5079530</v>
      </c>
      <c r="F132" s="1005"/>
      <c r="G132" s="243">
        <f>G130+G131</f>
        <v>5079530</v>
      </c>
      <c r="H132" s="243">
        <f>H130+H131</f>
        <v>3681347</v>
      </c>
      <c r="I132" s="243">
        <f>I130+I131</f>
        <v>1398183</v>
      </c>
      <c r="J132" s="973"/>
    </row>
    <row r="133" spans="1:10" hidden="1">
      <c r="A133" s="975" t="s">
        <v>389</v>
      </c>
      <c r="B133" s="978" t="s">
        <v>390</v>
      </c>
      <c r="C133" s="981">
        <v>2025</v>
      </c>
      <c r="D133" s="244" t="s">
        <v>0</v>
      </c>
      <c r="E133" s="245">
        <v>2017637</v>
      </c>
      <c r="F133" s="997" t="s">
        <v>356</v>
      </c>
      <c r="G133" s="245">
        <f>H133+I133</f>
        <v>2017637</v>
      </c>
      <c r="H133" s="245">
        <v>2017637</v>
      </c>
      <c r="I133" s="245">
        <v>0</v>
      </c>
      <c r="J133" s="978" t="s">
        <v>391</v>
      </c>
    </row>
    <row r="134" spans="1:10" hidden="1">
      <c r="A134" s="976"/>
      <c r="B134" s="979"/>
      <c r="C134" s="982"/>
      <c r="D134" s="244" t="s">
        <v>1</v>
      </c>
      <c r="E134" s="245"/>
      <c r="F134" s="998"/>
      <c r="G134" s="245">
        <f>H134+I134</f>
        <v>0</v>
      </c>
      <c r="H134" s="245"/>
      <c r="I134" s="245"/>
      <c r="J134" s="979"/>
    </row>
    <row r="135" spans="1:10" hidden="1">
      <c r="A135" s="977"/>
      <c r="B135" s="980"/>
      <c r="C135" s="983"/>
      <c r="D135" s="244" t="s">
        <v>2</v>
      </c>
      <c r="E135" s="245">
        <f>E133+E134</f>
        <v>2017637</v>
      </c>
      <c r="F135" s="999"/>
      <c r="G135" s="245">
        <f>G133+G134</f>
        <v>2017637</v>
      </c>
      <c r="H135" s="245">
        <f>H133+H134</f>
        <v>2017637</v>
      </c>
      <c r="I135" s="245">
        <f>I133+I134</f>
        <v>0</v>
      </c>
      <c r="J135" s="980"/>
    </row>
    <row r="136" spans="1:10">
      <c r="A136" s="975" t="s">
        <v>389</v>
      </c>
      <c r="B136" s="978" t="s">
        <v>392</v>
      </c>
      <c r="C136" s="981">
        <v>2025</v>
      </c>
      <c r="D136" s="244" t="s">
        <v>0</v>
      </c>
      <c r="E136" s="245">
        <v>0</v>
      </c>
      <c r="F136" s="997" t="s">
        <v>356</v>
      </c>
      <c r="G136" s="245">
        <f>H136+I136</f>
        <v>0</v>
      </c>
      <c r="H136" s="245">
        <v>0</v>
      </c>
      <c r="I136" s="245">
        <v>0</v>
      </c>
      <c r="J136" s="978" t="s">
        <v>393</v>
      </c>
    </row>
    <row r="137" spans="1:10">
      <c r="A137" s="976"/>
      <c r="B137" s="979"/>
      <c r="C137" s="982"/>
      <c r="D137" s="244" t="s">
        <v>1</v>
      </c>
      <c r="E137" s="245">
        <v>1398183</v>
      </c>
      <c r="F137" s="998"/>
      <c r="G137" s="245">
        <f>H137+I137</f>
        <v>1398183</v>
      </c>
      <c r="H137" s="245"/>
      <c r="I137" s="245">
        <v>1398183</v>
      </c>
      <c r="J137" s="979"/>
    </row>
    <row r="138" spans="1:10">
      <c r="A138" s="977"/>
      <c r="B138" s="980"/>
      <c r="C138" s="983"/>
      <c r="D138" s="244" t="s">
        <v>2</v>
      </c>
      <c r="E138" s="245">
        <f>E136+E137</f>
        <v>1398183</v>
      </c>
      <c r="F138" s="999"/>
      <c r="G138" s="245">
        <f>G136+G137</f>
        <v>1398183</v>
      </c>
      <c r="H138" s="245">
        <f>H136+H137</f>
        <v>0</v>
      </c>
      <c r="I138" s="245">
        <f>I136+I137</f>
        <v>1398183</v>
      </c>
      <c r="J138" s="980"/>
    </row>
    <row r="139" spans="1:10">
      <c r="A139" s="975" t="s">
        <v>389</v>
      </c>
      <c r="B139" s="978" t="s">
        <v>394</v>
      </c>
      <c r="C139" s="981">
        <v>2025</v>
      </c>
      <c r="D139" s="244" t="s">
        <v>0</v>
      </c>
      <c r="E139" s="245">
        <v>0</v>
      </c>
      <c r="F139" s="997" t="s">
        <v>356</v>
      </c>
      <c r="G139" s="245">
        <f>H139+I139</f>
        <v>0</v>
      </c>
      <c r="H139" s="245">
        <v>0</v>
      </c>
      <c r="I139" s="245">
        <v>0</v>
      </c>
      <c r="J139" s="978" t="s">
        <v>395</v>
      </c>
    </row>
    <row r="140" spans="1:10">
      <c r="A140" s="976"/>
      <c r="B140" s="979"/>
      <c r="C140" s="982"/>
      <c r="D140" s="244" t="s">
        <v>1</v>
      </c>
      <c r="E140" s="245">
        <v>993710</v>
      </c>
      <c r="F140" s="998"/>
      <c r="G140" s="245">
        <f>H140+I140</f>
        <v>993710</v>
      </c>
      <c r="H140" s="245">
        <v>993710</v>
      </c>
      <c r="I140" s="245"/>
      <c r="J140" s="979"/>
    </row>
    <row r="141" spans="1:10">
      <c r="A141" s="977"/>
      <c r="B141" s="980"/>
      <c r="C141" s="983"/>
      <c r="D141" s="244" t="s">
        <v>2</v>
      </c>
      <c r="E141" s="245">
        <f>E139+E140</f>
        <v>993710</v>
      </c>
      <c r="F141" s="999"/>
      <c r="G141" s="245">
        <f>G139+G140</f>
        <v>993710</v>
      </c>
      <c r="H141" s="245">
        <f>H139+H140</f>
        <v>993710</v>
      </c>
      <c r="I141" s="245">
        <f>I139+I140</f>
        <v>0</v>
      </c>
      <c r="J141" s="980"/>
    </row>
    <row r="142" spans="1:10" hidden="1">
      <c r="A142" s="975" t="s">
        <v>396</v>
      </c>
      <c r="B142" s="978" t="s">
        <v>397</v>
      </c>
      <c r="C142" s="981">
        <v>2025</v>
      </c>
      <c r="D142" s="244" t="s">
        <v>0</v>
      </c>
      <c r="E142" s="245">
        <v>670000</v>
      </c>
      <c r="F142" s="997" t="s">
        <v>356</v>
      </c>
      <c r="G142" s="245">
        <f>H142+I142</f>
        <v>670000</v>
      </c>
      <c r="H142" s="245">
        <v>670000</v>
      </c>
      <c r="I142" s="245">
        <v>0</v>
      </c>
      <c r="J142" s="978" t="s">
        <v>398</v>
      </c>
    </row>
    <row r="143" spans="1:10" hidden="1">
      <c r="A143" s="976"/>
      <c r="B143" s="979"/>
      <c r="C143" s="982"/>
      <c r="D143" s="244" t="s">
        <v>1</v>
      </c>
      <c r="E143" s="245"/>
      <c r="F143" s="998"/>
      <c r="G143" s="245">
        <f>H143+I143</f>
        <v>0</v>
      </c>
      <c r="H143" s="245"/>
      <c r="I143" s="245"/>
      <c r="J143" s="979"/>
    </row>
    <row r="144" spans="1:10" hidden="1">
      <c r="A144" s="977"/>
      <c r="B144" s="980"/>
      <c r="C144" s="983"/>
      <c r="D144" s="244" t="s">
        <v>2</v>
      </c>
      <c r="E144" s="245">
        <f>E142+E143</f>
        <v>670000</v>
      </c>
      <c r="F144" s="999"/>
      <c r="G144" s="245">
        <f>G142+G143</f>
        <v>670000</v>
      </c>
      <c r="H144" s="245">
        <f>H142+H143</f>
        <v>670000</v>
      </c>
      <c r="I144" s="245">
        <f>I142+I143</f>
        <v>0</v>
      </c>
      <c r="J144" s="980"/>
    </row>
    <row r="145" spans="1:10" hidden="1">
      <c r="A145" s="984" t="s">
        <v>25</v>
      </c>
      <c r="B145" s="990" t="s">
        <v>63</v>
      </c>
      <c r="C145" s="971" t="s">
        <v>356</v>
      </c>
      <c r="D145" s="233" t="s">
        <v>0</v>
      </c>
      <c r="E145" s="243">
        <f>E148+E151</f>
        <v>587830</v>
      </c>
      <c r="F145" s="1003" t="s">
        <v>356</v>
      </c>
      <c r="G145" s="243">
        <f t="shared" ref="G145:I146" si="10">G148+G151</f>
        <v>587830</v>
      </c>
      <c r="H145" s="243">
        <f t="shared" si="10"/>
        <v>587830</v>
      </c>
      <c r="I145" s="243">
        <f t="shared" si="10"/>
        <v>0</v>
      </c>
      <c r="J145" s="971" t="s">
        <v>356</v>
      </c>
    </row>
    <row r="146" spans="1:10" hidden="1">
      <c r="A146" s="985"/>
      <c r="B146" s="991"/>
      <c r="C146" s="972"/>
      <c r="D146" s="233" t="s">
        <v>1</v>
      </c>
      <c r="E146" s="243">
        <f>E149+E152</f>
        <v>0</v>
      </c>
      <c r="F146" s="1004"/>
      <c r="G146" s="243">
        <f t="shared" si="10"/>
        <v>0</v>
      </c>
      <c r="H146" s="243">
        <f t="shared" si="10"/>
        <v>0</v>
      </c>
      <c r="I146" s="243">
        <f t="shared" si="10"/>
        <v>0</v>
      </c>
      <c r="J146" s="972"/>
    </row>
    <row r="147" spans="1:10" hidden="1">
      <c r="A147" s="986"/>
      <c r="B147" s="992"/>
      <c r="C147" s="973"/>
      <c r="D147" s="233" t="s">
        <v>2</v>
      </c>
      <c r="E147" s="243">
        <f>E145+E146</f>
        <v>587830</v>
      </c>
      <c r="F147" s="1005"/>
      <c r="G147" s="243">
        <f>G145+G146</f>
        <v>587830</v>
      </c>
      <c r="H147" s="243">
        <f>H145+H146</f>
        <v>587830</v>
      </c>
      <c r="I147" s="243">
        <f>I145+I146</f>
        <v>0</v>
      </c>
      <c r="J147" s="973"/>
    </row>
    <row r="148" spans="1:10" hidden="1">
      <c r="A148" s="975" t="s">
        <v>399</v>
      </c>
      <c r="B148" s="978" t="s">
        <v>361</v>
      </c>
      <c r="C148" s="981">
        <v>2025</v>
      </c>
      <c r="D148" s="244" t="s">
        <v>0</v>
      </c>
      <c r="E148" s="245">
        <v>222600</v>
      </c>
      <c r="F148" s="997" t="s">
        <v>356</v>
      </c>
      <c r="G148" s="245">
        <f>H148+I148</f>
        <v>222600</v>
      </c>
      <c r="H148" s="245">
        <v>222600</v>
      </c>
      <c r="I148" s="245">
        <v>0</v>
      </c>
      <c r="J148" s="978" t="s">
        <v>400</v>
      </c>
    </row>
    <row r="149" spans="1:10" hidden="1">
      <c r="A149" s="976"/>
      <c r="B149" s="979"/>
      <c r="C149" s="982"/>
      <c r="D149" s="244" t="s">
        <v>1</v>
      </c>
      <c r="E149" s="245"/>
      <c r="F149" s="998"/>
      <c r="G149" s="245">
        <f>H149+I149</f>
        <v>0</v>
      </c>
      <c r="H149" s="245"/>
      <c r="I149" s="245"/>
      <c r="J149" s="979"/>
    </row>
    <row r="150" spans="1:10" hidden="1">
      <c r="A150" s="977"/>
      <c r="B150" s="980"/>
      <c r="C150" s="983"/>
      <c r="D150" s="244" t="s">
        <v>2</v>
      </c>
      <c r="E150" s="245">
        <f>E148+E149</f>
        <v>222600</v>
      </c>
      <c r="F150" s="999"/>
      <c r="G150" s="245">
        <f>G148+G149</f>
        <v>222600</v>
      </c>
      <c r="H150" s="245">
        <f>H148+H149</f>
        <v>222600</v>
      </c>
      <c r="I150" s="245">
        <f>I148+I149</f>
        <v>0</v>
      </c>
      <c r="J150" s="980"/>
    </row>
    <row r="151" spans="1:10" hidden="1">
      <c r="A151" s="975" t="s">
        <v>399</v>
      </c>
      <c r="B151" s="978" t="s">
        <v>378</v>
      </c>
      <c r="C151" s="981">
        <v>2025</v>
      </c>
      <c r="D151" s="244" t="s">
        <v>0</v>
      </c>
      <c r="E151" s="245">
        <v>365230</v>
      </c>
      <c r="F151" s="997" t="s">
        <v>356</v>
      </c>
      <c r="G151" s="245">
        <f>H151+I151</f>
        <v>365230</v>
      </c>
      <c r="H151" s="245">
        <v>365230</v>
      </c>
      <c r="I151" s="245">
        <v>0</v>
      </c>
      <c r="J151" s="978" t="s">
        <v>400</v>
      </c>
    </row>
    <row r="152" spans="1:10" hidden="1">
      <c r="A152" s="976"/>
      <c r="B152" s="979"/>
      <c r="C152" s="982"/>
      <c r="D152" s="244" t="s">
        <v>1</v>
      </c>
      <c r="E152" s="245"/>
      <c r="F152" s="998"/>
      <c r="G152" s="245">
        <f>H152+I152</f>
        <v>0</v>
      </c>
      <c r="H152" s="245"/>
      <c r="I152" s="245"/>
      <c r="J152" s="979"/>
    </row>
    <row r="153" spans="1:10" hidden="1">
      <c r="A153" s="977"/>
      <c r="B153" s="980"/>
      <c r="C153" s="983"/>
      <c r="D153" s="244" t="s">
        <v>2</v>
      </c>
      <c r="E153" s="245">
        <f>E151+E152</f>
        <v>365230</v>
      </c>
      <c r="F153" s="999"/>
      <c r="G153" s="245">
        <f>G151+G152</f>
        <v>365230</v>
      </c>
      <c r="H153" s="245">
        <f>H151+H152</f>
        <v>365230</v>
      </c>
      <c r="I153" s="245">
        <f>I151+I152</f>
        <v>0</v>
      </c>
      <c r="J153" s="980"/>
    </row>
    <row r="154" spans="1:10" hidden="1">
      <c r="A154" s="984" t="s">
        <v>64</v>
      </c>
      <c r="B154" s="987" t="s">
        <v>260</v>
      </c>
      <c r="C154" s="971" t="s">
        <v>356</v>
      </c>
      <c r="D154" s="233" t="s">
        <v>0</v>
      </c>
      <c r="E154" s="243">
        <f>E157+E160</f>
        <v>629500</v>
      </c>
      <c r="F154" s="1003" t="s">
        <v>356</v>
      </c>
      <c r="G154" s="243">
        <f t="shared" ref="G154:I155" si="11">G157+G160</f>
        <v>629500</v>
      </c>
      <c r="H154" s="243">
        <f t="shared" si="11"/>
        <v>629500</v>
      </c>
      <c r="I154" s="243">
        <f t="shared" si="11"/>
        <v>0</v>
      </c>
      <c r="J154" s="971" t="s">
        <v>356</v>
      </c>
    </row>
    <row r="155" spans="1:10" hidden="1">
      <c r="A155" s="985"/>
      <c r="B155" s="988"/>
      <c r="C155" s="972"/>
      <c r="D155" s="233" t="s">
        <v>1</v>
      </c>
      <c r="E155" s="243">
        <f>E158+E161</f>
        <v>0</v>
      </c>
      <c r="F155" s="1004"/>
      <c r="G155" s="243">
        <f t="shared" si="11"/>
        <v>0</v>
      </c>
      <c r="H155" s="243">
        <f t="shared" si="11"/>
        <v>0</v>
      </c>
      <c r="I155" s="243">
        <f t="shared" si="11"/>
        <v>0</v>
      </c>
      <c r="J155" s="972"/>
    </row>
    <row r="156" spans="1:10" hidden="1">
      <c r="A156" s="986"/>
      <c r="B156" s="989"/>
      <c r="C156" s="973"/>
      <c r="D156" s="233" t="s">
        <v>2</v>
      </c>
      <c r="E156" s="243">
        <f>E154+E155</f>
        <v>629500</v>
      </c>
      <c r="F156" s="1005"/>
      <c r="G156" s="243">
        <f>G154+G155</f>
        <v>629500</v>
      </c>
      <c r="H156" s="243">
        <f>H154+H155</f>
        <v>629500</v>
      </c>
      <c r="I156" s="243">
        <f>I154+I155</f>
        <v>0</v>
      </c>
      <c r="J156" s="973"/>
    </row>
    <row r="157" spans="1:10" hidden="1">
      <c r="A157" s="975" t="s">
        <v>401</v>
      </c>
      <c r="B157" s="978" t="s">
        <v>402</v>
      </c>
      <c r="C157" s="981">
        <v>2025</v>
      </c>
      <c r="D157" s="244" t="s">
        <v>0</v>
      </c>
      <c r="E157" s="245">
        <v>14500</v>
      </c>
      <c r="F157" s="997" t="s">
        <v>356</v>
      </c>
      <c r="G157" s="245">
        <f>H157+I157</f>
        <v>14500</v>
      </c>
      <c r="H157" s="245">
        <v>14500</v>
      </c>
      <c r="I157" s="245">
        <v>0</v>
      </c>
      <c r="J157" s="978" t="s">
        <v>403</v>
      </c>
    </row>
    <row r="158" spans="1:10" hidden="1">
      <c r="A158" s="976"/>
      <c r="B158" s="979"/>
      <c r="C158" s="982"/>
      <c r="D158" s="244" t="s">
        <v>1</v>
      </c>
      <c r="E158" s="245"/>
      <c r="F158" s="998"/>
      <c r="G158" s="245">
        <f>H158+I158</f>
        <v>0</v>
      </c>
      <c r="H158" s="245"/>
      <c r="I158" s="245"/>
      <c r="J158" s="979"/>
    </row>
    <row r="159" spans="1:10" hidden="1">
      <c r="A159" s="977"/>
      <c r="B159" s="980"/>
      <c r="C159" s="983"/>
      <c r="D159" s="244" t="s">
        <v>2</v>
      </c>
      <c r="E159" s="245">
        <f>E157+E158</f>
        <v>14500</v>
      </c>
      <c r="F159" s="999"/>
      <c r="G159" s="245">
        <f>G157+G158</f>
        <v>14500</v>
      </c>
      <c r="H159" s="245">
        <f>H157+H158</f>
        <v>14500</v>
      </c>
      <c r="I159" s="245">
        <f>I157+I158</f>
        <v>0</v>
      </c>
      <c r="J159" s="980"/>
    </row>
    <row r="160" spans="1:10" hidden="1">
      <c r="A160" s="975" t="s">
        <v>401</v>
      </c>
      <c r="B160" s="978" t="s">
        <v>404</v>
      </c>
      <c r="C160" s="981">
        <v>2025</v>
      </c>
      <c r="D160" s="244" t="s">
        <v>0</v>
      </c>
      <c r="E160" s="245">
        <v>615000</v>
      </c>
      <c r="F160" s="997" t="s">
        <v>356</v>
      </c>
      <c r="G160" s="245">
        <f>H160+I160</f>
        <v>615000</v>
      </c>
      <c r="H160" s="245">
        <v>615000</v>
      </c>
      <c r="I160" s="245">
        <v>0</v>
      </c>
      <c r="J160" s="978" t="s">
        <v>403</v>
      </c>
    </row>
    <row r="161" spans="1:10" hidden="1">
      <c r="A161" s="976"/>
      <c r="B161" s="979"/>
      <c r="C161" s="982"/>
      <c r="D161" s="244" t="s">
        <v>1</v>
      </c>
      <c r="E161" s="245"/>
      <c r="F161" s="998"/>
      <c r="G161" s="245">
        <f>H161+I161</f>
        <v>0</v>
      </c>
      <c r="H161" s="245"/>
      <c r="I161" s="245"/>
      <c r="J161" s="979"/>
    </row>
    <row r="162" spans="1:10" hidden="1">
      <c r="A162" s="977"/>
      <c r="B162" s="980"/>
      <c r="C162" s="983"/>
      <c r="D162" s="244" t="s">
        <v>2</v>
      </c>
      <c r="E162" s="245">
        <f>E160+E161</f>
        <v>615000</v>
      </c>
      <c r="F162" s="999"/>
      <c r="G162" s="245">
        <f>G160+G161</f>
        <v>615000</v>
      </c>
      <c r="H162" s="245">
        <f>H160+H161</f>
        <v>615000</v>
      </c>
      <c r="I162" s="245">
        <f>I160+I161</f>
        <v>0</v>
      </c>
      <c r="J162" s="980"/>
    </row>
    <row r="163" spans="1:10">
      <c r="A163" s="984" t="s">
        <v>26</v>
      </c>
      <c r="B163" s="990" t="s">
        <v>28</v>
      </c>
      <c r="C163" s="971" t="s">
        <v>356</v>
      </c>
      <c r="D163" s="233" t="s">
        <v>0</v>
      </c>
      <c r="E163" s="243">
        <f>E166+E169+E172+E175</f>
        <v>1660320</v>
      </c>
      <c r="F163" s="1003" t="s">
        <v>356</v>
      </c>
      <c r="G163" s="243">
        <f t="shared" ref="G163:I164" si="12">G166+G169+G172+G175</f>
        <v>1660320</v>
      </c>
      <c r="H163" s="243">
        <f t="shared" si="12"/>
        <v>1660320</v>
      </c>
      <c r="I163" s="243">
        <f t="shared" si="12"/>
        <v>0</v>
      </c>
      <c r="J163" s="971" t="s">
        <v>356</v>
      </c>
    </row>
    <row r="164" spans="1:10">
      <c r="A164" s="985"/>
      <c r="B164" s="991"/>
      <c r="C164" s="972"/>
      <c r="D164" s="233" t="s">
        <v>1</v>
      </c>
      <c r="E164" s="243">
        <f>E167+E170+E173+E176</f>
        <v>45620</v>
      </c>
      <c r="F164" s="1004"/>
      <c r="G164" s="243">
        <f t="shared" si="12"/>
        <v>45620</v>
      </c>
      <c r="H164" s="243">
        <f t="shared" si="12"/>
        <v>45620</v>
      </c>
      <c r="I164" s="243">
        <f t="shared" si="12"/>
        <v>0</v>
      </c>
      <c r="J164" s="972"/>
    </row>
    <row r="165" spans="1:10">
      <c r="A165" s="986"/>
      <c r="B165" s="992"/>
      <c r="C165" s="973"/>
      <c r="D165" s="233" t="s">
        <v>2</v>
      </c>
      <c r="E165" s="243">
        <f>E163+E164</f>
        <v>1705940</v>
      </c>
      <c r="F165" s="1005"/>
      <c r="G165" s="243">
        <f>G163+G164</f>
        <v>1705940</v>
      </c>
      <c r="H165" s="243">
        <f>H163+H164</f>
        <v>1705940</v>
      </c>
      <c r="I165" s="243">
        <f>I163+I164</f>
        <v>0</v>
      </c>
      <c r="J165" s="973"/>
    </row>
    <row r="166" spans="1:10" hidden="1">
      <c r="A166" s="975" t="s">
        <v>405</v>
      </c>
      <c r="B166" s="978" t="s">
        <v>406</v>
      </c>
      <c r="C166" s="981">
        <v>2025</v>
      </c>
      <c r="D166" s="244" t="s">
        <v>0</v>
      </c>
      <c r="E166" s="245">
        <v>200000</v>
      </c>
      <c r="F166" s="997" t="s">
        <v>356</v>
      </c>
      <c r="G166" s="245">
        <f t="shared" ref="G166:G176" si="13">H166+I166</f>
        <v>200000</v>
      </c>
      <c r="H166" s="245">
        <v>200000</v>
      </c>
      <c r="I166" s="245">
        <v>0</v>
      </c>
      <c r="J166" s="978" t="s">
        <v>359</v>
      </c>
    </row>
    <row r="167" spans="1:10" hidden="1">
      <c r="A167" s="976"/>
      <c r="B167" s="979"/>
      <c r="C167" s="982"/>
      <c r="D167" s="244" t="s">
        <v>1</v>
      </c>
      <c r="E167" s="245"/>
      <c r="F167" s="998"/>
      <c r="G167" s="245">
        <f t="shared" si="13"/>
        <v>0</v>
      </c>
      <c r="H167" s="245"/>
      <c r="I167" s="245"/>
      <c r="J167" s="979"/>
    </row>
    <row r="168" spans="1:10" hidden="1">
      <c r="A168" s="977"/>
      <c r="B168" s="980"/>
      <c r="C168" s="983"/>
      <c r="D168" s="244" t="s">
        <v>2</v>
      </c>
      <c r="E168" s="245">
        <f>E166+E167</f>
        <v>200000</v>
      </c>
      <c r="F168" s="999"/>
      <c r="G168" s="245">
        <f>G166+G167</f>
        <v>200000</v>
      </c>
      <c r="H168" s="245">
        <f>H166+H167</f>
        <v>200000</v>
      </c>
      <c r="I168" s="245">
        <f>I166+I167</f>
        <v>0</v>
      </c>
      <c r="J168" s="980"/>
    </row>
    <row r="169" spans="1:10" hidden="1">
      <c r="A169" s="975" t="s">
        <v>405</v>
      </c>
      <c r="B169" s="978" t="s">
        <v>407</v>
      </c>
      <c r="C169" s="981">
        <v>2025</v>
      </c>
      <c r="D169" s="244" t="s">
        <v>0</v>
      </c>
      <c r="E169" s="245">
        <v>200000</v>
      </c>
      <c r="F169" s="997" t="s">
        <v>356</v>
      </c>
      <c r="G169" s="245">
        <f t="shared" si="13"/>
        <v>200000</v>
      </c>
      <c r="H169" s="245">
        <v>200000</v>
      </c>
      <c r="I169" s="245">
        <v>0</v>
      </c>
      <c r="J169" s="978" t="s">
        <v>359</v>
      </c>
    </row>
    <row r="170" spans="1:10" hidden="1">
      <c r="A170" s="976"/>
      <c r="B170" s="979"/>
      <c r="C170" s="982"/>
      <c r="D170" s="244" t="s">
        <v>1</v>
      </c>
      <c r="E170" s="245"/>
      <c r="F170" s="998"/>
      <c r="G170" s="245">
        <f t="shared" si="13"/>
        <v>0</v>
      </c>
      <c r="H170" s="245"/>
      <c r="I170" s="245"/>
      <c r="J170" s="979"/>
    </row>
    <row r="171" spans="1:10" hidden="1">
      <c r="A171" s="977"/>
      <c r="B171" s="980"/>
      <c r="C171" s="983"/>
      <c r="D171" s="244" t="s">
        <v>2</v>
      </c>
      <c r="E171" s="245">
        <f>E169+E170</f>
        <v>200000</v>
      </c>
      <c r="F171" s="999"/>
      <c r="G171" s="245">
        <f>G169+G170</f>
        <v>200000</v>
      </c>
      <c r="H171" s="245">
        <f>H169+H170</f>
        <v>200000</v>
      </c>
      <c r="I171" s="245">
        <f>I169+I170</f>
        <v>0</v>
      </c>
      <c r="J171" s="980"/>
    </row>
    <row r="172" spans="1:10" ht="18" customHeight="1">
      <c r="A172" s="975" t="s">
        <v>405</v>
      </c>
      <c r="B172" s="978" t="s">
        <v>408</v>
      </c>
      <c r="C172" s="981">
        <v>2025</v>
      </c>
      <c r="D172" s="244" t="s">
        <v>0</v>
      </c>
      <c r="E172" s="245">
        <v>760320</v>
      </c>
      <c r="F172" s="997" t="s">
        <v>356</v>
      </c>
      <c r="G172" s="245">
        <f t="shared" si="13"/>
        <v>760320</v>
      </c>
      <c r="H172" s="245">
        <v>760320</v>
      </c>
      <c r="I172" s="245">
        <v>0</v>
      </c>
      <c r="J172" s="978" t="s">
        <v>359</v>
      </c>
    </row>
    <row r="173" spans="1:10" ht="18" customHeight="1">
      <c r="A173" s="976"/>
      <c r="B173" s="979"/>
      <c r="C173" s="982"/>
      <c r="D173" s="244" t="s">
        <v>1</v>
      </c>
      <c r="E173" s="245">
        <v>45620</v>
      </c>
      <c r="F173" s="998"/>
      <c r="G173" s="245">
        <f t="shared" si="13"/>
        <v>45620</v>
      </c>
      <c r="H173" s="245">
        <v>45620</v>
      </c>
      <c r="I173" s="245"/>
      <c r="J173" s="979"/>
    </row>
    <row r="174" spans="1:10" ht="18" customHeight="1">
      <c r="A174" s="977"/>
      <c r="B174" s="980"/>
      <c r="C174" s="983"/>
      <c r="D174" s="244" t="s">
        <v>2</v>
      </c>
      <c r="E174" s="245">
        <f>E172+E173</f>
        <v>805940</v>
      </c>
      <c r="F174" s="999"/>
      <c r="G174" s="245">
        <f>G172+G173</f>
        <v>805940</v>
      </c>
      <c r="H174" s="245">
        <f>H172+H173</f>
        <v>805940</v>
      </c>
      <c r="I174" s="245">
        <f>I172+I173</f>
        <v>0</v>
      </c>
      <c r="J174" s="980"/>
    </row>
    <row r="175" spans="1:10" hidden="1">
      <c r="A175" s="975" t="s">
        <v>405</v>
      </c>
      <c r="B175" s="978" t="s">
        <v>409</v>
      </c>
      <c r="C175" s="981">
        <v>2025</v>
      </c>
      <c r="D175" s="244" t="s">
        <v>0</v>
      </c>
      <c r="E175" s="245">
        <v>500000</v>
      </c>
      <c r="F175" s="997" t="s">
        <v>356</v>
      </c>
      <c r="G175" s="245">
        <f t="shared" si="13"/>
        <v>500000</v>
      </c>
      <c r="H175" s="245">
        <v>500000</v>
      </c>
      <c r="I175" s="245">
        <v>0</v>
      </c>
      <c r="J175" s="978" t="s">
        <v>359</v>
      </c>
    </row>
    <row r="176" spans="1:10" hidden="1">
      <c r="A176" s="976"/>
      <c r="B176" s="979"/>
      <c r="C176" s="982"/>
      <c r="D176" s="244" t="s">
        <v>1</v>
      </c>
      <c r="E176" s="245"/>
      <c r="F176" s="998"/>
      <c r="G176" s="245">
        <f t="shared" si="13"/>
        <v>0</v>
      </c>
      <c r="H176" s="245"/>
      <c r="I176" s="245"/>
      <c r="J176" s="979"/>
    </row>
    <row r="177" spans="1:10" hidden="1">
      <c r="A177" s="977"/>
      <c r="B177" s="980"/>
      <c r="C177" s="983"/>
      <c r="D177" s="244" t="s">
        <v>2</v>
      </c>
      <c r="E177" s="245">
        <f>E175+E176</f>
        <v>500000</v>
      </c>
      <c r="F177" s="999"/>
      <c r="G177" s="245">
        <f>G175+G176</f>
        <v>500000</v>
      </c>
      <c r="H177" s="245">
        <f>H175+H176</f>
        <v>500000</v>
      </c>
      <c r="I177" s="245">
        <f>I175+I176</f>
        <v>0</v>
      </c>
      <c r="J177" s="980"/>
    </row>
    <row r="178" spans="1:10" ht="14.1" customHeight="1">
      <c r="A178" s="984" t="s">
        <v>67</v>
      </c>
      <c r="B178" s="987" t="s">
        <v>68</v>
      </c>
      <c r="C178" s="971" t="s">
        <v>356</v>
      </c>
      <c r="D178" s="233" t="s">
        <v>0</v>
      </c>
      <c r="E178" s="243">
        <f>E181+E184+E193+E196+E199+E208+E214+E217+E226+E229+E241+E232+E238+E187+E220+E190+E235+E223+E211+E202+E205</f>
        <v>6676845</v>
      </c>
      <c r="F178" s="1003" t="s">
        <v>356</v>
      </c>
      <c r="G178" s="243">
        <f t="shared" ref="G178:I179" si="14">G181+G184+G193+G196+G199+G208+G214+G217+G226+G229+G241+G232+G238+G187+G220+G190+G235+G223+G211+G202+G205</f>
        <v>6676845</v>
      </c>
      <c r="H178" s="243">
        <f t="shared" si="14"/>
        <v>6418060</v>
      </c>
      <c r="I178" s="243">
        <f t="shared" si="14"/>
        <v>258785</v>
      </c>
      <c r="J178" s="971" t="s">
        <v>356</v>
      </c>
    </row>
    <row r="179" spans="1:10" ht="14.1" customHeight="1">
      <c r="A179" s="985"/>
      <c r="B179" s="988"/>
      <c r="C179" s="972"/>
      <c r="D179" s="233" t="s">
        <v>1</v>
      </c>
      <c r="E179" s="243">
        <f>E182+E185+E194+E197+E200+E209+E215+E218+E227+E230+E242+E233+E239+E188+E221+E191+E236+E224+E212+E203+E206</f>
        <v>2010940</v>
      </c>
      <c r="F179" s="1004"/>
      <c r="G179" s="243">
        <f t="shared" si="14"/>
        <v>2010940</v>
      </c>
      <c r="H179" s="243">
        <f t="shared" si="14"/>
        <v>2010940</v>
      </c>
      <c r="I179" s="243">
        <f t="shared" si="14"/>
        <v>0</v>
      </c>
      <c r="J179" s="972"/>
    </row>
    <row r="180" spans="1:10" ht="14.1" customHeight="1">
      <c r="A180" s="986"/>
      <c r="B180" s="989"/>
      <c r="C180" s="973"/>
      <c r="D180" s="233" t="s">
        <v>2</v>
      </c>
      <c r="E180" s="243">
        <f>E178+E179</f>
        <v>8687785</v>
      </c>
      <c r="F180" s="1005"/>
      <c r="G180" s="243">
        <f>G178+G179</f>
        <v>8687785</v>
      </c>
      <c r="H180" s="243">
        <f>H178+H179</f>
        <v>8429000</v>
      </c>
      <c r="I180" s="243">
        <f>I178+I179</f>
        <v>258785</v>
      </c>
      <c r="J180" s="973"/>
    </row>
    <row r="181" spans="1:10" hidden="1">
      <c r="A181" s="975" t="s">
        <v>410</v>
      </c>
      <c r="B181" s="978" t="s">
        <v>411</v>
      </c>
      <c r="C181" s="981">
        <v>2025</v>
      </c>
      <c r="D181" s="244" t="s">
        <v>0</v>
      </c>
      <c r="E181" s="245">
        <v>57850</v>
      </c>
      <c r="F181" s="997" t="s">
        <v>356</v>
      </c>
      <c r="G181" s="245">
        <f>H181+I181</f>
        <v>57850</v>
      </c>
      <c r="H181" s="245">
        <v>57850</v>
      </c>
      <c r="I181" s="245">
        <v>0</v>
      </c>
      <c r="J181" s="978" t="s">
        <v>412</v>
      </c>
    </row>
    <row r="182" spans="1:10" hidden="1">
      <c r="A182" s="976"/>
      <c r="B182" s="979"/>
      <c r="C182" s="982"/>
      <c r="D182" s="244" t="s">
        <v>1</v>
      </c>
      <c r="E182" s="245"/>
      <c r="F182" s="998"/>
      <c r="G182" s="245">
        <f>H182+I182</f>
        <v>0</v>
      </c>
      <c r="H182" s="245"/>
      <c r="I182" s="245"/>
      <c r="J182" s="979"/>
    </row>
    <row r="183" spans="1:10" hidden="1">
      <c r="A183" s="977"/>
      <c r="B183" s="980"/>
      <c r="C183" s="983"/>
      <c r="D183" s="244" t="s">
        <v>2</v>
      </c>
      <c r="E183" s="245">
        <f>E181+E182</f>
        <v>57850</v>
      </c>
      <c r="F183" s="999"/>
      <c r="G183" s="245">
        <f>G181+G182</f>
        <v>57850</v>
      </c>
      <c r="H183" s="245">
        <f>H181+H182</f>
        <v>57850</v>
      </c>
      <c r="I183" s="245">
        <f>I181+I182</f>
        <v>0</v>
      </c>
      <c r="J183" s="980"/>
    </row>
    <row r="184" spans="1:10" hidden="1">
      <c r="A184" s="975" t="s">
        <v>410</v>
      </c>
      <c r="B184" s="978" t="s">
        <v>413</v>
      </c>
      <c r="C184" s="981">
        <v>2025</v>
      </c>
      <c r="D184" s="244" t="s">
        <v>0</v>
      </c>
      <c r="E184" s="245">
        <v>270800</v>
      </c>
      <c r="F184" s="997" t="s">
        <v>356</v>
      </c>
      <c r="G184" s="245">
        <f>H184+I184</f>
        <v>270800</v>
      </c>
      <c r="H184" s="245">
        <v>270800</v>
      </c>
      <c r="I184" s="245">
        <v>0</v>
      </c>
      <c r="J184" s="978" t="s">
        <v>414</v>
      </c>
    </row>
    <row r="185" spans="1:10" hidden="1">
      <c r="A185" s="976"/>
      <c r="B185" s="979"/>
      <c r="C185" s="982"/>
      <c r="D185" s="244" t="s">
        <v>1</v>
      </c>
      <c r="E185" s="245"/>
      <c r="F185" s="998"/>
      <c r="G185" s="245">
        <f>H185+I185</f>
        <v>0</v>
      </c>
      <c r="H185" s="245"/>
      <c r="I185" s="245"/>
      <c r="J185" s="979"/>
    </row>
    <row r="186" spans="1:10" hidden="1">
      <c r="A186" s="977"/>
      <c r="B186" s="980"/>
      <c r="C186" s="983"/>
      <c r="D186" s="244" t="s">
        <v>2</v>
      </c>
      <c r="E186" s="245">
        <f>E184+E185</f>
        <v>270800</v>
      </c>
      <c r="F186" s="999"/>
      <c r="G186" s="245">
        <f>G184+G185</f>
        <v>270800</v>
      </c>
      <c r="H186" s="245">
        <f>H184+H185</f>
        <v>270800</v>
      </c>
      <c r="I186" s="245">
        <f>I184+I185</f>
        <v>0</v>
      </c>
      <c r="J186" s="980"/>
    </row>
    <row r="187" spans="1:10" hidden="1">
      <c r="A187" s="975" t="s">
        <v>410</v>
      </c>
      <c r="B187" s="978" t="s">
        <v>415</v>
      </c>
      <c r="C187" s="981">
        <v>2025</v>
      </c>
      <c r="D187" s="244" t="s">
        <v>0</v>
      </c>
      <c r="E187" s="245">
        <v>5160318</v>
      </c>
      <c r="F187" s="997" t="s">
        <v>356</v>
      </c>
      <c r="G187" s="245">
        <f>H187+I187</f>
        <v>5160318</v>
      </c>
      <c r="H187" s="245">
        <v>5160318</v>
      </c>
      <c r="I187" s="245">
        <v>0</v>
      </c>
      <c r="J187" s="978" t="s">
        <v>414</v>
      </c>
    </row>
    <row r="188" spans="1:10" hidden="1">
      <c r="A188" s="976"/>
      <c r="B188" s="979"/>
      <c r="C188" s="982"/>
      <c r="D188" s="244" t="s">
        <v>1</v>
      </c>
      <c r="E188" s="245"/>
      <c r="F188" s="998"/>
      <c r="G188" s="245">
        <f>H188+I188</f>
        <v>0</v>
      </c>
      <c r="H188" s="245"/>
      <c r="I188" s="245"/>
      <c r="J188" s="979"/>
    </row>
    <row r="189" spans="1:10" hidden="1">
      <c r="A189" s="977"/>
      <c r="B189" s="980"/>
      <c r="C189" s="983"/>
      <c r="D189" s="244" t="s">
        <v>2</v>
      </c>
      <c r="E189" s="245">
        <f>E187+E188</f>
        <v>5160318</v>
      </c>
      <c r="F189" s="999"/>
      <c r="G189" s="245">
        <f>G187+G188</f>
        <v>5160318</v>
      </c>
      <c r="H189" s="245">
        <f>H187+H188</f>
        <v>5160318</v>
      </c>
      <c r="I189" s="245">
        <f>I187+I188</f>
        <v>0</v>
      </c>
      <c r="J189" s="980"/>
    </row>
    <row r="190" spans="1:10" ht="14.1" customHeight="1">
      <c r="A190" s="975" t="s">
        <v>410</v>
      </c>
      <c r="B190" s="978" t="s">
        <v>416</v>
      </c>
      <c r="C190" s="981">
        <v>2025</v>
      </c>
      <c r="D190" s="244" t="s">
        <v>0</v>
      </c>
      <c r="E190" s="245">
        <v>0</v>
      </c>
      <c r="F190" s="997" t="s">
        <v>356</v>
      </c>
      <c r="G190" s="245">
        <f>H190+I190</f>
        <v>0</v>
      </c>
      <c r="H190" s="245">
        <v>0</v>
      </c>
      <c r="I190" s="245">
        <v>0</v>
      </c>
      <c r="J190" s="978" t="s">
        <v>417</v>
      </c>
    </row>
    <row r="191" spans="1:10" ht="14.1" customHeight="1">
      <c r="A191" s="976"/>
      <c r="B191" s="979"/>
      <c r="C191" s="982"/>
      <c r="D191" s="244" t="s">
        <v>1</v>
      </c>
      <c r="E191" s="245">
        <v>540000</v>
      </c>
      <c r="F191" s="998"/>
      <c r="G191" s="245">
        <f>H191+I191</f>
        <v>540000</v>
      </c>
      <c r="H191" s="245">
        <v>540000</v>
      </c>
      <c r="I191" s="245"/>
      <c r="J191" s="979"/>
    </row>
    <row r="192" spans="1:10" ht="14.1" customHeight="1">
      <c r="A192" s="977"/>
      <c r="B192" s="980"/>
      <c r="C192" s="983"/>
      <c r="D192" s="244" t="s">
        <v>2</v>
      </c>
      <c r="E192" s="245">
        <f>E190+E191</f>
        <v>540000</v>
      </c>
      <c r="F192" s="999"/>
      <c r="G192" s="245">
        <f>G190+G191</f>
        <v>540000</v>
      </c>
      <c r="H192" s="245">
        <f>H190+H191</f>
        <v>540000</v>
      </c>
      <c r="I192" s="245">
        <f>I190+I191</f>
        <v>0</v>
      </c>
      <c r="J192" s="980"/>
    </row>
    <row r="193" spans="1:10" hidden="1">
      <c r="A193" s="975" t="s">
        <v>418</v>
      </c>
      <c r="B193" s="978" t="s">
        <v>419</v>
      </c>
      <c r="C193" s="981">
        <v>2025</v>
      </c>
      <c r="D193" s="244" t="s">
        <v>0</v>
      </c>
      <c r="E193" s="245">
        <v>50000</v>
      </c>
      <c r="F193" s="997" t="s">
        <v>356</v>
      </c>
      <c r="G193" s="245">
        <f>H193+I193</f>
        <v>50000</v>
      </c>
      <c r="H193" s="245">
        <v>50000</v>
      </c>
      <c r="I193" s="245">
        <v>0</v>
      </c>
      <c r="J193" s="978" t="s">
        <v>420</v>
      </c>
    </row>
    <row r="194" spans="1:10" hidden="1">
      <c r="A194" s="976"/>
      <c r="B194" s="979"/>
      <c r="C194" s="982"/>
      <c r="D194" s="244" t="s">
        <v>1</v>
      </c>
      <c r="E194" s="245"/>
      <c r="F194" s="998"/>
      <c r="G194" s="245">
        <f>H194+I194</f>
        <v>0</v>
      </c>
      <c r="H194" s="245"/>
      <c r="I194" s="245"/>
      <c r="J194" s="979"/>
    </row>
    <row r="195" spans="1:10" hidden="1">
      <c r="A195" s="977"/>
      <c r="B195" s="980"/>
      <c r="C195" s="983"/>
      <c r="D195" s="244" t="s">
        <v>2</v>
      </c>
      <c r="E195" s="245">
        <f>E193+E194</f>
        <v>50000</v>
      </c>
      <c r="F195" s="999"/>
      <c r="G195" s="245">
        <f>G193+G194</f>
        <v>50000</v>
      </c>
      <c r="H195" s="245">
        <f>H193+H194</f>
        <v>50000</v>
      </c>
      <c r="I195" s="245">
        <f>I193+I194</f>
        <v>0</v>
      </c>
      <c r="J195" s="980"/>
    </row>
    <row r="196" spans="1:10" hidden="1">
      <c r="A196" s="975" t="s">
        <v>418</v>
      </c>
      <c r="B196" s="978" t="s">
        <v>361</v>
      </c>
      <c r="C196" s="981">
        <v>2025</v>
      </c>
      <c r="D196" s="244" t="s">
        <v>0</v>
      </c>
      <c r="E196" s="245">
        <v>19065</v>
      </c>
      <c r="F196" s="997" t="s">
        <v>356</v>
      </c>
      <c r="G196" s="245">
        <f>H196+I196</f>
        <v>19065</v>
      </c>
      <c r="H196" s="245">
        <v>19065</v>
      </c>
      <c r="I196" s="245">
        <v>0</v>
      </c>
      <c r="J196" s="978" t="s">
        <v>421</v>
      </c>
    </row>
    <row r="197" spans="1:10" hidden="1">
      <c r="A197" s="976"/>
      <c r="B197" s="979"/>
      <c r="C197" s="982"/>
      <c r="D197" s="244" t="s">
        <v>1</v>
      </c>
      <c r="E197" s="245"/>
      <c r="F197" s="998"/>
      <c r="G197" s="245">
        <f>H197+I197</f>
        <v>0</v>
      </c>
      <c r="H197" s="245"/>
      <c r="I197" s="245"/>
      <c r="J197" s="979"/>
    </row>
    <row r="198" spans="1:10" hidden="1">
      <c r="A198" s="977"/>
      <c r="B198" s="980"/>
      <c r="C198" s="983"/>
      <c r="D198" s="244" t="s">
        <v>2</v>
      </c>
      <c r="E198" s="245">
        <f>E196+E197</f>
        <v>19065</v>
      </c>
      <c r="F198" s="999"/>
      <c r="G198" s="245">
        <f>G196+G197</f>
        <v>19065</v>
      </c>
      <c r="H198" s="245">
        <f>H196+H197</f>
        <v>19065</v>
      </c>
      <c r="I198" s="245">
        <f>I196+I197</f>
        <v>0</v>
      </c>
      <c r="J198" s="980"/>
    </row>
    <row r="199" spans="1:10" hidden="1">
      <c r="A199" s="975" t="s">
        <v>418</v>
      </c>
      <c r="B199" s="978" t="s">
        <v>422</v>
      </c>
      <c r="C199" s="981">
        <v>2025</v>
      </c>
      <c r="D199" s="244" t="s">
        <v>0</v>
      </c>
      <c r="E199" s="245">
        <v>369000</v>
      </c>
      <c r="F199" s="997" t="s">
        <v>356</v>
      </c>
      <c r="G199" s="245">
        <f>H199+I199</f>
        <v>369000</v>
      </c>
      <c r="H199" s="245">
        <v>369000</v>
      </c>
      <c r="I199" s="245">
        <v>0</v>
      </c>
      <c r="J199" s="978" t="s">
        <v>421</v>
      </c>
    </row>
    <row r="200" spans="1:10" hidden="1">
      <c r="A200" s="976"/>
      <c r="B200" s="979"/>
      <c r="C200" s="982"/>
      <c r="D200" s="244" t="s">
        <v>1</v>
      </c>
      <c r="E200" s="245"/>
      <c r="F200" s="998"/>
      <c r="G200" s="245">
        <f>H200+I200</f>
        <v>0</v>
      </c>
      <c r="H200" s="245"/>
      <c r="I200" s="245"/>
      <c r="J200" s="979"/>
    </row>
    <row r="201" spans="1:10" hidden="1">
      <c r="A201" s="977"/>
      <c r="B201" s="980"/>
      <c r="C201" s="983"/>
      <c r="D201" s="244" t="s">
        <v>2</v>
      </c>
      <c r="E201" s="245">
        <f>E199+E200</f>
        <v>369000</v>
      </c>
      <c r="F201" s="999"/>
      <c r="G201" s="245">
        <f>G199+G200</f>
        <v>369000</v>
      </c>
      <c r="H201" s="245">
        <f>H199+H200</f>
        <v>369000</v>
      </c>
      <c r="I201" s="245">
        <f>I199+I200</f>
        <v>0</v>
      </c>
      <c r="J201" s="980"/>
    </row>
    <row r="202" spans="1:10" ht="14.1" customHeight="1">
      <c r="A202" s="975" t="s">
        <v>418</v>
      </c>
      <c r="B202" s="978" t="s">
        <v>423</v>
      </c>
      <c r="C202" s="981">
        <v>2025</v>
      </c>
      <c r="D202" s="244" t="s">
        <v>0</v>
      </c>
      <c r="E202" s="245">
        <v>0</v>
      </c>
      <c r="F202" s="997" t="s">
        <v>356</v>
      </c>
      <c r="G202" s="245">
        <f>H202+I202</f>
        <v>0</v>
      </c>
      <c r="H202" s="245">
        <v>0</v>
      </c>
      <c r="I202" s="245">
        <v>0</v>
      </c>
      <c r="J202" s="978" t="s">
        <v>421</v>
      </c>
    </row>
    <row r="203" spans="1:10" ht="14.1" customHeight="1">
      <c r="A203" s="976"/>
      <c r="B203" s="979"/>
      <c r="C203" s="982"/>
      <c r="D203" s="244" t="s">
        <v>1</v>
      </c>
      <c r="E203" s="245">
        <v>330000</v>
      </c>
      <c r="F203" s="998"/>
      <c r="G203" s="245">
        <f>H203+I203</f>
        <v>330000</v>
      </c>
      <c r="H203" s="245">
        <v>330000</v>
      </c>
      <c r="I203" s="245"/>
      <c r="J203" s="979"/>
    </row>
    <row r="204" spans="1:10" ht="14.1" customHeight="1">
      <c r="A204" s="977"/>
      <c r="B204" s="980"/>
      <c r="C204" s="983"/>
      <c r="D204" s="244" t="s">
        <v>2</v>
      </c>
      <c r="E204" s="245">
        <f>E202+E203</f>
        <v>330000</v>
      </c>
      <c r="F204" s="999"/>
      <c r="G204" s="245">
        <f>G202+G203</f>
        <v>330000</v>
      </c>
      <c r="H204" s="245">
        <f>H202+H203</f>
        <v>330000</v>
      </c>
      <c r="I204" s="245">
        <f>I202+I203</f>
        <v>0</v>
      </c>
      <c r="J204" s="980"/>
    </row>
    <row r="205" spans="1:10" ht="14.1" customHeight="1">
      <c r="A205" s="975" t="s">
        <v>418</v>
      </c>
      <c r="B205" s="978" t="s">
        <v>424</v>
      </c>
      <c r="C205" s="981">
        <v>2025</v>
      </c>
      <c r="D205" s="244" t="s">
        <v>0</v>
      </c>
      <c r="E205" s="245">
        <v>0</v>
      </c>
      <c r="F205" s="997" t="s">
        <v>356</v>
      </c>
      <c r="G205" s="245">
        <f>H205+I205</f>
        <v>0</v>
      </c>
      <c r="H205" s="245">
        <v>0</v>
      </c>
      <c r="I205" s="245">
        <v>0</v>
      </c>
      <c r="J205" s="978" t="s">
        <v>421</v>
      </c>
    </row>
    <row r="206" spans="1:10" ht="14.1" customHeight="1">
      <c r="A206" s="976"/>
      <c r="B206" s="979"/>
      <c r="C206" s="982"/>
      <c r="D206" s="244" t="s">
        <v>1</v>
      </c>
      <c r="E206" s="245">
        <v>328117</v>
      </c>
      <c r="F206" s="998"/>
      <c r="G206" s="245">
        <f>H206+I206</f>
        <v>328117</v>
      </c>
      <c r="H206" s="245">
        <v>328117</v>
      </c>
      <c r="I206" s="245"/>
      <c r="J206" s="979"/>
    </row>
    <row r="207" spans="1:10" ht="14.1" customHeight="1">
      <c r="A207" s="977"/>
      <c r="B207" s="980"/>
      <c r="C207" s="983"/>
      <c r="D207" s="244" t="s">
        <v>2</v>
      </c>
      <c r="E207" s="245">
        <f>E205+E206</f>
        <v>328117</v>
      </c>
      <c r="F207" s="999"/>
      <c r="G207" s="245">
        <f>G205+G206</f>
        <v>328117</v>
      </c>
      <c r="H207" s="245">
        <f>H205+H206</f>
        <v>328117</v>
      </c>
      <c r="I207" s="245">
        <f>I205+I206</f>
        <v>0</v>
      </c>
      <c r="J207" s="980"/>
    </row>
    <row r="208" spans="1:10" hidden="1">
      <c r="A208" s="975" t="s">
        <v>425</v>
      </c>
      <c r="B208" s="978" t="s">
        <v>361</v>
      </c>
      <c r="C208" s="981">
        <v>2025</v>
      </c>
      <c r="D208" s="244" t="s">
        <v>0</v>
      </c>
      <c r="E208" s="245">
        <v>135756</v>
      </c>
      <c r="F208" s="997" t="s">
        <v>356</v>
      </c>
      <c r="G208" s="245">
        <f>H208+I208</f>
        <v>135756</v>
      </c>
      <c r="H208" s="245">
        <v>135756</v>
      </c>
      <c r="I208" s="245">
        <v>0</v>
      </c>
      <c r="J208" s="978" t="s">
        <v>426</v>
      </c>
    </row>
    <row r="209" spans="1:10" hidden="1">
      <c r="A209" s="976"/>
      <c r="B209" s="979"/>
      <c r="C209" s="982"/>
      <c r="D209" s="244" t="s">
        <v>1</v>
      </c>
      <c r="E209" s="245"/>
      <c r="F209" s="998"/>
      <c r="G209" s="245">
        <f>H209+I209</f>
        <v>0</v>
      </c>
      <c r="H209" s="245"/>
      <c r="I209" s="245"/>
      <c r="J209" s="979"/>
    </row>
    <row r="210" spans="1:10" hidden="1">
      <c r="A210" s="977"/>
      <c r="B210" s="980"/>
      <c r="C210" s="983"/>
      <c r="D210" s="244" t="s">
        <v>2</v>
      </c>
      <c r="E210" s="245">
        <f>E208+E209</f>
        <v>135756</v>
      </c>
      <c r="F210" s="999"/>
      <c r="G210" s="245">
        <f>G208+G209</f>
        <v>135756</v>
      </c>
      <c r="H210" s="245">
        <f>H208+H209</f>
        <v>135756</v>
      </c>
      <c r="I210" s="245">
        <f>I208+I209</f>
        <v>0</v>
      </c>
      <c r="J210" s="980"/>
    </row>
    <row r="211" spans="1:10" ht="14.1" customHeight="1">
      <c r="A211" s="975" t="s">
        <v>425</v>
      </c>
      <c r="B211" s="978" t="s">
        <v>427</v>
      </c>
      <c r="C211" s="981">
        <v>2025</v>
      </c>
      <c r="D211" s="244" t="s">
        <v>0</v>
      </c>
      <c r="E211" s="245">
        <v>0</v>
      </c>
      <c r="F211" s="997" t="s">
        <v>356</v>
      </c>
      <c r="G211" s="245">
        <f>H211+I211</f>
        <v>0</v>
      </c>
      <c r="H211" s="245">
        <v>0</v>
      </c>
      <c r="I211" s="245">
        <v>0</v>
      </c>
      <c r="J211" s="978" t="s">
        <v>426</v>
      </c>
    </row>
    <row r="212" spans="1:10" ht="14.1" customHeight="1">
      <c r="A212" s="976"/>
      <c r="B212" s="979"/>
      <c r="C212" s="982"/>
      <c r="D212" s="244" t="s">
        <v>1</v>
      </c>
      <c r="E212" s="245">
        <v>200000</v>
      </c>
      <c r="F212" s="998"/>
      <c r="G212" s="245">
        <f>H212+I212</f>
        <v>200000</v>
      </c>
      <c r="H212" s="245">
        <v>200000</v>
      </c>
      <c r="I212" s="245"/>
      <c r="J212" s="979"/>
    </row>
    <row r="213" spans="1:10" ht="14.1" customHeight="1">
      <c r="A213" s="977"/>
      <c r="B213" s="980"/>
      <c r="C213" s="983"/>
      <c r="D213" s="244" t="s">
        <v>2</v>
      </c>
      <c r="E213" s="245">
        <f>E211+E212</f>
        <v>200000</v>
      </c>
      <c r="F213" s="999"/>
      <c r="G213" s="245">
        <f>G211+G212</f>
        <v>200000</v>
      </c>
      <c r="H213" s="245">
        <f>H211+H212</f>
        <v>200000</v>
      </c>
      <c r="I213" s="245">
        <f>I211+I212</f>
        <v>0</v>
      </c>
      <c r="J213" s="980"/>
    </row>
    <row r="214" spans="1:10" hidden="1">
      <c r="A214" s="975" t="s">
        <v>428</v>
      </c>
      <c r="B214" s="978" t="s">
        <v>361</v>
      </c>
      <c r="C214" s="981">
        <v>2025</v>
      </c>
      <c r="D214" s="244" t="s">
        <v>0</v>
      </c>
      <c r="E214" s="245">
        <v>149477</v>
      </c>
      <c r="F214" s="997" t="s">
        <v>356</v>
      </c>
      <c r="G214" s="245">
        <f>H214+I214</f>
        <v>149477</v>
      </c>
      <c r="H214" s="245">
        <v>149477</v>
      </c>
      <c r="I214" s="245">
        <v>0</v>
      </c>
      <c r="J214" s="978" t="s">
        <v>429</v>
      </c>
    </row>
    <row r="215" spans="1:10" hidden="1">
      <c r="A215" s="976"/>
      <c r="B215" s="979"/>
      <c r="C215" s="982"/>
      <c r="D215" s="244" t="s">
        <v>1</v>
      </c>
      <c r="E215" s="245"/>
      <c r="F215" s="998"/>
      <c r="G215" s="245">
        <f>H215+I215</f>
        <v>0</v>
      </c>
      <c r="H215" s="245"/>
      <c r="I215" s="245"/>
      <c r="J215" s="979"/>
    </row>
    <row r="216" spans="1:10" hidden="1">
      <c r="A216" s="977"/>
      <c r="B216" s="980"/>
      <c r="C216" s="983"/>
      <c r="D216" s="244" t="s">
        <v>2</v>
      </c>
      <c r="E216" s="245">
        <f>E214+E215</f>
        <v>149477</v>
      </c>
      <c r="F216" s="999"/>
      <c r="G216" s="245">
        <f>G214+G215</f>
        <v>149477</v>
      </c>
      <c r="H216" s="245">
        <f>H214+H215</f>
        <v>149477</v>
      </c>
      <c r="I216" s="245">
        <f>I214+I215</f>
        <v>0</v>
      </c>
      <c r="J216" s="980"/>
    </row>
    <row r="217" spans="1:10" hidden="1">
      <c r="A217" s="975" t="s">
        <v>428</v>
      </c>
      <c r="B217" s="978" t="s">
        <v>430</v>
      </c>
      <c r="C217" s="981">
        <v>2025</v>
      </c>
      <c r="D217" s="244" t="s">
        <v>0</v>
      </c>
      <c r="E217" s="245">
        <v>1700</v>
      </c>
      <c r="F217" s="997" t="s">
        <v>356</v>
      </c>
      <c r="G217" s="245">
        <f>H217+I217</f>
        <v>1700</v>
      </c>
      <c r="H217" s="245">
        <v>1700</v>
      </c>
      <c r="I217" s="245">
        <v>0</v>
      </c>
      <c r="J217" s="978" t="s">
        <v>431</v>
      </c>
    </row>
    <row r="218" spans="1:10" hidden="1">
      <c r="A218" s="976"/>
      <c r="B218" s="979"/>
      <c r="C218" s="982"/>
      <c r="D218" s="244" t="s">
        <v>1</v>
      </c>
      <c r="E218" s="245"/>
      <c r="F218" s="998"/>
      <c r="G218" s="245">
        <f>H218+I218</f>
        <v>0</v>
      </c>
      <c r="H218" s="245"/>
      <c r="I218" s="245"/>
      <c r="J218" s="979"/>
    </row>
    <row r="219" spans="1:10" hidden="1">
      <c r="A219" s="977"/>
      <c r="B219" s="980"/>
      <c r="C219" s="983"/>
      <c r="D219" s="244" t="s">
        <v>2</v>
      </c>
      <c r="E219" s="245">
        <f>E217+E218</f>
        <v>1700</v>
      </c>
      <c r="F219" s="999"/>
      <c r="G219" s="245">
        <f>G217+G218</f>
        <v>1700</v>
      </c>
      <c r="H219" s="245">
        <f>H217+H218</f>
        <v>1700</v>
      </c>
      <c r="I219" s="245">
        <f>I217+I218</f>
        <v>0</v>
      </c>
      <c r="J219" s="980"/>
    </row>
    <row r="220" spans="1:10" ht="14.1" customHeight="1">
      <c r="A220" s="975" t="s">
        <v>428</v>
      </c>
      <c r="B220" s="978" t="s">
        <v>432</v>
      </c>
      <c r="C220" s="981">
        <v>2025</v>
      </c>
      <c r="D220" s="244" t="s">
        <v>0</v>
      </c>
      <c r="E220" s="245">
        <v>0</v>
      </c>
      <c r="F220" s="997" t="s">
        <v>356</v>
      </c>
      <c r="G220" s="245">
        <f>H220+I220</f>
        <v>0</v>
      </c>
      <c r="H220" s="245">
        <v>0</v>
      </c>
      <c r="I220" s="245">
        <v>0</v>
      </c>
      <c r="J220" s="978" t="s">
        <v>431</v>
      </c>
    </row>
    <row r="221" spans="1:10" ht="14.1" customHeight="1">
      <c r="A221" s="976"/>
      <c r="B221" s="979"/>
      <c r="C221" s="982"/>
      <c r="D221" s="244" t="s">
        <v>1</v>
      </c>
      <c r="E221" s="245">
        <v>20000</v>
      </c>
      <c r="F221" s="998"/>
      <c r="G221" s="245">
        <f>H221+I221</f>
        <v>20000</v>
      </c>
      <c r="H221" s="245">
        <v>20000</v>
      </c>
      <c r="I221" s="245"/>
      <c r="J221" s="979"/>
    </row>
    <row r="222" spans="1:10" ht="14.1" customHeight="1">
      <c r="A222" s="977"/>
      <c r="B222" s="980"/>
      <c r="C222" s="983"/>
      <c r="D222" s="244" t="s">
        <v>2</v>
      </c>
      <c r="E222" s="245">
        <f>E220+E221</f>
        <v>20000</v>
      </c>
      <c r="F222" s="999"/>
      <c r="G222" s="245">
        <f>G220+G221</f>
        <v>20000</v>
      </c>
      <c r="H222" s="245">
        <f>H220+H221</f>
        <v>20000</v>
      </c>
      <c r="I222" s="245">
        <f>I220+I221</f>
        <v>0</v>
      </c>
      <c r="J222" s="980"/>
    </row>
    <row r="223" spans="1:10" ht="14.1" customHeight="1">
      <c r="A223" s="975" t="s">
        <v>428</v>
      </c>
      <c r="B223" s="978" t="s">
        <v>433</v>
      </c>
      <c r="C223" s="981">
        <v>2025</v>
      </c>
      <c r="D223" s="244" t="s">
        <v>0</v>
      </c>
      <c r="E223" s="245">
        <v>0</v>
      </c>
      <c r="F223" s="997" t="s">
        <v>356</v>
      </c>
      <c r="G223" s="245">
        <f>H223+I223</f>
        <v>0</v>
      </c>
      <c r="H223" s="245">
        <v>0</v>
      </c>
      <c r="I223" s="245">
        <v>0</v>
      </c>
      <c r="J223" s="978" t="s">
        <v>431</v>
      </c>
    </row>
    <row r="224" spans="1:10" ht="14.1" customHeight="1">
      <c r="A224" s="976"/>
      <c r="B224" s="979"/>
      <c r="C224" s="982"/>
      <c r="D224" s="244" t="s">
        <v>1</v>
      </c>
      <c r="E224" s="245">
        <v>46257</v>
      </c>
      <c r="F224" s="998"/>
      <c r="G224" s="245">
        <f>H224+I224</f>
        <v>46257</v>
      </c>
      <c r="H224" s="245">
        <v>46257</v>
      </c>
      <c r="I224" s="245"/>
      <c r="J224" s="979"/>
    </row>
    <row r="225" spans="1:10" ht="14.1" customHeight="1">
      <c r="A225" s="977"/>
      <c r="B225" s="980"/>
      <c r="C225" s="983"/>
      <c r="D225" s="244" t="s">
        <v>2</v>
      </c>
      <c r="E225" s="245">
        <f>E223+E224</f>
        <v>46257</v>
      </c>
      <c r="F225" s="999"/>
      <c r="G225" s="245">
        <f>G223+G224</f>
        <v>46257</v>
      </c>
      <c r="H225" s="245">
        <f>H223+H224</f>
        <v>46257</v>
      </c>
      <c r="I225" s="245">
        <f>I223+I224</f>
        <v>0</v>
      </c>
      <c r="J225" s="980"/>
    </row>
    <row r="226" spans="1:10" hidden="1">
      <c r="A226" s="975" t="s">
        <v>428</v>
      </c>
      <c r="B226" s="978" t="s">
        <v>434</v>
      </c>
      <c r="C226" s="981">
        <v>2025</v>
      </c>
      <c r="D226" s="244" t="s">
        <v>0</v>
      </c>
      <c r="E226" s="245">
        <v>80000</v>
      </c>
      <c r="F226" s="997" t="s">
        <v>356</v>
      </c>
      <c r="G226" s="245">
        <f>H226+I226</f>
        <v>80000</v>
      </c>
      <c r="H226" s="245">
        <v>80000</v>
      </c>
      <c r="I226" s="245">
        <v>0</v>
      </c>
      <c r="J226" s="978" t="s">
        <v>435</v>
      </c>
    </row>
    <row r="227" spans="1:10" hidden="1">
      <c r="A227" s="976"/>
      <c r="B227" s="979"/>
      <c r="C227" s="982"/>
      <c r="D227" s="244" t="s">
        <v>1</v>
      </c>
      <c r="E227" s="245"/>
      <c r="F227" s="998"/>
      <c r="G227" s="245">
        <f>H227+I227</f>
        <v>0</v>
      </c>
      <c r="H227" s="245"/>
      <c r="I227" s="245"/>
      <c r="J227" s="979"/>
    </row>
    <row r="228" spans="1:10" hidden="1">
      <c r="A228" s="977"/>
      <c r="B228" s="980"/>
      <c r="C228" s="983"/>
      <c r="D228" s="244" t="s">
        <v>2</v>
      </c>
      <c r="E228" s="245">
        <f>E226+E227</f>
        <v>80000</v>
      </c>
      <c r="F228" s="999"/>
      <c r="G228" s="245">
        <f>G226+G227</f>
        <v>80000</v>
      </c>
      <c r="H228" s="245">
        <f>H226+H227</f>
        <v>80000</v>
      </c>
      <c r="I228" s="245">
        <f>I226+I227</f>
        <v>0</v>
      </c>
      <c r="J228" s="980"/>
    </row>
    <row r="229" spans="1:10" hidden="1">
      <c r="A229" s="975" t="s">
        <v>436</v>
      </c>
      <c r="B229" s="978" t="s">
        <v>437</v>
      </c>
      <c r="C229" s="981">
        <v>2025</v>
      </c>
      <c r="D229" s="244" t="s">
        <v>0</v>
      </c>
      <c r="E229" s="245">
        <v>48000</v>
      </c>
      <c r="F229" s="997" t="s">
        <v>356</v>
      </c>
      <c r="G229" s="245">
        <f>H229+I229</f>
        <v>48000</v>
      </c>
      <c r="H229" s="245">
        <v>48000</v>
      </c>
      <c r="I229" s="245">
        <v>0</v>
      </c>
      <c r="J229" s="978" t="s">
        <v>438</v>
      </c>
    </row>
    <row r="230" spans="1:10" hidden="1">
      <c r="A230" s="976"/>
      <c r="B230" s="979"/>
      <c r="C230" s="982"/>
      <c r="D230" s="244" t="s">
        <v>1</v>
      </c>
      <c r="E230" s="245"/>
      <c r="F230" s="998"/>
      <c r="G230" s="245">
        <f>H230+I230</f>
        <v>0</v>
      </c>
      <c r="H230" s="245"/>
      <c r="I230" s="245"/>
      <c r="J230" s="979"/>
    </row>
    <row r="231" spans="1:10" hidden="1">
      <c r="A231" s="977"/>
      <c r="B231" s="980"/>
      <c r="C231" s="983"/>
      <c r="D231" s="244" t="s">
        <v>2</v>
      </c>
      <c r="E231" s="245">
        <f>E229+E230</f>
        <v>48000</v>
      </c>
      <c r="F231" s="999"/>
      <c r="G231" s="245">
        <f>G229+G230</f>
        <v>48000</v>
      </c>
      <c r="H231" s="245">
        <f>H229+H230</f>
        <v>48000</v>
      </c>
      <c r="I231" s="245">
        <f>I229+I230</f>
        <v>0</v>
      </c>
      <c r="J231" s="980"/>
    </row>
    <row r="232" spans="1:10" hidden="1">
      <c r="A232" s="975" t="s">
        <v>436</v>
      </c>
      <c r="B232" s="978" t="s">
        <v>439</v>
      </c>
      <c r="C232" s="981">
        <v>2025</v>
      </c>
      <c r="D232" s="244" t="s">
        <v>0</v>
      </c>
      <c r="E232" s="245">
        <v>26094</v>
      </c>
      <c r="F232" s="997" t="s">
        <v>356</v>
      </c>
      <c r="G232" s="245">
        <f>H232+I232</f>
        <v>26094</v>
      </c>
      <c r="H232" s="245">
        <v>26094</v>
      </c>
      <c r="I232" s="245">
        <v>0</v>
      </c>
      <c r="J232" s="978" t="s">
        <v>440</v>
      </c>
    </row>
    <row r="233" spans="1:10" hidden="1">
      <c r="A233" s="976"/>
      <c r="B233" s="979"/>
      <c r="C233" s="982"/>
      <c r="D233" s="244" t="s">
        <v>1</v>
      </c>
      <c r="E233" s="245"/>
      <c r="F233" s="998"/>
      <c r="G233" s="245">
        <f>H233+I233</f>
        <v>0</v>
      </c>
      <c r="H233" s="245"/>
      <c r="I233" s="245"/>
      <c r="J233" s="979"/>
    </row>
    <row r="234" spans="1:10" hidden="1">
      <c r="A234" s="977"/>
      <c r="B234" s="980"/>
      <c r="C234" s="983"/>
      <c r="D234" s="244" t="s">
        <v>2</v>
      </c>
      <c r="E234" s="245">
        <f>E232+E233</f>
        <v>26094</v>
      </c>
      <c r="F234" s="999"/>
      <c r="G234" s="245">
        <f>G232+G233</f>
        <v>26094</v>
      </c>
      <c r="H234" s="245">
        <f>H232+H233</f>
        <v>26094</v>
      </c>
      <c r="I234" s="245">
        <f>I232+I233</f>
        <v>0</v>
      </c>
      <c r="J234" s="980"/>
    </row>
    <row r="235" spans="1:10" ht="14.1" customHeight="1">
      <c r="A235" s="975" t="s">
        <v>436</v>
      </c>
      <c r="B235" s="978" t="s">
        <v>441</v>
      </c>
      <c r="C235" s="981">
        <v>2025</v>
      </c>
      <c r="D235" s="244" t="s">
        <v>0</v>
      </c>
      <c r="E235" s="245">
        <v>0</v>
      </c>
      <c r="F235" s="997" t="s">
        <v>356</v>
      </c>
      <c r="G235" s="245">
        <f>H235+I235</f>
        <v>0</v>
      </c>
      <c r="H235" s="245">
        <v>0</v>
      </c>
      <c r="I235" s="245">
        <v>0</v>
      </c>
      <c r="J235" s="978" t="s">
        <v>442</v>
      </c>
    </row>
    <row r="236" spans="1:10" ht="14.1" customHeight="1">
      <c r="A236" s="976"/>
      <c r="B236" s="979"/>
      <c r="C236" s="982"/>
      <c r="D236" s="244" t="s">
        <v>1</v>
      </c>
      <c r="E236" s="245">
        <v>546566</v>
      </c>
      <c r="F236" s="998"/>
      <c r="G236" s="245">
        <f>H236+I236</f>
        <v>546566</v>
      </c>
      <c r="H236" s="245">
        <v>546566</v>
      </c>
      <c r="I236" s="245"/>
      <c r="J236" s="979"/>
    </row>
    <row r="237" spans="1:10" ht="14.1" customHeight="1">
      <c r="A237" s="977"/>
      <c r="B237" s="980"/>
      <c r="C237" s="983"/>
      <c r="D237" s="244" t="s">
        <v>2</v>
      </c>
      <c r="E237" s="245">
        <f>E235+E236</f>
        <v>546566</v>
      </c>
      <c r="F237" s="999"/>
      <c r="G237" s="245">
        <f>G235+G236</f>
        <v>546566</v>
      </c>
      <c r="H237" s="245">
        <f>H235+H236</f>
        <v>546566</v>
      </c>
      <c r="I237" s="245">
        <f>I235+I236</f>
        <v>0</v>
      </c>
      <c r="J237" s="980"/>
    </row>
    <row r="238" spans="1:10" hidden="1">
      <c r="A238" s="975" t="s">
        <v>443</v>
      </c>
      <c r="B238" s="978" t="s">
        <v>444</v>
      </c>
      <c r="C238" s="981">
        <v>2025</v>
      </c>
      <c r="D238" s="244" t="s">
        <v>0</v>
      </c>
      <c r="E238" s="245">
        <v>258785</v>
      </c>
      <c r="F238" s="997" t="s">
        <v>356</v>
      </c>
      <c r="G238" s="245">
        <f>H238+I238</f>
        <v>258785</v>
      </c>
      <c r="H238" s="245">
        <v>0</v>
      </c>
      <c r="I238" s="245">
        <v>258785</v>
      </c>
      <c r="J238" s="978" t="s">
        <v>435</v>
      </c>
    </row>
    <row r="239" spans="1:10" hidden="1">
      <c r="A239" s="976"/>
      <c r="B239" s="979"/>
      <c r="C239" s="982"/>
      <c r="D239" s="244" t="s">
        <v>1</v>
      </c>
      <c r="E239" s="245"/>
      <c r="F239" s="998"/>
      <c r="G239" s="245">
        <f>H239+I239</f>
        <v>0</v>
      </c>
      <c r="H239" s="245"/>
      <c r="I239" s="245"/>
      <c r="J239" s="979"/>
    </row>
    <row r="240" spans="1:10" hidden="1">
      <c r="A240" s="977"/>
      <c r="B240" s="980"/>
      <c r="C240" s="983"/>
      <c r="D240" s="244" t="s">
        <v>2</v>
      </c>
      <c r="E240" s="245">
        <f>E238+E239</f>
        <v>258785</v>
      </c>
      <c r="F240" s="999"/>
      <c r="G240" s="245">
        <f>G238+G239</f>
        <v>258785</v>
      </c>
      <c r="H240" s="245">
        <f>H238+H239</f>
        <v>0</v>
      </c>
      <c r="I240" s="245">
        <f>I238+I239</f>
        <v>258785</v>
      </c>
      <c r="J240" s="980"/>
    </row>
    <row r="241" spans="1:10" hidden="1">
      <c r="A241" s="975" t="s">
        <v>443</v>
      </c>
      <c r="B241" s="978" t="s">
        <v>445</v>
      </c>
      <c r="C241" s="981">
        <v>2025</v>
      </c>
      <c r="D241" s="244" t="s">
        <v>0</v>
      </c>
      <c r="E241" s="245">
        <v>50000</v>
      </c>
      <c r="F241" s="997" t="s">
        <v>356</v>
      </c>
      <c r="G241" s="245">
        <f>H241+I241</f>
        <v>50000</v>
      </c>
      <c r="H241" s="245">
        <v>50000</v>
      </c>
      <c r="I241" s="245">
        <v>0</v>
      </c>
      <c r="J241" s="978" t="s">
        <v>359</v>
      </c>
    </row>
    <row r="242" spans="1:10" hidden="1">
      <c r="A242" s="976"/>
      <c r="B242" s="979"/>
      <c r="C242" s="982"/>
      <c r="D242" s="244" t="s">
        <v>1</v>
      </c>
      <c r="E242" s="245"/>
      <c r="F242" s="998"/>
      <c r="G242" s="245">
        <f>H242+I242</f>
        <v>0</v>
      </c>
      <c r="H242" s="245"/>
      <c r="I242" s="245"/>
      <c r="J242" s="979"/>
    </row>
    <row r="243" spans="1:10" hidden="1">
      <c r="A243" s="977"/>
      <c r="B243" s="980"/>
      <c r="C243" s="983"/>
      <c r="D243" s="244" t="s">
        <v>2</v>
      </c>
      <c r="E243" s="245">
        <f>E241+E242</f>
        <v>50000</v>
      </c>
      <c r="F243" s="999"/>
      <c r="G243" s="245">
        <f>G241+G242</f>
        <v>50000</v>
      </c>
      <c r="H243" s="245">
        <f>H241+H242</f>
        <v>50000</v>
      </c>
      <c r="I243" s="245">
        <f>I241+I242</f>
        <v>0</v>
      </c>
      <c r="J243" s="980"/>
    </row>
    <row r="244" spans="1:10" hidden="1">
      <c r="A244" s="984" t="s">
        <v>27</v>
      </c>
      <c r="B244" s="987" t="s">
        <v>69</v>
      </c>
      <c r="C244" s="971" t="s">
        <v>356</v>
      </c>
      <c r="D244" s="233" t="s">
        <v>0</v>
      </c>
      <c r="E244" s="243">
        <f>E247+E250+E253</f>
        <v>338700</v>
      </c>
      <c r="F244" s="1003" t="s">
        <v>356</v>
      </c>
      <c r="G244" s="243">
        <f t="shared" ref="G244:I245" si="15">G247+G250+G253</f>
        <v>338700</v>
      </c>
      <c r="H244" s="243">
        <f t="shared" si="15"/>
        <v>338700</v>
      </c>
      <c r="I244" s="243">
        <f t="shared" si="15"/>
        <v>0</v>
      </c>
      <c r="J244" s="971" t="s">
        <v>356</v>
      </c>
    </row>
    <row r="245" spans="1:10" hidden="1">
      <c r="A245" s="985"/>
      <c r="B245" s="988"/>
      <c r="C245" s="972"/>
      <c r="D245" s="233" t="s">
        <v>1</v>
      </c>
      <c r="E245" s="243">
        <f>E248+E251+E254</f>
        <v>0</v>
      </c>
      <c r="F245" s="1004"/>
      <c r="G245" s="243">
        <f t="shared" si="15"/>
        <v>0</v>
      </c>
      <c r="H245" s="243">
        <f t="shared" si="15"/>
        <v>0</v>
      </c>
      <c r="I245" s="243">
        <f t="shared" si="15"/>
        <v>0</v>
      </c>
      <c r="J245" s="972"/>
    </row>
    <row r="246" spans="1:10" hidden="1">
      <c r="A246" s="986"/>
      <c r="B246" s="989"/>
      <c r="C246" s="973"/>
      <c r="D246" s="233" t="s">
        <v>2</v>
      </c>
      <c r="E246" s="243">
        <f>E244+E245</f>
        <v>338700</v>
      </c>
      <c r="F246" s="1005"/>
      <c r="G246" s="243">
        <f>G244+G245</f>
        <v>338700</v>
      </c>
      <c r="H246" s="243">
        <f>H244+H245</f>
        <v>338700</v>
      </c>
      <c r="I246" s="243">
        <f>I244+I245</f>
        <v>0</v>
      </c>
      <c r="J246" s="973"/>
    </row>
    <row r="247" spans="1:10" hidden="1">
      <c r="A247" s="975" t="s">
        <v>446</v>
      </c>
      <c r="B247" s="978" t="s">
        <v>447</v>
      </c>
      <c r="C247" s="981">
        <v>2025</v>
      </c>
      <c r="D247" s="244" t="s">
        <v>0</v>
      </c>
      <c r="E247" s="245">
        <v>150000</v>
      </c>
      <c r="F247" s="997" t="s">
        <v>356</v>
      </c>
      <c r="G247" s="245">
        <f>H247+I247</f>
        <v>150000</v>
      </c>
      <c r="H247" s="245">
        <v>150000</v>
      </c>
      <c r="I247" s="245">
        <v>0</v>
      </c>
      <c r="J247" s="978" t="s">
        <v>448</v>
      </c>
    </row>
    <row r="248" spans="1:10" hidden="1">
      <c r="A248" s="976"/>
      <c r="B248" s="979"/>
      <c r="C248" s="982"/>
      <c r="D248" s="244" t="s">
        <v>1</v>
      </c>
      <c r="E248" s="245"/>
      <c r="F248" s="998"/>
      <c r="G248" s="245">
        <f>H248+I248</f>
        <v>0</v>
      </c>
      <c r="H248" s="245"/>
      <c r="I248" s="245"/>
      <c r="J248" s="979"/>
    </row>
    <row r="249" spans="1:10" hidden="1">
      <c r="A249" s="977"/>
      <c r="B249" s="980"/>
      <c r="C249" s="983"/>
      <c r="D249" s="244" t="s">
        <v>2</v>
      </c>
      <c r="E249" s="245">
        <f>E247+E248</f>
        <v>150000</v>
      </c>
      <c r="F249" s="999"/>
      <c r="G249" s="245">
        <f>G247+G248</f>
        <v>150000</v>
      </c>
      <c r="H249" s="245">
        <f>H247+H248</f>
        <v>150000</v>
      </c>
      <c r="I249" s="245">
        <f>I247+I248</f>
        <v>0</v>
      </c>
      <c r="J249" s="980"/>
    </row>
    <row r="250" spans="1:10" hidden="1">
      <c r="A250" s="975" t="s">
        <v>446</v>
      </c>
      <c r="B250" s="978" t="s">
        <v>449</v>
      </c>
      <c r="C250" s="981">
        <v>2025</v>
      </c>
      <c r="D250" s="244" t="s">
        <v>0</v>
      </c>
      <c r="E250" s="245">
        <v>175000</v>
      </c>
      <c r="F250" s="997" t="s">
        <v>356</v>
      </c>
      <c r="G250" s="245">
        <f>H250+I250</f>
        <v>175000</v>
      </c>
      <c r="H250" s="245">
        <v>175000</v>
      </c>
      <c r="I250" s="245">
        <v>0</v>
      </c>
      <c r="J250" s="978" t="s">
        <v>450</v>
      </c>
    </row>
    <row r="251" spans="1:10" hidden="1">
      <c r="A251" s="976"/>
      <c r="B251" s="979"/>
      <c r="C251" s="982"/>
      <c r="D251" s="244" t="s">
        <v>1</v>
      </c>
      <c r="E251" s="245"/>
      <c r="F251" s="998"/>
      <c r="G251" s="245">
        <f>H251+I251</f>
        <v>0</v>
      </c>
      <c r="H251" s="245"/>
      <c r="I251" s="245"/>
      <c r="J251" s="979"/>
    </row>
    <row r="252" spans="1:10" hidden="1">
      <c r="A252" s="977"/>
      <c r="B252" s="980"/>
      <c r="C252" s="983"/>
      <c r="D252" s="244" t="s">
        <v>2</v>
      </c>
      <c r="E252" s="245">
        <f>E250+E251</f>
        <v>175000</v>
      </c>
      <c r="F252" s="999"/>
      <c r="G252" s="245">
        <f>G250+G251</f>
        <v>175000</v>
      </c>
      <c r="H252" s="245">
        <f>H250+H251</f>
        <v>175000</v>
      </c>
      <c r="I252" s="245">
        <f>I250+I251</f>
        <v>0</v>
      </c>
      <c r="J252" s="980"/>
    </row>
    <row r="253" spans="1:10" hidden="1">
      <c r="A253" s="975" t="s">
        <v>446</v>
      </c>
      <c r="B253" s="978" t="s">
        <v>451</v>
      </c>
      <c r="C253" s="981">
        <v>2025</v>
      </c>
      <c r="D253" s="244" t="s">
        <v>0</v>
      </c>
      <c r="E253" s="245">
        <v>13700</v>
      </c>
      <c r="F253" s="997" t="s">
        <v>356</v>
      </c>
      <c r="G253" s="245">
        <f>H253+I253</f>
        <v>13700</v>
      </c>
      <c r="H253" s="245">
        <v>13700</v>
      </c>
      <c r="I253" s="245">
        <v>0</v>
      </c>
      <c r="J253" s="978" t="s">
        <v>452</v>
      </c>
    </row>
    <row r="254" spans="1:10" hidden="1">
      <c r="A254" s="976"/>
      <c r="B254" s="979"/>
      <c r="C254" s="982"/>
      <c r="D254" s="244" t="s">
        <v>1</v>
      </c>
      <c r="E254" s="245"/>
      <c r="F254" s="998"/>
      <c r="G254" s="245">
        <f>H254+I254</f>
        <v>0</v>
      </c>
      <c r="H254" s="245"/>
      <c r="I254" s="245"/>
      <c r="J254" s="979"/>
    </row>
    <row r="255" spans="1:10" hidden="1">
      <c r="A255" s="977"/>
      <c r="B255" s="980"/>
      <c r="C255" s="983"/>
      <c r="D255" s="244" t="s">
        <v>2</v>
      </c>
      <c r="E255" s="245">
        <f>E253+E254</f>
        <v>13700</v>
      </c>
      <c r="F255" s="999"/>
      <c r="G255" s="245">
        <f>G253+G254</f>
        <v>13700</v>
      </c>
      <c r="H255" s="245">
        <f>H253+H254</f>
        <v>13700</v>
      </c>
      <c r="I255" s="245">
        <f>I253+I254</f>
        <v>0</v>
      </c>
      <c r="J255" s="980"/>
    </row>
    <row r="256" spans="1:10" ht="14.1" customHeight="1">
      <c r="A256" s="984" t="s">
        <v>339</v>
      </c>
      <c r="B256" s="987" t="s">
        <v>340</v>
      </c>
      <c r="C256" s="971" t="s">
        <v>356</v>
      </c>
      <c r="D256" s="233" t="s">
        <v>0</v>
      </c>
      <c r="E256" s="243">
        <f>E259+E265+E268+E262</f>
        <v>24606700</v>
      </c>
      <c r="F256" s="1003" t="s">
        <v>356</v>
      </c>
      <c r="G256" s="243">
        <f t="shared" ref="G256:I257" si="16">G259+G265+G268+G262</f>
        <v>24606700</v>
      </c>
      <c r="H256" s="243">
        <f t="shared" si="16"/>
        <v>24606700</v>
      </c>
      <c r="I256" s="243">
        <f t="shared" si="16"/>
        <v>0</v>
      </c>
      <c r="J256" s="971" t="s">
        <v>356</v>
      </c>
    </row>
    <row r="257" spans="1:10" ht="14.1" customHeight="1">
      <c r="A257" s="985"/>
      <c r="B257" s="988"/>
      <c r="C257" s="972"/>
      <c r="D257" s="233" t="s">
        <v>1</v>
      </c>
      <c r="E257" s="243">
        <f>E260+E266+E269+E263</f>
        <v>7250000</v>
      </c>
      <c r="F257" s="1004"/>
      <c r="G257" s="243">
        <f t="shared" si="16"/>
        <v>7250000</v>
      </c>
      <c r="H257" s="243">
        <f t="shared" si="16"/>
        <v>7250000</v>
      </c>
      <c r="I257" s="243">
        <f t="shared" si="16"/>
        <v>0</v>
      </c>
      <c r="J257" s="972"/>
    </row>
    <row r="258" spans="1:10" ht="14.1" customHeight="1">
      <c r="A258" s="986"/>
      <c r="B258" s="989"/>
      <c r="C258" s="973"/>
      <c r="D258" s="233" t="s">
        <v>2</v>
      </c>
      <c r="E258" s="243">
        <f>E256+E257</f>
        <v>31856700</v>
      </c>
      <c r="F258" s="1005"/>
      <c r="G258" s="243">
        <f>G256+G257</f>
        <v>31856700</v>
      </c>
      <c r="H258" s="243">
        <f>H256+H257</f>
        <v>31856700</v>
      </c>
      <c r="I258" s="243">
        <f>I256+I257</f>
        <v>0</v>
      </c>
      <c r="J258" s="973"/>
    </row>
    <row r="259" spans="1:10" hidden="1">
      <c r="A259" s="975" t="s">
        <v>287</v>
      </c>
      <c r="B259" s="978" t="s">
        <v>453</v>
      </c>
      <c r="C259" s="981">
        <v>2025</v>
      </c>
      <c r="D259" s="244" t="s">
        <v>0</v>
      </c>
      <c r="E259" s="245">
        <v>10606700</v>
      </c>
      <c r="F259" s="997" t="s">
        <v>356</v>
      </c>
      <c r="G259" s="245">
        <f>H259+I259</f>
        <v>10606700</v>
      </c>
      <c r="H259" s="245">
        <v>10606700</v>
      </c>
      <c r="I259" s="245">
        <v>0</v>
      </c>
      <c r="J259" s="978" t="s">
        <v>359</v>
      </c>
    </row>
    <row r="260" spans="1:10" hidden="1">
      <c r="A260" s="976"/>
      <c r="B260" s="979"/>
      <c r="C260" s="982"/>
      <c r="D260" s="244" t="s">
        <v>1</v>
      </c>
      <c r="E260" s="245"/>
      <c r="F260" s="998"/>
      <c r="G260" s="245">
        <f>H260+I260</f>
        <v>0</v>
      </c>
      <c r="H260" s="245"/>
      <c r="I260" s="245"/>
      <c r="J260" s="979"/>
    </row>
    <row r="261" spans="1:10" hidden="1">
      <c r="A261" s="977"/>
      <c r="B261" s="980"/>
      <c r="C261" s="983"/>
      <c r="D261" s="244" t="s">
        <v>2</v>
      </c>
      <c r="E261" s="245">
        <f>E259+E260</f>
        <v>10606700</v>
      </c>
      <c r="F261" s="999"/>
      <c r="G261" s="245">
        <f>G259+G260</f>
        <v>10606700</v>
      </c>
      <c r="H261" s="245">
        <f>H259+H260</f>
        <v>10606700</v>
      </c>
      <c r="I261" s="245">
        <f>I259+I260</f>
        <v>0</v>
      </c>
      <c r="J261" s="980"/>
    </row>
    <row r="262" spans="1:10">
      <c r="A262" s="975" t="s">
        <v>287</v>
      </c>
      <c r="B262" s="978" t="s">
        <v>454</v>
      </c>
      <c r="C262" s="981">
        <v>2025</v>
      </c>
      <c r="D262" s="244" t="s">
        <v>0</v>
      </c>
      <c r="E262" s="245">
        <v>0</v>
      </c>
      <c r="F262" s="997" t="s">
        <v>356</v>
      </c>
      <c r="G262" s="245">
        <f>H262+I262</f>
        <v>0</v>
      </c>
      <c r="H262" s="245">
        <v>0</v>
      </c>
      <c r="I262" s="245">
        <v>0</v>
      </c>
      <c r="J262" s="978" t="s">
        <v>359</v>
      </c>
    </row>
    <row r="263" spans="1:10">
      <c r="A263" s="976"/>
      <c r="B263" s="979"/>
      <c r="C263" s="982"/>
      <c r="D263" s="244" t="s">
        <v>1</v>
      </c>
      <c r="E263" s="245">
        <v>5300000</v>
      </c>
      <c r="F263" s="998"/>
      <c r="G263" s="245">
        <f>H263+I263</f>
        <v>5300000</v>
      </c>
      <c r="H263" s="245">
        <v>5300000</v>
      </c>
      <c r="I263" s="245"/>
      <c r="J263" s="979"/>
    </row>
    <row r="264" spans="1:10">
      <c r="A264" s="977"/>
      <c r="B264" s="980"/>
      <c r="C264" s="983"/>
      <c r="D264" s="244" t="s">
        <v>2</v>
      </c>
      <c r="E264" s="245">
        <f>E262+E263</f>
        <v>5300000</v>
      </c>
      <c r="F264" s="999"/>
      <c r="G264" s="245">
        <f>G262+G263</f>
        <v>5300000</v>
      </c>
      <c r="H264" s="245">
        <f>H262+H263</f>
        <v>5300000</v>
      </c>
      <c r="I264" s="245">
        <f>I262+I263</f>
        <v>0</v>
      </c>
      <c r="J264" s="980"/>
    </row>
    <row r="265" spans="1:10">
      <c r="A265" s="975" t="s">
        <v>455</v>
      </c>
      <c r="B265" s="978" t="s">
        <v>456</v>
      </c>
      <c r="C265" s="981">
        <v>2025</v>
      </c>
      <c r="D265" s="244" t="s">
        <v>0</v>
      </c>
      <c r="E265" s="245">
        <v>5000000</v>
      </c>
      <c r="F265" s="997" t="s">
        <v>356</v>
      </c>
      <c r="G265" s="245">
        <f>H265+I265</f>
        <v>5000000</v>
      </c>
      <c r="H265" s="245">
        <v>5000000</v>
      </c>
      <c r="I265" s="245">
        <v>0</v>
      </c>
      <c r="J265" s="978" t="s">
        <v>359</v>
      </c>
    </row>
    <row r="266" spans="1:10">
      <c r="A266" s="976"/>
      <c r="B266" s="979"/>
      <c r="C266" s="982"/>
      <c r="D266" s="244" t="s">
        <v>1</v>
      </c>
      <c r="E266" s="245">
        <v>1950000</v>
      </c>
      <c r="F266" s="998"/>
      <c r="G266" s="245">
        <f>H266+I266</f>
        <v>1950000</v>
      </c>
      <c r="H266" s="245">
        <v>1950000</v>
      </c>
      <c r="I266" s="245"/>
      <c r="J266" s="979"/>
    </row>
    <row r="267" spans="1:10">
      <c r="A267" s="977"/>
      <c r="B267" s="980"/>
      <c r="C267" s="983"/>
      <c r="D267" s="244" t="s">
        <v>2</v>
      </c>
      <c r="E267" s="245">
        <f>E265+E266</f>
        <v>6950000</v>
      </c>
      <c r="F267" s="999"/>
      <c r="G267" s="245">
        <f>G265+G266</f>
        <v>6950000</v>
      </c>
      <c r="H267" s="245">
        <f>H265+H266</f>
        <v>6950000</v>
      </c>
      <c r="I267" s="245">
        <f>I265+I266</f>
        <v>0</v>
      </c>
      <c r="J267" s="980"/>
    </row>
    <row r="268" spans="1:10" hidden="1">
      <c r="A268" s="975" t="s">
        <v>455</v>
      </c>
      <c r="B268" s="978" t="s">
        <v>457</v>
      </c>
      <c r="C268" s="981">
        <v>2025</v>
      </c>
      <c r="D268" s="244" t="s">
        <v>0</v>
      </c>
      <c r="E268" s="245">
        <v>9000000</v>
      </c>
      <c r="F268" s="997" t="s">
        <v>356</v>
      </c>
      <c r="G268" s="245">
        <f>H268+I268</f>
        <v>9000000</v>
      </c>
      <c r="H268" s="245">
        <v>9000000</v>
      </c>
      <c r="I268" s="245">
        <v>0</v>
      </c>
      <c r="J268" s="978" t="s">
        <v>359</v>
      </c>
    </row>
    <row r="269" spans="1:10" hidden="1">
      <c r="A269" s="976"/>
      <c r="B269" s="979"/>
      <c r="C269" s="982"/>
      <c r="D269" s="244" t="s">
        <v>1</v>
      </c>
      <c r="E269" s="245"/>
      <c r="F269" s="998"/>
      <c r="G269" s="245">
        <f>H269+I269</f>
        <v>0</v>
      </c>
      <c r="H269" s="245"/>
      <c r="I269" s="245"/>
      <c r="J269" s="979"/>
    </row>
    <row r="270" spans="1:10" hidden="1">
      <c r="A270" s="977"/>
      <c r="B270" s="980"/>
      <c r="C270" s="983"/>
      <c r="D270" s="244" t="s">
        <v>2</v>
      </c>
      <c r="E270" s="245">
        <f>E268+E269</f>
        <v>9000000</v>
      </c>
      <c r="F270" s="999"/>
      <c r="G270" s="245">
        <f>G268+G269</f>
        <v>9000000</v>
      </c>
      <c r="H270" s="245">
        <f>H268+H269</f>
        <v>9000000</v>
      </c>
      <c r="I270" s="245">
        <f>I268+I269</f>
        <v>0</v>
      </c>
      <c r="J270" s="980"/>
    </row>
    <row r="271" spans="1:10" ht="5.0999999999999996" customHeight="1">
      <c r="A271" s="246"/>
      <c r="B271" s="247"/>
      <c r="C271" s="244"/>
      <c r="D271" s="244"/>
      <c r="E271" s="245"/>
      <c r="F271" s="248"/>
      <c r="G271" s="245"/>
      <c r="H271" s="245"/>
      <c r="I271" s="245"/>
      <c r="J271" s="247"/>
    </row>
    <row r="272" spans="1:10" ht="15.75">
      <c r="A272" s="955" t="s">
        <v>458</v>
      </c>
      <c r="B272" s="956"/>
      <c r="C272" s="961" t="s">
        <v>356</v>
      </c>
      <c r="D272" s="237" t="s">
        <v>0</v>
      </c>
      <c r="E272" s="249">
        <f>E19+E25+E85+E97+E130+E145+E154+E163+E178+E244+E256+E70+E79</f>
        <v>239549640</v>
      </c>
      <c r="F272" s="1000" t="s">
        <v>356</v>
      </c>
      <c r="G272" s="249">
        <f t="shared" ref="G272:I273" si="17">G19+G25+G85+G97+G130+G145+G154+G163+G178+G244+G256+G70+G79</f>
        <v>239549640</v>
      </c>
      <c r="H272" s="249">
        <f t="shared" si="17"/>
        <v>238256091</v>
      </c>
      <c r="I272" s="249">
        <f t="shared" si="17"/>
        <v>1293549</v>
      </c>
      <c r="J272" s="964" t="s">
        <v>356</v>
      </c>
    </row>
    <row r="273" spans="1:10" ht="15.75">
      <c r="A273" s="957"/>
      <c r="B273" s="958"/>
      <c r="C273" s="962"/>
      <c r="D273" s="237" t="s">
        <v>1</v>
      </c>
      <c r="E273" s="249">
        <f>E20+E26+E86+E98+E131+E146+E155+E164+E179+E245+E257+E71+E80</f>
        <v>67153453</v>
      </c>
      <c r="F273" s="1001"/>
      <c r="G273" s="249">
        <f t="shared" si="17"/>
        <v>67153453</v>
      </c>
      <c r="H273" s="249">
        <f t="shared" si="17"/>
        <v>65755270</v>
      </c>
      <c r="I273" s="249">
        <f t="shared" si="17"/>
        <v>1398183</v>
      </c>
      <c r="J273" s="965"/>
    </row>
    <row r="274" spans="1:10" ht="15.75">
      <c r="A274" s="959"/>
      <c r="B274" s="960"/>
      <c r="C274" s="963"/>
      <c r="D274" s="237" t="s">
        <v>2</v>
      </c>
      <c r="E274" s="249">
        <f>E272+E273</f>
        <v>306703093</v>
      </c>
      <c r="F274" s="1002"/>
      <c r="G274" s="249">
        <f>G272+G273</f>
        <v>306703093</v>
      </c>
      <c r="H274" s="249">
        <f>H272+H273</f>
        <v>304011361</v>
      </c>
      <c r="I274" s="249">
        <f>I272+I273</f>
        <v>2691732</v>
      </c>
      <c r="J274" s="966"/>
    </row>
    <row r="275" spans="1:10" ht="5.0999999999999996" customHeight="1">
      <c r="A275" s="996"/>
      <c r="B275" s="996"/>
      <c r="C275" s="996"/>
      <c r="D275" s="996"/>
      <c r="E275" s="996"/>
      <c r="F275" s="996"/>
      <c r="G275" s="996"/>
      <c r="H275" s="996"/>
      <c r="I275" s="996"/>
      <c r="J275" s="996"/>
    </row>
    <row r="276" spans="1:10" ht="15.75">
      <c r="A276" s="974" t="s">
        <v>459</v>
      </c>
      <c r="B276" s="974"/>
      <c r="C276" s="974"/>
      <c r="D276" s="974"/>
      <c r="E276" s="974"/>
      <c r="F276" s="974"/>
      <c r="G276" s="974"/>
      <c r="H276" s="974"/>
      <c r="I276" s="974"/>
      <c r="J276" s="974"/>
    </row>
    <row r="277" spans="1:10" ht="5.0999999999999996" customHeight="1">
      <c r="A277" s="246"/>
      <c r="B277" s="247"/>
      <c r="C277" s="244"/>
      <c r="D277" s="244"/>
      <c r="E277" s="245"/>
      <c r="F277" s="248"/>
      <c r="G277" s="245"/>
      <c r="H277" s="245"/>
      <c r="I277" s="245"/>
      <c r="J277" s="250"/>
    </row>
    <row r="278" spans="1:10">
      <c r="A278" s="984" t="s">
        <v>45</v>
      </c>
      <c r="B278" s="990" t="s">
        <v>46</v>
      </c>
      <c r="C278" s="971" t="s">
        <v>356</v>
      </c>
      <c r="D278" s="233" t="s">
        <v>0</v>
      </c>
      <c r="E278" s="243">
        <f t="shared" ref="E278:I279" si="18">E281+E284+E287+E290+E293+E296+E299+E302+E305+E308+E311+E314+E317+E320+E323+E326+E329+E332+E335+E338+E341+E344+E347+E350+E353+E359+E362+E365+E356</f>
        <v>857002703</v>
      </c>
      <c r="F278" s="243">
        <f t="shared" si="18"/>
        <v>77235627</v>
      </c>
      <c r="G278" s="243">
        <f t="shared" si="18"/>
        <v>153411676</v>
      </c>
      <c r="H278" s="243">
        <f t="shared" si="18"/>
        <v>95934577</v>
      </c>
      <c r="I278" s="243">
        <f t="shared" si="18"/>
        <v>57477099</v>
      </c>
      <c r="J278" s="971" t="s">
        <v>356</v>
      </c>
    </row>
    <row r="279" spans="1:10">
      <c r="A279" s="985"/>
      <c r="B279" s="991"/>
      <c r="C279" s="972"/>
      <c r="D279" s="233" t="s">
        <v>1</v>
      </c>
      <c r="E279" s="243">
        <f t="shared" si="18"/>
        <v>105753638</v>
      </c>
      <c r="F279" s="243">
        <f t="shared" si="18"/>
        <v>-1113292</v>
      </c>
      <c r="G279" s="243">
        <f t="shared" si="18"/>
        <v>5852360</v>
      </c>
      <c r="H279" s="243">
        <f t="shared" si="18"/>
        <v>4705877</v>
      </c>
      <c r="I279" s="243">
        <f t="shared" si="18"/>
        <v>1146483</v>
      </c>
      <c r="J279" s="972"/>
    </row>
    <row r="280" spans="1:10">
      <c r="A280" s="986"/>
      <c r="B280" s="992"/>
      <c r="C280" s="973"/>
      <c r="D280" s="233" t="s">
        <v>2</v>
      </c>
      <c r="E280" s="243">
        <f>E278+E279</f>
        <v>962756341</v>
      </c>
      <c r="F280" s="243">
        <f>F278+F279</f>
        <v>76122335</v>
      </c>
      <c r="G280" s="243">
        <f>G278+G279</f>
        <v>159264036</v>
      </c>
      <c r="H280" s="243">
        <f>H278+H279</f>
        <v>100640454</v>
      </c>
      <c r="I280" s="243">
        <f>I278+I279</f>
        <v>58623582</v>
      </c>
      <c r="J280" s="973"/>
    </row>
    <row r="281" spans="1:10">
      <c r="A281" s="975" t="s">
        <v>175</v>
      </c>
      <c r="B281" s="978" t="s">
        <v>460</v>
      </c>
      <c r="C281" s="981" t="s">
        <v>461</v>
      </c>
      <c r="D281" s="244" t="s">
        <v>0</v>
      </c>
      <c r="E281" s="245">
        <v>7920000</v>
      </c>
      <c r="F281" s="251">
        <v>0</v>
      </c>
      <c r="G281" s="245">
        <f t="shared" ref="G281:G366" si="19">H281+I281</f>
        <v>2640000</v>
      </c>
      <c r="H281" s="245">
        <v>2640000</v>
      </c>
      <c r="I281" s="245">
        <v>0</v>
      </c>
      <c r="J281" s="978" t="s">
        <v>359</v>
      </c>
    </row>
    <row r="282" spans="1:10">
      <c r="A282" s="976"/>
      <c r="B282" s="979"/>
      <c r="C282" s="982"/>
      <c r="D282" s="244" t="s">
        <v>1</v>
      </c>
      <c r="E282" s="245">
        <v>21600000</v>
      </c>
      <c r="F282" s="251"/>
      <c r="G282" s="245">
        <f t="shared" si="19"/>
        <v>0</v>
      </c>
      <c r="H282" s="245"/>
      <c r="I282" s="245"/>
      <c r="J282" s="979"/>
    </row>
    <row r="283" spans="1:10">
      <c r="A283" s="977"/>
      <c r="B283" s="980"/>
      <c r="C283" s="983"/>
      <c r="D283" s="244" t="s">
        <v>2</v>
      </c>
      <c r="E283" s="245">
        <f>E281+E282</f>
        <v>29520000</v>
      </c>
      <c r="F283" s="245">
        <f>F281+F282</f>
        <v>0</v>
      </c>
      <c r="G283" s="245">
        <f>G281+G282</f>
        <v>2640000</v>
      </c>
      <c r="H283" s="245">
        <f>H281+H282</f>
        <v>2640000</v>
      </c>
      <c r="I283" s="245">
        <f>I281+I282</f>
        <v>0</v>
      </c>
      <c r="J283" s="980"/>
    </row>
    <row r="284" spans="1:10">
      <c r="A284" s="975" t="s">
        <v>175</v>
      </c>
      <c r="B284" s="978" t="s">
        <v>462</v>
      </c>
      <c r="C284" s="981" t="s">
        <v>461</v>
      </c>
      <c r="D284" s="244" t="s">
        <v>0</v>
      </c>
      <c r="E284" s="245">
        <v>25575000</v>
      </c>
      <c r="F284" s="251">
        <v>0</v>
      </c>
      <c r="G284" s="245">
        <f t="shared" si="19"/>
        <v>7161000</v>
      </c>
      <c r="H284" s="245">
        <v>7161000</v>
      </c>
      <c r="I284" s="245">
        <v>0</v>
      </c>
      <c r="J284" s="978" t="s">
        <v>359</v>
      </c>
    </row>
    <row r="285" spans="1:10">
      <c r="A285" s="976"/>
      <c r="B285" s="979"/>
      <c r="C285" s="982"/>
      <c r="D285" s="244" t="s">
        <v>1</v>
      </c>
      <c r="E285" s="245">
        <v>69750000</v>
      </c>
      <c r="F285" s="251"/>
      <c r="G285" s="245">
        <f t="shared" si="19"/>
        <v>0</v>
      </c>
      <c r="H285" s="245"/>
      <c r="I285" s="245"/>
      <c r="J285" s="979"/>
    </row>
    <row r="286" spans="1:10">
      <c r="A286" s="977"/>
      <c r="B286" s="980"/>
      <c r="C286" s="983"/>
      <c r="D286" s="244" t="s">
        <v>2</v>
      </c>
      <c r="E286" s="245">
        <f>E284+E285</f>
        <v>95325000</v>
      </c>
      <c r="F286" s="245">
        <f>F284+F285</f>
        <v>0</v>
      </c>
      <c r="G286" s="245">
        <f>G284+G285</f>
        <v>7161000</v>
      </c>
      <c r="H286" s="245">
        <f>H284+H285</f>
        <v>7161000</v>
      </c>
      <c r="I286" s="245">
        <f>I284+I285</f>
        <v>0</v>
      </c>
      <c r="J286" s="980"/>
    </row>
    <row r="287" spans="1:10">
      <c r="A287" s="975" t="s">
        <v>178</v>
      </c>
      <c r="B287" s="978" t="s">
        <v>463</v>
      </c>
      <c r="C287" s="981" t="s">
        <v>464</v>
      </c>
      <c r="D287" s="244" t="s">
        <v>0</v>
      </c>
      <c r="E287" s="245">
        <v>207802038</v>
      </c>
      <c r="F287" s="251">
        <v>2282487</v>
      </c>
      <c r="G287" s="245">
        <f t="shared" si="19"/>
        <v>2903830</v>
      </c>
      <c r="H287" s="245">
        <v>0</v>
      </c>
      <c r="I287" s="245">
        <v>2903830</v>
      </c>
      <c r="J287" s="978" t="s">
        <v>465</v>
      </c>
    </row>
    <row r="288" spans="1:10">
      <c r="A288" s="976"/>
      <c r="B288" s="979"/>
      <c r="C288" s="982"/>
      <c r="D288" s="244" t="s">
        <v>1</v>
      </c>
      <c r="E288" s="245"/>
      <c r="F288" s="251">
        <v>-850696</v>
      </c>
      <c r="G288" s="245">
        <f t="shared" si="19"/>
        <v>686127</v>
      </c>
      <c r="H288" s="245"/>
      <c r="I288" s="245">
        <v>686127</v>
      </c>
      <c r="J288" s="979"/>
    </row>
    <row r="289" spans="1:10">
      <c r="A289" s="977"/>
      <c r="B289" s="980"/>
      <c r="C289" s="983"/>
      <c r="D289" s="244" t="s">
        <v>2</v>
      </c>
      <c r="E289" s="245">
        <f>E287+E288</f>
        <v>207802038</v>
      </c>
      <c r="F289" s="245">
        <f>F287+F288</f>
        <v>1431791</v>
      </c>
      <c r="G289" s="245">
        <f>G287+G288</f>
        <v>3589957</v>
      </c>
      <c r="H289" s="245">
        <f>H287+H288</f>
        <v>0</v>
      </c>
      <c r="I289" s="245">
        <f>I287+I288</f>
        <v>3589957</v>
      </c>
      <c r="J289" s="980"/>
    </row>
    <row r="290" spans="1:10" ht="23.25" customHeight="1">
      <c r="A290" s="975" t="s">
        <v>178</v>
      </c>
      <c r="B290" s="978" t="s">
        <v>466</v>
      </c>
      <c r="C290" s="981" t="s">
        <v>467</v>
      </c>
      <c r="D290" s="244" t="s">
        <v>0</v>
      </c>
      <c r="E290" s="245">
        <v>57718038</v>
      </c>
      <c r="F290" s="251">
        <v>10277716</v>
      </c>
      <c r="G290" s="245">
        <f t="shared" si="19"/>
        <v>31675410</v>
      </c>
      <c r="H290" s="245">
        <v>18850410</v>
      </c>
      <c r="I290" s="245">
        <v>12825000</v>
      </c>
      <c r="J290" s="978" t="s">
        <v>465</v>
      </c>
    </row>
    <row r="291" spans="1:10" ht="23.25" customHeight="1">
      <c r="A291" s="976"/>
      <c r="B291" s="979"/>
      <c r="C291" s="982"/>
      <c r="D291" s="244" t="s">
        <v>1</v>
      </c>
      <c r="E291" s="245">
        <v>2000000</v>
      </c>
      <c r="F291" s="251">
        <v>-27</v>
      </c>
      <c r="G291" s="245">
        <f t="shared" si="19"/>
        <v>2000027</v>
      </c>
      <c r="H291" s="245">
        <v>2000027</v>
      </c>
      <c r="I291" s="245"/>
      <c r="J291" s="979"/>
    </row>
    <row r="292" spans="1:10" ht="23.25" customHeight="1">
      <c r="A292" s="977"/>
      <c r="B292" s="980"/>
      <c r="C292" s="983"/>
      <c r="D292" s="244" t="s">
        <v>2</v>
      </c>
      <c r="E292" s="245">
        <f>E290+E291</f>
        <v>59718038</v>
      </c>
      <c r="F292" s="245">
        <f>F290+F291</f>
        <v>10277689</v>
      </c>
      <c r="G292" s="245">
        <f>G290+G291</f>
        <v>33675437</v>
      </c>
      <c r="H292" s="245">
        <f>H290+H291</f>
        <v>20850437</v>
      </c>
      <c r="I292" s="245">
        <f>I290+I291</f>
        <v>12825000</v>
      </c>
      <c r="J292" s="980"/>
    </row>
    <row r="293" spans="1:10" ht="23.25" customHeight="1">
      <c r="A293" s="975" t="s">
        <v>178</v>
      </c>
      <c r="B293" s="978" t="s">
        <v>468</v>
      </c>
      <c r="C293" s="981" t="s">
        <v>469</v>
      </c>
      <c r="D293" s="244" t="s">
        <v>0</v>
      </c>
      <c r="E293" s="245">
        <v>37000000</v>
      </c>
      <c r="F293" s="251">
        <v>24500000</v>
      </c>
      <c r="G293" s="245">
        <f t="shared" si="19"/>
        <v>12500000</v>
      </c>
      <c r="H293" s="245">
        <v>12500000</v>
      </c>
      <c r="I293" s="245">
        <v>0</v>
      </c>
      <c r="J293" s="978" t="s">
        <v>465</v>
      </c>
    </row>
    <row r="294" spans="1:10" ht="23.25" customHeight="1">
      <c r="A294" s="976"/>
      <c r="B294" s="979"/>
      <c r="C294" s="982"/>
      <c r="D294" s="244" t="s">
        <v>1</v>
      </c>
      <c r="E294" s="245">
        <v>3200000</v>
      </c>
      <c r="F294" s="251">
        <v>-4211</v>
      </c>
      <c r="G294" s="245">
        <f t="shared" si="19"/>
        <v>3204211</v>
      </c>
      <c r="H294" s="245">
        <v>3204211</v>
      </c>
      <c r="I294" s="245"/>
      <c r="J294" s="979"/>
    </row>
    <row r="295" spans="1:10" ht="23.25" customHeight="1">
      <c r="A295" s="977"/>
      <c r="B295" s="980"/>
      <c r="C295" s="983"/>
      <c r="D295" s="244" t="s">
        <v>2</v>
      </c>
      <c r="E295" s="245">
        <f>E293+E294</f>
        <v>40200000</v>
      </c>
      <c r="F295" s="245">
        <f>F293+F294</f>
        <v>24495789</v>
      </c>
      <c r="G295" s="245">
        <f>G293+G294</f>
        <v>15704211</v>
      </c>
      <c r="H295" s="245">
        <f>H293+H294</f>
        <v>15704211</v>
      </c>
      <c r="I295" s="245">
        <f>I293+I294</f>
        <v>0</v>
      </c>
      <c r="J295" s="980"/>
    </row>
    <row r="296" spans="1:10">
      <c r="A296" s="975" t="s">
        <v>178</v>
      </c>
      <c r="B296" s="978" t="s">
        <v>470</v>
      </c>
      <c r="C296" s="981" t="s">
        <v>471</v>
      </c>
      <c r="D296" s="244" t="s">
        <v>0</v>
      </c>
      <c r="E296" s="245">
        <v>63627939</v>
      </c>
      <c r="F296" s="251">
        <v>1342333</v>
      </c>
      <c r="G296" s="245">
        <f t="shared" si="19"/>
        <v>27821474</v>
      </c>
      <c r="H296" s="245">
        <v>331901</v>
      </c>
      <c r="I296" s="245">
        <v>27489573</v>
      </c>
      <c r="J296" s="978" t="s">
        <v>465</v>
      </c>
    </row>
    <row r="297" spans="1:10">
      <c r="A297" s="976"/>
      <c r="B297" s="979"/>
      <c r="C297" s="982"/>
      <c r="D297" s="244" t="s">
        <v>1</v>
      </c>
      <c r="E297" s="245">
        <v>60679</v>
      </c>
      <c r="F297" s="251"/>
      <c r="G297" s="245">
        <f t="shared" si="19"/>
        <v>60679</v>
      </c>
      <c r="H297" s="245">
        <v>60679</v>
      </c>
      <c r="I297" s="245"/>
      <c r="J297" s="979"/>
    </row>
    <row r="298" spans="1:10">
      <c r="A298" s="977"/>
      <c r="B298" s="980"/>
      <c r="C298" s="983"/>
      <c r="D298" s="244" t="s">
        <v>2</v>
      </c>
      <c r="E298" s="245">
        <f>E296+E297</f>
        <v>63688618</v>
      </c>
      <c r="F298" s="245">
        <f>F296+F297</f>
        <v>1342333</v>
      </c>
      <c r="G298" s="245">
        <f>G296+G297</f>
        <v>27882153</v>
      </c>
      <c r="H298" s="245">
        <f>H296+H297</f>
        <v>392580</v>
      </c>
      <c r="I298" s="245">
        <f>I296+I297</f>
        <v>27489573</v>
      </c>
      <c r="J298" s="980"/>
    </row>
    <row r="299" spans="1:10" hidden="1">
      <c r="A299" s="975" t="s">
        <v>178</v>
      </c>
      <c r="B299" s="978" t="s">
        <v>472</v>
      </c>
      <c r="C299" s="981" t="s">
        <v>473</v>
      </c>
      <c r="D299" s="244" t="s">
        <v>0</v>
      </c>
      <c r="E299" s="245">
        <v>11337535</v>
      </c>
      <c r="F299" s="251">
        <v>0</v>
      </c>
      <c r="G299" s="245">
        <f t="shared" si="19"/>
        <v>6817535</v>
      </c>
      <c r="H299" s="245">
        <v>4200000</v>
      </c>
      <c r="I299" s="245">
        <v>2617535</v>
      </c>
      <c r="J299" s="978" t="s">
        <v>465</v>
      </c>
    </row>
    <row r="300" spans="1:10" hidden="1">
      <c r="A300" s="976"/>
      <c r="B300" s="979"/>
      <c r="C300" s="982"/>
      <c r="D300" s="244" t="s">
        <v>1</v>
      </c>
      <c r="E300" s="245"/>
      <c r="F300" s="251"/>
      <c r="G300" s="245">
        <f t="shared" si="19"/>
        <v>0</v>
      </c>
      <c r="H300" s="245"/>
      <c r="I300" s="245"/>
      <c r="J300" s="979"/>
    </row>
    <row r="301" spans="1:10" hidden="1">
      <c r="A301" s="977"/>
      <c r="B301" s="980"/>
      <c r="C301" s="983"/>
      <c r="D301" s="244" t="s">
        <v>2</v>
      </c>
      <c r="E301" s="245">
        <f>E299+E300</f>
        <v>11337535</v>
      </c>
      <c r="F301" s="245">
        <f>F299+F300</f>
        <v>0</v>
      </c>
      <c r="G301" s="245">
        <f>G299+G300</f>
        <v>6817535</v>
      </c>
      <c r="H301" s="245">
        <f>H299+H300</f>
        <v>4200000</v>
      </c>
      <c r="I301" s="245">
        <f>I299+I300</f>
        <v>2617535</v>
      </c>
      <c r="J301" s="980"/>
    </row>
    <row r="302" spans="1:10" hidden="1">
      <c r="A302" s="975" t="s">
        <v>178</v>
      </c>
      <c r="B302" s="978" t="s">
        <v>474</v>
      </c>
      <c r="C302" s="981" t="s">
        <v>469</v>
      </c>
      <c r="D302" s="244" t="s">
        <v>0</v>
      </c>
      <c r="E302" s="245">
        <v>17076036</v>
      </c>
      <c r="F302" s="251">
        <v>0</v>
      </c>
      <c r="G302" s="245">
        <f t="shared" si="19"/>
        <v>17076036</v>
      </c>
      <c r="H302" s="245">
        <v>8538018</v>
      </c>
      <c r="I302" s="245">
        <v>8538018</v>
      </c>
      <c r="J302" s="978" t="s">
        <v>465</v>
      </c>
    </row>
    <row r="303" spans="1:10" hidden="1">
      <c r="A303" s="976"/>
      <c r="B303" s="979"/>
      <c r="C303" s="982"/>
      <c r="D303" s="244" t="s">
        <v>1</v>
      </c>
      <c r="E303" s="245"/>
      <c r="F303" s="251"/>
      <c r="G303" s="245">
        <f t="shared" si="19"/>
        <v>0</v>
      </c>
      <c r="H303" s="245"/>
      <c r="I303" s="245"/>
      <c r="J303" s="979"/>
    </row>
    <row r="304" spans="1:10" hidden="1">
      <c r="A304" s="977"/>
      <c r="B304" s="980"/>
      <c r="C304" s="983"/>
      <c r="D304" s="244" t="s">
        <v>2</v>
      </c>
      <c r="E304" s="245">
        <f>E302+E303</f>
        <v>17076036</v>
      </c>
      <c r="F304" s="245">
        <f>F302+F303</f>
        <v>0</v>
      </c>
      <c r="G304" s="245">
        <f>G302+G303</f>
        <v>17076036</v>
      </c>
      <c r="H304" s="245">
        <f>H302+H303</f>
        <v>8538018</v>
      </c>
      <c r="I304" s="245">
        <f>I302+I303</f>
        <v>8538018</v>
      </c>
      <c r="J304" s="980"/>
    </row>
    <row r="305" spans="1:10" hidden="1">
      <c r="A305" s="975" t="s">
        <v>178</v>
      </c>
      <c r="B305" s="978" t="s">
        <v>475</v>
      </c>
      <c r="C305" s="981" t="s">
        <v>471</v>
      </c>
      <c r="D305" s="244" t="s">
        <v>0</v>
      </c>
      <c r="E305" s="245">
        <v>500000</v>
      </c>
      <c r="F305" s="251">
        <v>0</v>
      </c>
      <c r="G305" s="245">
        <f t="shared" si="19"/>
        <v>250000</v>
      </c>
      <c r="H305" s="245">
        <v>250000</v>
      </c>
      <c r="I305" s="245">
        <v>0</v>
      </c>
      <c r="J305" s="978" t="s">
        <v>465</v>
      </c>
    </row>
    <row r="306" spans="1:10" hidden="1">
      <c r="A306" s="976"/>
      <c r="B306" s="979"/>
      <c r="C306" s="982"/>
      <c r="D306" s="244" t="s">
        <v>1</v>
      </c>
      <c r="E306" s="245"/>
      <c r="F306" s="251"/>
      <c r="G306" s="245">
        <f t="shared" si="19"/>
        <v>0</v>
      </c>
      <c r="H306" s="245"/>
      <c r="I306" s="245"/>
      <c r="J306" s="979"/>
    </row>
    <row r="307" spans="1:10" hidden="1">
      <c r="A307" s="977"/>
      <c r="B307" s="980"/>
      <c r="C307" s="983"/>
      <c r="D307" s="244" t="s">
        <v>2</v>
      </c>
      <c r="E307" s="245">
        <f>E305+E306</f>
        <v>500000</v>
      </c>
      <c r="F307" s="245">
        <f>F305+F306</f>
        <v>0</v>
      </c>
      <c r="G307" s="245">
        <f>G305+G306</f>
        <v>250000</v>
      </c>
      <c r="H307" s="245">
        <f>H305+H306</f>
        <v>250000</v>
      </c>
      <c r="I307" s="245">
        <f>I305+I306</f>
        <v>0</v>
      </c>
      <c r="J307" s="980"/>
    </row>
    <row r="308" spans="1:10" hidden="1">
      <c r="A308" s="975" t="s">
        <v>178</v>
      </c>
      <c r="B308" s="978" t="s">
        <v>476</v>
      </c>
      <c r="C308" s="981" t="s">
        <v>477</v>
      </c>
      <c r="D308" s="244" t="s">
        <v>0</v>
      </c>
      <c r="E308" s="245">
        <v>6162655</v>
      </c>
      <c r="F308" s="251">
        <v>0</v>
      </c>
      <c r="G308" s="245">
        <f t="shared" si="19"/>
        <v>2762655</v>
      </c>
      <c r="H308" s="245">
        <v>2762655</v>
      </c>
      <c r="I308" s="245">
        <v>0</v>
      </c>
      <c r="J308" s="978" t="s">
        <v>465</v>
      </c>
    </row>
    <row r="309" spans="1:10" hidden="1">
      <c r="A309" s="976"/>
      <c r="B309" s="979"/>
      <c r="C309" s="982"/>
      <c r="D309" s="244" t="s">
        <v>1</v>
      </c>
      <c r="E309" s="245"/>
      <c r="F309" s="251"/>
      <c r="G309" s="245">
        <f t="shared" si="19"/>
        <v>0</v>
      </c>
      <c r="H309" s="245"/>
      <c r="I309" s="245"/>
      <c r="J309" s="979"/>
    </row>
    <row r="310" spans="1:10" hidden="1">
      <c r="A310" s="977"/>
      <c r="B310" s="980"/>
      <c r="C310" s="983"/>
      <c r="D310" s="244" t="s">
        <v>2</v>
      </c>
      <c r="E310" s="245">
        <f>E308+E309</f>
        <v>6162655</v>
      </c>
      <c r="F310" s="245">
        <f>F308+F309</f>
        <v>0</v>
      </c>
      <c r="G310" s="245">
        <f>G308+G309</f>
        <v>2762655</v>
      </c>
      <c r="H310" s="245">
        <f>H308+H309</f>
        <v>2762655</v>
      </c>
      <c r="I310" s="245">
        <f>I308+I309</f>
        <v>0</v>
      </c>
      <c r="J310" s="980"/>
    </row>
    <row r="311" spans="1:10" hidden="1">
      <c r="A311" s="975" t="s">
        <v>178</v>
      </c>
      <c r="B311" s="978" t="s">
        <v>478</v>
      </c>
      <c r="C311" s="981" t="s">
        <v>473</v>
      </c>
      <c r="D311" s="244" t="s">
        <v>0</v>
      </c>
      <c r="E311" s="245">
        <v>3072992</v>
      </c>
      <c r="F311" s="251">
        <v>1250808</v>
      </c>
      <c r="G311" s="245">
        <f t="shared" si="19"/>
        <v>1572184</v>
      </c>
      <c r="H311" s="245">
        <v>1572184</v>
      </c>
      <c r="I311" s="245">
        <v>0</v>
      </c>
      <c r="J311" s="978" t="s">
        <v>465</v>
      </c>
    </row>
    <row r="312" spans="1:10" hidden="1">
      <c r="A312" s="976"/>
      <c r="B312" s="979"/>
      <c r="C312" s="982"/>
      <c r="D312" s="244" t="s">
        <v>1</v>
      </c>
      <c r="E312" s="245"/>
      <c r="F312" s="251"/>
      <c r="G312" s="245">
        <f t="shared" si="19"/>
        <v>0</v>
      </c>
      <c r="H312" s="245"/>
      <c r="I312" s="245"/>
      <c r="J312" s="979"/>
    </row>
    <row r="313" spans="1:10" hidden="1">
      <c r="A313" s="977"/>
      <c r="B313" s="980"/>
      <c r="C313" s="983"/>
      <c r="D313" s="244" t="s">
        <v>2</v>
      </c>
      <c r="E313" s="245">
        <f>E311+E312</f>
        <v>3072992</v>
      </c>
      <c r="F313" s="245">
        <f>F311+F312</f>
        <v>1250808</v>
      </c>
      <c r="G313" s="245">
        <f>G311+G312</f>
        <v>1572184</v>
      </c>
      <c r="H313" s="245">
        <f>H311+H312</f>
        <v>1572184</v>
      </c>
      <c r="I313" s="245">
        <f>I311+I312</f>
        <v>0</v>
      </c>
      <c r="J313" s="980"/>
    </row>
    <row r="314" spans="1:10">
      <c r="A314" s="975" t="s">
        <v>178</v>
      </c>
      <c r="B314" s="978" t="s">
        <v>479</v>
      </c>
      <c r="C314" s="981" t="s">
        <v>480</v>
      </c>
      <c r="D314" s="244" t="s">
        <v>0</v>
      </c>
      <c r="E314" s="245">
        <v>553483</v>
      </c>
      <c r="F314" s="251">
        <v>73800</v>
      </c>
      <c r="G314" s="245">
        <f t="shared" si="19"/>
        <v>479683</v>
      </c>
      <c r="H314" s="245">
        <v>479683</v>
      </c>
      <c r="I314" s="245">
        <v>0</v>
      </c>
      <c r="J314" s="978" t="s">
        <v>465</v>
      </c>
    </row>
    <row r="315" spans="1:10">
      <c r="A315" s="976"/>
      <c r="B315" s="979"/>
      <c r="C315" s="982"/>
      <c r="D315" s="244" t="s">
        <v>1</v>
      </c>
      <c r="E315" s="245">
        <v>8520317</v>
      </c>
      <c r="F315" s="251"/>
      <c r="G315" s="245">
        <f t="shared" si="19"/>
        <v>-479683</v>
      </c>
      <c r="H315" s="245">
        <v>-479683</v>
      </c>
      <c r="I315" s="245"/>
      <c r="J315" s="979"/>
    </row>
    <row r="316" spans="1:10">
      <c r="A316" s="977"/>
      <c r="B316" s="980"/>
      <c r="C316" s="983"/>
      <c r="D316" s="244" t="s">
        <v>2</v>
      </c>
      <c r="E316" s="245">
        <f>E314+E315</f>
        <v>9073800</v>
      </c>
      <c r="F316" s="245">
        <f>F314+F315</f>
        <v>73800</v>
      </c>
      <c r="G316" s="245">
        <f>G314+G315</f>
        <v>0</v>
      </c>
      <c r="H316" s="245">
        <f>H314+H315</f>
        <v>0</v>
      </c>
      <c r="I316" s="245">
        <f>I314+I315</f>
        <v>0</v>
      </c>
      <c r="J316" s="980"/>
    </row>
    <row r="317" spans="1:10" hidden="1">
      <c r="A317" s="975" t="s">
        <v>178</v>
      </c>
      <c r="B317" s="978" t="s">
        <v>481</v>
      </c>
      <c r="C317" s="981" t="s">
        <v>482</v>
      </c>
      <c r="D317" s="244" t="s">
        <v>0</v>
      </c>
      <c r="E317" s="245">
        <v>100710940</v>
      </c>
      <c r="F317" s="251">
        <v>533205</v>
      </c>
      <c r="G317" s="245">
        <f t="shared" si="19"/>
        <v>177735</v>
      </c>
      <c r="H317" s="245">
        <v>177735</v>
      </c>
      <c r="I317" s="245">
        <v>0</v>
      </c>
      <c r="J317" s="978" t="s">
        <v>465</v>
      </c>
    </row>
    <row r="318" spans="1:10" hidden="1">
      <c r="A318" s="976"/>
      <c r="B318" s="979"/>
      <c r="C318" s="982"/>
      <c r="D318" s="244" t="s">
        <v>1</v>
      </c>
      <c r="E318" s="245"/>
      <c r="F318" s="251"/>
      <c r="G318" s="245">
        <f t="shared" si="19"/>
        <v>0</v>
      </c>
      <c r="H318" s="245"/>
      <c r="I318" s="245"/>
      <c r="J318" s="979"/>
    </row>
    <row r="319" spans="1:10" hidden="1">
      <c r="A319" s="977"/>
      <c r="B319" s="980"/>
      <c r="C319" s="983"/>
      <c r="D319" s="244" t="s">
        <v>2</v>
      </c>
      <c r="E319" s="245">
        <f>E317+E318</f>
        <v>100710940</v>
      </c>
      <c r="F319" s="245">
        <f>F317+F318</f>
        <v>533205</v>
      </c>
      <c r="G319" s="245">
        <f>G317+G318</f>
        <v>177735</v>
      </c>
      <c r="H319" s="245">
        <f>H317+H318</f>
        <v>177735</v>
      </c>
      <c r="I319" s="245">
        <f>I317+I318</f>
        <v>0</v>
      </c>
      <c r="J319" s="980"/>
    </row>
    <row r="320" spans="1:10" hidden="1">
      <c r="A320" s="975" t="s">
        <v>178</v>
      </c>
      <c r="B320" s="978" t="s">
        <v>483</v>
      </c>
      <c r="C320" s="981" t="s">
        <v>484</v>
      </c>
      <c r="D320" s="244" t="s">
        <v>0</v>
      </c>
      <c r="E320" s="245">
        <v>6621586</v>
      </c>
      <c r="F320" s="251">
        <v>208486</v>
      </c>
      <c r="G320" s="245">
        <f t="shared" si="19"/>
        <v>1000000</v>
      </c>
      <c r="H320" s="245">
        <v>1000000</v>
      </c>
      <c r="I320" s="245">
        <v>0</v>
      </c>
      <c r="J320" s="978" t="s">
        <v>465</v>
      </c>
    </row>
    <row r="321" spans="1:10" hidden="1">
      <c r="A321" s="976"/>
      <c r="B321" s="979"/>
      <c r="C321" s="982"/>
      <c r="D321" s="244" t="s">
        <v>1</v>
      </c>
      <c r="E321" s="245"/>
      <c r="F321" s="251"/>
      <c r="G321" s="245">
        <f t="shared" si="19"/>
        <v>0</v>
      </c>
      <c r="H321" s="245"/>
      <c r="I321" s="245"/>
      <c r="J321" s="979"/>
    </row>
    <row r="322" spans="1:10" hidden="1">
      <c r="A322" s="977"/>
      <c r="B322" s="980"/>
      <c r="C322" s="983"/>
      <c r="D322" s="244" t="s">
        <v>2</v>
      </c>
      <c r="E322" s="245">
        <f>E320+E321</f>
        <v>6621586</v>
      </c>
      <c r="F322" s="245">
        <f>F320+F321</f>
        <v>208486</v>
      </c>
      <c r="G322" s="245">
        <f>G320+G321</f>
        <v>1000000</v>
      </c>
      <c r="H322" s="245">
        <f>H320+H321</f>
        <v>1000000</v>
      </c>
      <c r="I322" s="245">
        <f>I320+I321</f>
        <v>0</v>
      </c>
      <c r="J322" s="980"/>
    </row>
    <row r="323" spans="1:10">
      <c r="A323" s="975" t="s">
        <v>178</v>
      </c>
      <c r="B323" s="978" t="s">
        <v>485</v>
      </c>
      <c r="C323" s="981" t="s">
        <v>486</v>
      </c>
      <c r="D323" s="244" t="s">
        <v>0</v>
      </c>
      <c r="E323" s="245">
        <v>3500000</v>
      </c>
      <c r="F323" s="251">
        <v>359669</v>
      </c>
      <c r="G323" s="245">
        <f t="shared" si="19"/>
        <v>1000000</v>
      </c>
      <c r="H323" s="245">
        <v>1000000</v>
      </c>
      <c r="I323" s="245">
        <v>0</v>
      </c>
      <c r="J323" s="978" t="s">
        <v>465</v>
      </c>
    </row>
    <row r="324" spans="1:10">
      <c r="A324" s="976"/>
      <c r="B324" s="979"/>
      <c r="C324" s="982"/>
      <c r="D324" s="244" t="s">
        <v>1</v>
      </c>
      <c r="E324" s="245"/>
      <c r="F324" s="251">
        <v>-100708</v>
      </c>
      <c r="G324" s="245">
        <f t="shared" si="19"/>
        <v>-399293</v>
      </c>
      <c r="H324" s="245">
        <v>-399293</v>
      </c>
      <c r="I324" s="245"/>
      <c r="J324" s="979"/>
    </row>
    <row r="325" spans="1:10">
      <c r="A325" s="977"/>
      <c r="B325" s="980"/>
      <c r="C325" s="983"/>
      <c r="D325" s="244" t="s">
        <v>2</v>
      </c>
      <c r="E325" s="245">
        <f>E323+E324</f>
        <v>3500000</v>
      </c>
      <c r="F325" s="245">
        <f>F323+F324</f>
        <v>258961</v>
      </c>
      <c r="G325" s="245">
        <f>G323+G324</f>
        <v>600707</v>
      </c>
      <c r="H325" s="245">
        <f>H323+H324</f>
        <v>600707</v>
      </c>
      <c r="I325" s="245">
        <f>I323+I324</f>
        <v>0</v>
      </c>
      <c r="J325" s="980"/>
    </row>
    <row r="326" spans="1:10" hidden="1">
      <c r="A326" s="975" t="s">
        <v>178</v>
      </c>
      <c r="B326" s="978" t="s">
        <v>487</v>
      </c>
      <c r="C326" s="981" t="s">
        <v>480</v>
      </c>
      <c r="D326" s="244" t="s">
        <v>0</v>
      </c>
      <c r="E326" s="245">
        <v>126000000</v>
      </c>
      <c r="F326" s="251">
        <v>201720</v>
      </c>
      <c r="G326" s="245">
        <f t="shared" si="19"/>
        <v>2098280</v>
      </c>
      <c r="H326" s="245">
        <v>839312</v>
      </c>
      <c r="I326" s="245">
        <v>1258968</v>
      </c>
      <c r="J326" s="978" t="s">
        <v>465</v>
      </c>
    </row>
    <row r="327" spans="1:10" hidden="1">
      <c r="A327" s="976"/>
      <c r="B327" s="979"/>
      <c r="C327" s="982"/>
      <c r="D327" s="244" t="s">
        <v>1</v>
      </c>
      <c r="E327" s="245"/>
      <c r="F327" s="251"/>
      <c r="G327" s="245">
        <f t="shared" si="19"/>
        <v>0</v>
      </c>
      <c r="H327" s="245"/>
      <c r="I327" s="245"/>
      <c r="J327" s="979"/>
    </row>
    <row r="328" spans="1:10" hidden="1">
      <c r="A328" s="977"/>
      <c r="B328" s="980"/>
      <c r="C328" s="983"/>
      <c r="D328" s="244" t="s">
        <v>2</v>
      </c>
      <c r="E328" s="245">
        <f>E326+E327</f>
        <v>126000000</v>
      </c>
      <c r="F328" s="245">
        <f>F326+F327</f>
        <v>201720</v>
      </c>
      <c r="G328" s="245">
        <f>G326+G327</f>
        <v>2098280</v>
      </c>
      <c r="H328" s="245">
        <f>H326+H327</f>
        <v>839312</v>
      </c>
      <c r="I328" s="245">
        <f>I326+I327</f>
        <v>1258968</v>
      </c>
      <c r="J328" s="980"/>
    </row>
    <row r="329" spans="1:10">
      <c r="A329" s="975" t="s">
        <v>178</v>
      </c>
      <c r="B329" s="978" t="s">
        <v>488</v>
      </c>
      <c r="C329" s="981" t="s">
        <v>486</v>
      </c>
      <c r="D329" s="244" t="s">
        <v>0</v>
      </c>
      <c r="E329" s="245">
        <v>64647043</v>
      </c>
      <c r="F329" s="251">
        <v>561803</v>
      </c>
      <c r="G329" s="245">
        <f t="shared" si="19"/>
        <v>85240</v>
      </c>
      <c r="H329" s="245">
        <v>85240</v>
      </c>
      <c r="I329" s="245">
        <v>0</v>
      </c>
      <c r="J329" s="978" t="s">
        <v>465</v>
      </c>
    </row>
    <row r="330" spans="1:10">
      <c r="A330" s="976"/>
      <c r="B330" s="979"/>
      <c r="C330" s="982"/>
      <c r="D330" s="244" t="s">
        <v>1</v>
      </c>
      <c r="E330" s="245">
        <v>103705</v>
      </c>
      <c r="F330" s="251">
        <v>-175583</v>
      </c>
      <c r="G330" s="245">
        <f t="shared" si="19"/>
        <v>279288</v>
      </c>
      <c r="H330" s="245">
        <v>103705</v>
      </c>
      <c r="I330" s="245">
        <v>175583</v>
      </c>
      <c r="J330" s="979"/>
    </row>
    <row r="331" spans="1:10">
      <c r="A331" s="977"/>
      <c r="B331" s="980"/>
      <c r="C331" s="983"/>
      <c r="D331" s="244" t="s">
        <v>2</v>
      </c>
      <c r="E331" s="245">
        <f>E329+E330</f>
        <v>64750748</v>
      </c>
      <c r="F331" s="245">
        <f>F329+F330</f>
        <v>386220</v>
      </c>
      <c r="G331" s="245">
        <f>G329+G330</f>
        <v>364528</v>
      </c>
      <c r="H331" s="245">
        <f>H329+H330</f>
        <v>188945</v>
      </c>
      <c r="I331" s="245">
        <f>I329+I330</f>
        <v>175583</v>
      </c>
      <c r="J331" s="980"/>
    </row>
    <row r="332" spans="1:10" hidden="1">
      <c r="A332" s="975" t="s">
        <v>178</v>
      </c>
      <c r="B332" s="978" t="s">
        <v>489</v>
      </c>
      <c r="C332" s="981" t="s">
        <v>486</v>
      </c>
      <c r="D332" s="244" t="s">
        <v>0</v>
      </c>
      <c r="E332" s="245">
        <v>3295186</v>
      </c>
      <c r="F332" s="251">
        <v>428488</v>
      </c>
      <c r="G332" s="245">
        <f t="shared" si="19"/>
        <v>149291</v>
      </c>
      <c r="H332" s="245">
        <v>149291</v>
      </c>
      <c r="I332" s="245">
        <v>0</v>
      </c>
      <c r="J332" s="978" t="s">
        <v>465</v>
      </c>
    </row>
    <row r="333" spans="1:10" hidden="1">
      <c r="A333" s="976"/>
      <c r="B333" s="979"/>
      <c r="C333" s="982"/>
      <c r="D333" s="244" t="s">
        <v>1</v>
      </c>
      <c r="E333" s="245"/>
      <c r="F333" s="251"/>
      <c r="G333" s="245">
        <f t="shared" si="19"/>
        <v>0</v>
      </c>
      <c r="H333" s="245"/>
      <c r="I333" s="245"/>
      <c r="J333" s="979"/>
    </row>
    <row r="334" spans="1:10" hidden="1">
      <c r="A334" s="977"/>
      <c r="B334" s="980"/>
      <c r="C334" s="983"/>
      <c r="D334" s="244" t="s">
        <v>2</v>
      </c>
      <c r="E334" s="245">
        <f>E332+E333</f>
        <v>3295186</v>
      </c>
      <c r="F334" s="245">
        <f>F332+F333</f>
        <v>428488</v>
      </c>
      <c r="G334" s="245">
        <f>G332+G333</f>
        <v>149291</v>
      </c>
      <c r="H334" s="245">
        <f>H332+H333</f>
        <v>149291</v>
      </c>
      <c r="I334" s="245">
        <f>I332+I333</f>
        <v>0</v>
      </c>
      <c r="J334" s="980"/>
    </row>
    <row r="335" spans="1:10">
      <c r="A335" s="975" t="s">
        <v>178</v>
      </c>
      <c r="B335" s="978" t="s">
        <v>490</v>
      </c>
      <c r="C335" s="981" t="s">
        <v>486</v>
      </c>
      <c r="D335" s="244" t="s">
        <v>0</v>
      </c>
      <c r="E335" s="245">
        <v>2615480</v>
      </c>
      <c r="F335" s="251">
        <v>313650</v>
      </c>
      <c r="G335" s="245">
        <f t="shared" si="19"/>
        <v>1179570</v>
      </c>
      <c r="H335" s="245">
        <v>393190</v>
      </c>
      <c r="I335" s="245">
        <v>786380</v>
      </c>
      <c r="J335" s="978" t="s">
        <v>465</v>
      </c>
    </row>
    <row r="336" spans="1:10">
      <c r="A336" s="976"/>
      <c r="B336" s="979"/>
      <c r="C336" s="982"/>
      <c r="D336" s="244" t="s">
        <v>1</v>
      </c>
      <c r="E336" s="245">
        <v>57687</v>
      </c>
      <c r="F336" s="251">
        <v>-67650</v>
      </c>
      <c r="G336" s="245">
        <f t="shared" si="19"/>
        <v>125337</v>
      </c>
      <c r="H336" s="245">
        <v>41779</v>
      </c>
      <c r="I336" s="245">
        <v>83558</v>
      </c>
      <c r="J336" s="979"/>
    </row>
    <row r="337" spans="1:10">
      <c r="A337" s="977"/>
      <c r="B337" s="980"/>
      <c r="C337" s="983"/>
      <c r="D337" s="244" t="s">
        <v>2</v>
      </c>
      <c r="E337" s="245">
        <f>E335+E336</f>
        <v>2673167</v>
      </c>
      <c r="F337" s="245">
        <f>F335+F336</f>
        <v>246000</v>
      </c>
      <c r="G337" s="245">
        <f>G335+G336</f>
        <v>1304907</v>
      </c>
      <c r="H337" s="245">
        <f>H335+H336</f>
        <v>434969</v>
      </c>
      <c r="I337" s="245">
        <f>I335+I336</f>
        <v>869938</v>
      </c>
      <c r="J337" s="980"/>
    </row>
    <row r="338" spans="1:10">
      <c r="A338" s="975" t="s">
        <v>178</v>
      </c>
      <c r="B338" s="978" t="s">
        <v>491</v>
      </c>
      <c r="C338" s="981" t="s">
        <v>480</v>
      </c>
      <c r="D338" s="244" t="s">
        <v>0</v>
      </c>
      <c r="E338" s="245">
        <v>10114936</v>
      </c>
      <c r="F338" s="251">
        <v>487080</v>
      </c>
      <c r="G338" s="245">
        <f t="shared" si="19"/>
        <v>377856</v>
      </c>
      <c r="H338" s="245">
        <v>23616</v>
      </c>
      <c r="I338" s="245">
        <v>354240</v>
      </c>
      <c r="J338" s="978" t="s">
        <v>465</v>
      </c>
    </row>
    <row r="339" spans="1:10">
      <c r="A339" s="976"/>
      <c r="B339" s="979"/>
      <c r="C339" s="982"/>
      <c r="D339" s="244" t="s">
        <v>1</v>
      </c>
      <c r="E339" s="245"/>
      <c r="F339" s="251">
        <v>-118080</v>
      </c>
      <c r="G339" s="245">
        <f t="shared" si="19"/>
        <v>118080</v>
      </c>
      <c r="H339" s="245">
        <v>118080</v>
      </c>
      <c r="I339" s="245"/>
      <c r="J339" s="979"/>
    </row>
    <row r="340" spans="1:10">
      <c r="A340" s="977"/>
      <c r="B340" s="980"/>
      <c r="C340" s="983"/>
      <c r="D340" s="244" t="s">
        <v>2</v>
      </c>
      <c r="E340" s="245">
        <f>E338+E339</f>
        <v>10114936</v>
      </c>
      <c r="F340" s="245">
        <f>F338+F339</f>
        <v>369000</v>
      </c>
      <c r="G340" s="245">
        <f>G338+G339</f>
        <v>495936</v>
      </c>
      <c r="H340" s="245">
        <f>H338+H339</f>
        <v>141696</v>
      </c>
      <c r="I340" s="245">
        <f>I338+I339</f>
        <v>354240</v>
      </c>
      <c r="J340" s="980"/>
    </row>
    <row r="341" spans="1:10">
      <c r="A341" s="975" t="s">
        <v>178</v>
      </c>
      <c r="B341" s="978" t="s">
        <v>492</v>
      </c>
      <c r="C341" s="981" t="s">
        <v>480</v>
      </c>
      <c r="D341" s="244" t="s">
        <v>0</v>
      </c>
      <c r="E341" s="245">
        <v>3825311</v>
      </c>
      <c r="F341" s="251">
        <v>482567</v>
      </c>
      <c r="G341" s="245">
        <f t="shared" si="19"/>
        <v>112744</v>
      </c>
      <c r="H341" s="245">
        <v>0</v>
      </c>
      <c r="I341" s="245">
        <v>112744</v>
      </c>
      <c r="J341" s="978" t="s">
        <v>465</v>
      </c>
    </row>
    <row r="342" spans="1:10">
      <c r="A342" s="976"/>
      <c r="B342" s="979"/>
      <c r="C342" s="982"/>
      <c r="D342" s="244" t="s">
        <v>1</v>
      </c>
      <c r="E342" s="245"/>
      <c r="F342" s="251">
        <v>-56372</v>
      </c>
      <c r="G342" s="245">
        <f t="shared" si="19"/>
        <v>56372</v>
      </c>
      <c r="H342" s="245">
        <v>56372</v>
      </c>
      <c r="I342" s="245"/>
      <c r="J342" s="979"/>
    </row>
    <row r="343" spans="1:10">
      <c r="A343" s="977"/>
      <c r="B343" s="980"/>
      <c r="C343" s="983"/>
      <c r="D343" s="244" t="s">
        <v>2</v>
      </c>
      <c r="E343" s="245">
        <f>E341+E342</f>
        <v>3825311</v>
      </c>
      <c r="F343" s="245">
        <f>F341+F342</f>
        <v>426195</v>
      </c>
      <c r="G343" s="245">
        <f>G341+G342</f>
        <v>169116</v>
      </c>
      <c r="H343" s="245">
        <f>H341+H342</f>
        <v>56372</v>
      </c>
      <c r="I343" s="245">
        <f>I341+I342</f>
        <v>112744</v>
      </c>
      <c r="J343" s="980"/>
    </row>
    <row r="344" spans="1:10" hidden="1">
      <c r="A344" s="975" t="s">
        <v>178</v>
      </c>
      <c r="B344" s="978" t="s">
        <v>493</v>
      </c>
      <c r="C344" s="981" t="s">
        <v>480</v>
      </c>
      <c r="D344" s="244" t="s">
        <v>0</v>
      </c>
      <c r="E344" s="245">
        <v>7835540</v>
      </c>
      <c r="F344" s="251">
        <v>409180</v>
      </c>
      <c r="G344" s="245">
        <f t="shared" si="19"/>
        <v>326360</v>
      </c>
      <c r="H344" s="245">
        <v>0</v>
      </c>
      <c r="I344" s="245">
        <v>326360</v>
      </c>
      <c r="J344" s="978" t="s">
        <v>465</v>
      </c>
    </row>
    <row r="345" spans="1:10" hidden="1">
      <c r="A345" s="976"/>
      <c r="B345" s="979"/>
      <c r="C345" s="982"/>
      <c r="D345" s="244" t="s">
        <v>1</v>
      </c>
      <c r="E345" s="245"/>
      <c r="F345" s="251"/>
      <c r="G345" s="245">
        <f t="shared" si="19"/>
        <v>0</v>
      </c>
      <c r="H345" s="245"/>
      <c r="I345" s="245"/>
      <c r="J345" s="979"/>
    </row>
    <row r="346" spans="1:10" hidden="1">
      <c r="A346" s="977"/>
      <c r="B346" s="980"/>
      <c r="C346" s="983"/>
      <c r="D346" s="244" t="s">
        <v>2</v>
      </c>
      <c r="E346" s="245">
        <f>E344+E345</f>
        <v>7835540</v>
      </c>
      <c r="F346" s="245">
        <f>F344+F345</f>
        <v>409180</v>
      </c>
      <c r="G346" s="245">
        <f>G344+G345</f>
        <v>326360</v>
      </c>
      <c r="H346" s="245">
        <f>H344+H345</f>
        <v>0</v>
      </c>
      <c r="I346" s="245">
        <f>I344+I345</f>
        <v>326360</v>
      </c>
      <c r="J346" s="980"/>
    </row>
    <row r="347" spans="1:10" ht="18" hidden="1" customHeight="1">
      <c r="A347" s="975" t="s">
        <v>178</v>
      </c>
      <c r="B347" s="978" t="s">
        <v>494</v>
      </c>
      <c r="C347" s="981" t="s">
        <v>480</v>
      </c>
      <c r="D347" s="244" t="s">
        <v>0</v>
      </c>
      <c r="E347" s="245">
        <v>7320952</v>
      </c>
      <c r="F347" s="251">
        <v>676501</v>
      </c>
      <c r="G347" s="245">
        <f t="shared" si="19"/>
        <v>264451</v>
      </c>
      <c r="H347" s="245">
        <v>0</v>
      </c>
      <c r="I347" s="245">
        <v>264451</v>
      </c>
      <c r="J347" s="978" t="s">
        <v>465</v>
      </c>
    </row>
    <row r="348" spans="1:10" ht="18" hidden="1" customHeight="1">
      <c r="A348" s="976"/>
      <c r="B348" s="979"/>
      <c r="C348" s="982"/>
      <c r="D348" s="244" t="s">
        <v>1</v>
      </c>
      <c r="E348" s="245"/>
      <c r="F348" s="251"/>
      <c r="G348" s="245">
        <f t="shared" si="19"/>
        <v>0</v>
      </c>
      <c r="H348" s="245"/>
      <c r="I348" s="245"/>
      <c r="J348" s="979"/>
    </row>
    <row r="349" spans="1:10" ht="18" hidden="1" customHeight="1">
      <c r="A349" s="977"/>
      <c r="B349" s="980"/>
      <c r="C349" s="983"/>
      <c r="D349" s="244" t="s">
        <v>2</v>
      </c>
      <c r="E349" s="245">
        <f>E347+E348</f>
        <v>7320952</v>
      </c>
      <c r="F349" s="245">
        <f>F347+F348</f>
        <v>676501</v>
      </c>
      <c r="G349" s="245">
        <f>G347+G348</f>
        <v>264451</v>
      </c>
      <c r="H349" s="245">
        <f>H347+H348</f>
        <v>0</v>
      </c>
      <c r="I349" s="245">
        <f>I347+I348</f>
        <v>264451</v>
      </c>
      <c r="J349" s="980"/>
    </row>
    <row r="350" spans="1:10" ht="19.5" hidden="1" customHeight="1">
      <c r="A350" s="975" t="s">
        <v>178</v>
      </c>
      <c r="B350" s="978" t="s">
        <v>495</v>
      </c>
      <c r="C350" s="981" t="s">
        <v>496</v>
      </c>
      <c r="D350" s="244" t="s">
        <v>0</v>
      </c>
      <c r="E350" s="245">
        <v>36343537</v>
      </c>
      <c r="F350" s="251">
        <v>0</v>
      </c>
      <c r="G350" s="245">
        <f t="shared" si="19"/>
        <v>20000000</v>
      </c>
      <c r="H350" s="245">
        <v>20000000</v>
      </c>
      <c r="I350" s="245">
        <v>0</v>
      </c>
      <c r="J350" s="978" t="s">
        <v>465</v>
      </c>
    </row>
    <row r="351" spans="1:10" ht="19.5" hidden="1" customHeight="1">
      <c r="A351" s="976"/>
      <c r="B351" s="979"/>
      <c r="C351" s="982"/>
      <c r="D351" s="244" t="s">
        <v>1</v>
      </c>
      <c r="E351" s="245"/>
      <c r="F351" s="251"/>
      <c r="G351" s="245">
        <f t="shared" si="19"/>
        <v>0</v>
      </c>
      <c r="H351" s="245"/>
      <c r="I351" s="245"/>
      <c r="J351" s="979"/>
    </row>
    <row r="352" spans="1:10" ht="19.5" hidden="1" customHeight="1">
      <c r="A352" s="977"/>
      <c r="B352" s="980"/>
      <c r="C352" s="983"/>
      <c r="D352" s="244" t="s">
        <v>2</v>
      </c>
      <c r="E352" s="245">
        <f>E350+E351</f>
        <v>36343537</v>
      </c>
      <c r="F352" s="245">
        <f>F350+F351</f>
        <v>0</v>
      </c>
      <c r="G352" s="245">
        <f>G350+G351</f>
        <v>20000000</v>
      </c>
      <c r="H352" s="245">
        <f>H350+H351</f>
        <v>20000000</v>
      </c>
      <c r="I352" s="245">
        <f>I350+I351</f>
        <v>0</v>
      </c>
      <c r="J352" s="980"/>
    </row>
    <row r="353" spans="1:10" hidden="1">
      <c r="A353" s="975" t="s">
        <v>178</v>
      </c>
      <c r="B353" s="978" t="s">
        <v>497</v>
      </c>
      <c r="C353" s="981" t="s">
        <v>498</v>
      </c>
      <c r="D353" s="244" t="s">
        <v>0</v>
      </c>
      <c r="E353" s="245">
        <v>2000000</v>
      </c>
      <c r="F353" s="251">
        <v>500000</v>
      </c>
      <c r="G353" s="245">
        <f t="shared" si="19"/>
        <v>1500000</v>
      </c>
      <c r="H353" s="245">
        <v>1500000</v>
      </c>
      <c r="I353" s="245">
        <v>0</v>
      </c>
      <c r="J353" s="978" t="s">
        <v>465</v>
      </c>
    </row>
    <row r="354" spans="1:10" hidden="1">
      <c r="A354" s="976"/>
      <c r="B354" s="979"/>
      <c r="C354" s="982"/>
      <c r="D354" s="244" t="s">
        <v>1</v>
      </c>
      <c r="E354" s="245"/>
      <c r="F354" s="251"/>
      <c r="G354" s="245">
        <f t="shared" si="19"/>
        <v>0</v>
      </c>
      <c r="H354" s="245"/>
      <c r="I354" s="245"/>
      <c r="J354" s="979"/>
    </row>
    <row r="355" spans="1:10" hidden="1">
      <c r="A355" s="977"/>
      <c r="B355" s="980"/>
      <c r="C355" s="983"/>
      <c r="D355" s="244" t="s">
        <v>2</v>
      </c>
      <c r="E355" s="245">
        <f>E353+E354</f>
        <v>2000000</v>
      </c>
      <c r="F355" s="245">
        <f>F353+F354</f>
        <v>500000</v>
      </c>
      <c r="G355" s="245">
        <f>G353+G354</f>
        <v>1500000</v>
      </c>
      <c r="H355" s="245">
        <f>H353+H354</f>
        <v>1500000</v>
      </c>
      <c r="I355" s="245">
        <f>I353+I354</f>
        <v>0</v>
      </c>
      <c r="J355" s="980"/>
    </row>
    <row r="356" spans="1:10">
      <c r="A356" s="975" t="s">
        <v>178</v>
      </c>
      <c r="B356" s="978" t="s">
        <v>499</v>
      </c>
      <c r="C356" s="981" t="s">
        <v>500</v>
      </c>
      <c r="D356" s="244" t="s">
        <v>0</v>
      </c>
      <c r="E356" s="245">
        <v>0</v>
      </c>
      <c r="F356" s="251">
        <v>0</v>
      </c>
      <c r="G356" s="245">
        <f>H356+I356</f>
        <v>0</v>
      </c>
      <c r="H356" s="245">
        <v>0</v>
      </c>
      <c r="I356" s="245">
        <v>0</v>
      </c>
      <c r="J356" s="978" t="s">
        <v>465</v>
      </c>
    </row>
    <row r="357" spans="1:10">
      <c r="A357" s="976"/>
      <c r="B357" s="979"/>
      <c r="C357" s="982"/>
      <c r="D357" s="244" t="s">
        <v>1</v>
      </c>
      <c r="E357" s="245">
        <v>461250</v>
      </c>
      <c r="F357" s="251">
        <v>260035</v>
      </c>
      <c r="G357" s="245">
        <f>H357+I357</f>
        <v>201215</v>
      </c>
      <c r="H357" s="245"/>
      <c r="I357" s="245">
        <v>201215</v>
      </c>
      <c r="J357" s="979"/>
    </row>
    <row r="358" spans="1:10">
      <c r="A358" s="977"/>
      <c r="B358" s="980"/>
      <c r="C358" s="983"/>
      <c r="D358" s="244" t="s">
        <v>2</v>
      </c>
      <c r="E358" s="245">
        <f>E356+E357</f>
        <v>461250</v>
      </c>
      <c r="F358" s="245">
        <f>F356+F357</f>
        <v>260035</v>
      </c>
      <c r="G358" s="245">
        <f>G356+G357</f>
        <v>201215</v>
      </c>
      <c r="H358" s="245">
        <f>H356+H357</f>
        <v>0</v>
      </c>
      <c r="I358" s="245">
        <f>I356+I357</f>
        <v>201215</v>
      </c>
      <c r="J358" s="980"/>
    </row>
    <row r="359" spans="1:10" ht="24.75" customHeight="1">
      <c r="A359" s="975" t="s">
        <v>179</v>
      </c>
      <c r="B359" s="978" t="s">
        <v>501</v>
      </c>
      <c r="C359" s="981" t="s">
        <v>469</v>
      </c>
      <c r="D359" s="244" t="s">
        <v>0</v>
      </c>
      <c r="E359" s="245">
        <v>3657000</v>
      </c>
      <c r="F359" s="251">
        <v>2438000</v>
      </c>
      <c r="G359" s="245">
        <f t="shared" si="19"/>
        <v>1219000</v>
      </c>
      <c r="H359" s="245">
        <v>1219000</v>
      </c>
      <c r="I359" s="245">
        <v>0</v>
      </c>
      <c r="J359" s="978" t="s">
        <v>359</v>
      </c>
    </row>
    <row r="360" spans="1:10" ht="24.75" customHeight="1">
      <c r="A360" s="976"/>
      <c r="B360" s="979"/>
      <c r="C360" s="982"/>
      <c r="D360" s="244" t="s">
        <v>1</v>
      </c>
      <c r="E360" s="245"/>
      <c r="F360" s="251"/>
      <c r="G360" s="245">
        <f t="shared" si="19"/>
        <v>0</v>
      </c>
      <c r="H360" s="245"/>
      <c r="I360" s="245"/>
      <c r="J360" s="979"/>
    </row>
    <row r="361" spans="1:10" ht="24.75" customHeight="1">
      <c r="A361" s="977"/>
      <c r="B361" s="980"/>
      <c r="C361" s="983"/>
      <c r="D361" s="244" t="s">
        <v>2</v>
      </c>
      <c r="E361" s="245">
        <f>E359+E360</f>
        <v>3657000</v>
      </c>
      <c r="F361" s="245">
        <f>F359+F360</f>
        <v>2438000</v>
      </c>
      <c r="G361" s="245">
        <f>G359+G360</f>
        <v>1219000</v>
      </c>
      <c r="H361" s="245">
        <f>H359+H360</f>
        <v>1219000</v>
      </c>
      <c r="I361" s="245">
        <f>I359+I360</f>
        <v>0</v>
      </c>
      <c r="J361" s="980"/>
    </row>
    <row r="362" spans="1:10" hidden="1">
      <c r="A362" s="975" t="s">
        <v>179</v>
      </c>
      <c r="B362" s="978" t="s">
        <v>502</v>
      </c>
      <c r="C362" s="981" t="s">
        <v>469</v>
      </c>
      <c r="D362" s="244" t="s">
        <v>0</v>
      </c>
      <c r="E362" s="245">
        <v>7935000</v>
      </c>
      <c r="F362" s="251">
        <v>5290000</v>
      </c>
      <c r="G362" s="245">
        <f t="shared" si="19"/>
        <v>2645000</v>
      </c>
      <c r="H362" s="245">
        <v>2645000</v>
      </c>
      <c r="I362" s="245">
        <v>0</v>
      </c>
      <c r="J362" s="978" t="s">
        <v>359</v>
      </c>
    </row>
    <row r="363" spans="1:10" hidden="1">
      <c r="A363" s="976"/>
      <c r="B363" s="979"/>
      <c r="C363" s="982"/>
      <c r="D363" s="244" t="s">
        <v>1</v>
      </c>
      <c r="E363" s="245"/>
      <c r="F363" s="251"/>
      <c r="G363" s="245">
        <f t="shared" si="19"/>
        <v>0</v>
      </c>
      <c r="H363" s="245"/>
      <c r="I363" s="245"/>
      <c r="J363" s="979"/>
    </row>
    <row r="364" spans="1:10" hidden="1">
      <c r="A364" s="977"/>
      <c r="B364" s="980"/>
      <c r="C364" s="983"/>
      <c r="D364" s="244" t="s">
        <v>2</v>
      </c>
      <c r="E364" s="245">
        <f>E362+E363</f>
        <v>7935000</v>
      </c>
      <c r="F364" s="245">
        <f>F362+F363</f>
        <v>5290000</v>
      </c>
      <c r="G364" s="245">
        <f>G362+G363</f>
        <v>2645000</v>
      </c>
      <c r="H364" s="245">
        <f>H362+H363</f>
        <v>2645000</v>
      </c>
      <c r="I364" s="245">
        <f>I362+I363</f>
        <v>0</v>
      </c>
      <c r="J364" s="980"/>
    </row>
    <row r="365" spans="1:10" hidden="1">
      <c r="A365" s="975" t="s">
        <v>183</v>
      </c>
      <c r="B365" s="978" t="s">
        <v>503</v>
      </c>
      <c r="C365" s="981" t="s">
        <v>504</v>
      </c>
      <c r="D365" s="244" t="s">
        <v>0</v>
      </c>
      <c r="E365" s="245">
        <v>32234476</v>
      </c>
      <c r="F365" s="251">
        <v>24618134</v>
      </c>
      <c r="G365" s="245">
        <f t="shared" si="19"/>
        <v>7616342</v>
      </c>
      <c r="H365" s="245">
        <v>7616342</v>
      </c>
      <c r="I365" s="245">
        <v>0</v>
      </c>
      <c r="J365" s="978" t="s">
        <v>412</v>
      </c>
    </row>
    <row r="366" spans="1:10" hidden="1">
      <c r="A366" s="976"/>
      <c r="B366" s="979"/>
      <c r="C366" s="982"/>
      <c r="D366" s="244" t="s">
        <v>1</v>
      </c>
      <c r="E366" s="245"/>
      <c r="F366" s="251"/>
      <c r="G366" s="245">
        <f t="shared" si="19"/>
        <v>0</v>
      </c>
      <c r="H366" s="245"/>
      <c r="I366" s="245"/>
      <c r="J366" s="979"/>
    </row>
    <row r="367" spans="1:10" hidden="1">
      <c r="A367" s="977"/>
      <c r="B367" s="980"/>
      <c r="C367" s="983"/>
      <c r="D367" s="244" t="s">
        <v>2</v>
      </c>
      <c r="E367" s="245">
        <f>E365+E366</f>
        <v>32234476</v>
      </c>
      <c r="F367" s="245">
        <f>F365+F366</f>
        <v>24618134</v>
      </c>
      <c r="G367" s="245">
        <f>G365+G366</f>
        <v>7616342</v>
      </c>
      <c r="H367" s="245">
        <f>H365+H366</f>
        <v>7616342</v>
      </c>
      <c r="I367" s="245">
        <f>I365+I366</f>
        <v>0</v>
      </c>
      <c r="J367" s="980"/>
    </row>
    <row r="368" spans="1:10" hidden="1">
      <c r="A368" s="984" t="s">
        <v>85</v>
      </c>
      <c r="B368" s="990" t="s">
        <v>505</v>
      </c>
      <c r="C368" s="971" t="s">
        <v>356</v>
      </c>
      <c r="D368" s="233" t="s">
        <v>0</v>
      </c>
      <c r="E368" s="243">
        <f>E371</f>
        <v>1360000</v>
      </c>
      <c r="F368" s="243">
        <f t="shared" ref="F368:I369" si="20">F371</f>
        <v>0</v>
      </c>
      <c r="G368" s="243">
        <f t="shared" si="20"/>
        <v>260000</v>
      </c>
      <c r="H368" s="243">
        <f t="shared" si="20"/>
        <v>260000</v>
      </c>
      <c r="I368" s="243">
        <f t="shared" si="20"/>
        <v>0</v>
      </c>
      <c r="J368" s="971" t="s">
        <v>356</v>
      </c>
    </row>
    <row r="369" spans="1:10" hidden="1">
      <c r="A369" s="985"/>
      <c r="B369" s="991"/>
      <c r="C369" s="972"/>
      <c r="D369" s="233" t="s">
        <v>1</v>
      </c>
      <c r="E369" s="243">
        <f>E372</f>
        <v>0</v>
      </c>
      <c r="F369" s="243">
        <f t="shared" si="20"/>
        <v>0</v>
      </c>
      <c r="G369" s="243">
        <f t="shared" si="20"/>
        <v>0</v>
      </c>
      <c r="H369" s="243">
        <f t="shared" si="20"/>
        <v>0</v>
      </c>
      <c r="I369" s="243">
        <f t="shared" si="20"/>
        <v>0</v>
      </c>
      <c r="J369" s="972"/>
    </row>
    <row r="370" spans="1:10" hidden="1">
      <c r="A370" s="986"/>
      <c r="B370" s="992"/>
      <c r="C370" s="973"/>
      <c r="D370" s="233" t="s">
        <v>2</v>
      </c>
      <c r="E370" s="243">
        <f>E368+E369</f>
        <v>1360000</v>
      </c>
      <c r="F370" s="243">
        <f>F368+F369</f>
        <v>0</v>
      </c>
      <c r="G370" s="243">
        <f>G368+G369</f>
        <v>260000</v>
      </c>
      <c r="H370" s="243">
        <f>H368+H369</f>
        <v>260000</v>
      </c>
      <c r="I370" s="243">
        <f>I368+I369</f>
        <v>0</v>
      </c>
      <c r="J370" s="973"/>
    </row>
    <row r="371" spans="1:10" hidden="1">
      <c r="A371" s="975" t="s">
        <v>187</v>
      </c>
      <c r="B371" s="978" t="s">
        <v>506</v>
      </c>
      <c r="C371" s="981" t="s">
        <v>507</v>
      </c>
      <c r="D371" s="244" t="s">
        <v>0</v>
      </c>
      <c r="E371" s="245">
        <v>1360000</v>
      </c>
      <c r="F371" s="251">
        <v>0</v>
      </c>
      <c r="G371" s="245">
        <f>H371+I371</f>
        <v>260000</v>
      </c>
      <c r="H371" s="245">
        <v>260000</v>
      </c>
      <c r="I371" s="245">
        <v>0</v>
      </c>
      <c r="J371" s="978" t="s">
        <v>359</v>
      </c>
    </row>
    <row r="372" spans="1:10" hidden="1">
      <c r="A372" s="976"/>
      <c r="B372" s="979"/>
      <c r="C372" s="982"/>
      <c r="D372" s="244" t="s">
        <v>1</v>
      </c>
      <c r="E372" s="245"/>
      <c r="F372" s="251"/>
      <c r="G372" s="245">
        <f>H372+I372</f>
        <v>0</v>
      </c>
      <c r="H372" s="245"/>
      <c r="I372" s="245"/>
      <c r="J372" s="979"/>
    </row>
    <row r="373" spans="1:10" hidden="1">
      <c r="A373" s="977"/>
      <c r="B373" s="980"/>
      <c r="C373" s="983"/>
      <c r="D373" s="244" t="s">
        <v>2</v>
      </c>
      <c r="E373" s="245">
        <f>E371+E372</f>
        <v>1360000</v>
      </c>
      <c r="F373" s="245">
        <f>F371+F372</f>
        <v>0</v>
      </c>
      <c r="G373" s="245">
        <f>G371+G372</f>
        <v>260000</v>
      </c>
      <c r="H373" s="245">
        <f>H371+H372</f>
        <v>260000</v>
      </c>
      <c r="I373" s="245">
        <f>I371+I372</f>
        <v>0</v>
      </c>
      <c r="J373" s="980"/>
    </row>
    <row r="374" spans="1:10" hidden="1">
      <c r="A374" s="984" t="s">
        <v>47</v>
      </c>
      <c r="B374" s="990" t="s">
        <v>48</v>
      </c>
      <c r="C374" s="971" t="s">
        <v>356</v>
      </c>
      <c r="D374" s="233" t="s">
        <v>0</v>
      </c>
      <c r="E374" s="243">
        <f t="shared" ref="E374:I375" si="21">E377+E380</f>
        <v>1051500</v>
      </c>
      <c r="F374" s="243">
        <f t="shared" si="21"/>
        <v>201900</v>
      </c>
      <c r="G374" s="243">
        <f t="shared" si="21"/>
        <v>56640</v>
      </c>
      <c r="H374" s="243">
        <f t="shared" si="21"/>
        <v>56640</v>
      </c>
      <c r="I374" s="243">
        <f t="shared" si="21"/>
        <v>0</v>
      </c>
      <c r="J374" s="971" t="s">
        <v>356</v>
      </c>
    </row>
    <row r="375" spans="1:10" hidden="1">
      <c r="A375" s="985"/>
      <c r="B375" s="991"/>
      <c r="C375" s="972"/>
      <c r="D375" s="233" t="s">
        <v>1</v>
      </c>
      <c r="E375" s="243">
        <f t="shared" si="21"/>
        <v>0</v>
      </c>
      <c r="F375" s="243">
        <f t="shared" si="21"/>
        <v>0</v>
      </c>
      <c r="G375" s="243">
        <f t="shared" si="21"/>
        <v>0</v>
      </c>
      <c r="H375" s="243">
        <f t="shared" si="21"/>
        <v>0</v>
      </c>
      <c r="I375" s="243">
        <f t="shared" si="21"/>
        <v>0</v>
      </c>
      <c r="J375" s="972"/>
    </row>
    <row r="376" spans="1:10" hidden="1">
      <c r="A376" s="986"/>
      <c r="B376" s="992"/>
      <c r="C376" s="973"/>
      <c r="D376" s="233" t="s">
        <v>2</v>
      </c>
      <c r="E376" s="243">
        <f>E374+E375</f>
        <v>1051500</v>
      </c>
      <c r="F376" s="243">
        <f>F374+F375</f>
        <v>201900</v>
      </c>
      <c r="G376" s="243">
        <f>G374+G375</f>
        <v>56640</v>
      </c>
      <c r="H376" s="243">
        <f>H374+H375</f>
        <v>56640</v>
      </c>
      <c r="I376" s="243">
        <f>I374+I375</f>
        <v>0</v>
      </c>
      <c r="J376" s="973"/>
    </row>
    <row r="377" spans="1:10" hidden="1">
      <c r="A377" s="975" t="s">
        <v>188</v>
      </c>
      <c r="B377" s="978" t="s">
        <v>508</v>
      </c>
      <c r="C377" s="981" t="s">
        <v>509</v>
      </c>
      <c r="D377" s="244" t="s">
        <v>0</v>
      </c>
      <c r="E377" s="245">
        <v>524500</v>
      </c>
      <c r="F377" s="251">
        <v>184900</v>
      </c>
      <c r="G377" s="245">
        <f>H377+I377</f>
        <v>22640</v>
      </c>
      <c r="H377" s="245">
        <v>22640</v>
      </c>
      <c r="I377" s="245">
        <v>0</v>
      </c>
      <c r="J377" s="978" t="s">
        <v>359</v>
      </c>
    </row>
    <row r="378" spans="1:10" hidden="1">
      <c r="A378" s="976"/>
      <c r="B378" s="979"/>
      <c r="C378" s="982"/>
      <c r="D378" s="244" t="s">
        <v>1</v>
      </c>
      <c r="E378" s="245"/>
      <c r="F378" s="251"/>
      <c r="G378" s="245">
        <f>H378+I378</f>
        <v>0</v>
      </c>
      <c r="H378" s="245"/>
      <c r="I378" s="245"/>
      <c r="J378" s="979"/>
    </row>
    <row r="379" spans="1:10" hidden="1">
      <c r="A379" s="977"/>
      <c r="B379" s="980"/>
      <c r="C379" s="983"/>
      <c r="D379" s="244" t="s">
        <v>2</v>
      </c>
      <c r="E379" s="245">
        <f>E377+E378</f>
        <v>524500</v>
      </c>
      <c r="F379" s="245">
        <f>F377+F378</f>
        <v>184900</v>
      </c>
      <c r="G379" s="245">
        <f>G377+G378</f>
        <v>22640</v>
      </c>
      <c r="H379" s="245">
        <f>H377+H378</f>
        <v>22640</v>
      </c>
      <c r="I379" s="245">
        <f>I377+I378</f>
        <v>0</v>
      </c>
      <c r="J379" s="980"/>
    </row>
    <row r="380" spans="1:10" hidden="1">
      <c r="A380" s="975" t="s">
        <v>188</v>
      </c>
      <c r="B380" s="978" t="s">
        <v>510</v>
      </c>
      <c r="C380" s="981" t="s">
        <v>511</v>
      </c>
      <c r="D380" s="244" t="s">
        <v>0</v>
      </c>
      <c r="E380" s="245">
        <v>527000</v>
      </c>
      <c r="F380" s="251">
        <v>17000</v>
      </c>
      <c r="G380" s="245">
        <f>H380+I380</f>
        <v>34000</v>
      </c>
      <c r="H380" s="245">
        <v>34000</v>
      </c>
      <c r="I380" s="245">
        <v>0</v>
      </c>
      <c r="J380" s="978" t="s">
        <v>359</v>
      </c>
    </row>
    <row r="381" spans="1:10" hidden="1">
      <c r="A381" s="976"/>
      <c r="B381" s="979"/>
      <c r="C381" s="982"/>
      <c r="D381" s="244" t="s">
        <v>1</v>
      </c>
      <c r="E381" s="245"/>
      <c r="F381" s="251"/>
      <c r="G381" s="245">
        <f>H381+I381</f>
        <v>0</v>
      </c>
      <c r="H381" s="245"/>
      <c r="I381" s="245"/>
      <c r="J381" s="979"/>
    </row>
    <row r="382" spans="1:10" hidden="1">
      <c r="A382" s="977"/>
      <c r="B382" s="980"/>
      <c r="C382" s="983"/>
      <c r="D382" s="244" t="s">
        <v>2</v>
      </c>
      <c r="E382" s="245">
        <f>E380+E381</f>
        <v>527000</v>
      </c>
      <c r="F382" s="245">
        <f>F380+F381</f>
        <v>17000</v>
      </c>
      <c r="G382" s="245">
        <f>G380+G381</f>
        <v>34000</v>
      </c>
      <c r="H382" s="245">
        <f>H380+H381</f>
        <v>34000</v>
      </c>
      <c r="I382" s="245">
        <f>I380+I381</f>
        <v>0</v>
      </c>
      <c r="J382" s="980"/>
    </row>
    <row r="383" spans="1:10" hidden="1">
      <c r="A383" s="984" t="s">
        <v>51</v>
      </c>
      <c r="B383" s="990" t="s">
        <v>52</v>
      </c>
      <c r="C383" s="971" t="s">
        <v>356</v>
      </c>
      <c r="D383" s="233" t="s">
        <v>0</v>
      </c>
      <c r="E383" s="243">
        <f t="shared" ref="E383:I384" si="22">E386</f>
        <v>434556</v>
      </c>
      <c r="F383" s="243">
        <f t="shared" si="22"/>
        <v>0</v>
      </c>
      <c r="G383" s="243">
        <f t="shared" si="22"/>
        <v>217278</v>
      </c>
      <c r="H383" s="243">
        <f t="shared" si="22"/>
        <v>217278</v>
      </c>
      <c r="I383" s="243">
        <f t="shared" si="22"/>
        <v>0</v>
      </c>
      <c r="J383" s="971" t="s">
        <v>356</v>
      </c>
    </row>
    <row r="384" spans="1:10" hidden="1">
      <c r="A384" s="985"/>
      <c r="B384" s="991"/>
      <c r="C384" s="972"/>
      <c r="D384" s="233" t="s">
        <v>1</v>
      </c>
      <c r="E384" s="243">
        <f t="shared" si="22"/>
        <v>0</v>
      </c>
      <c r="F384" s="243">
        <f t="shared" si="22"/>
        <v>0</v>
      </c>
      <c r="G384" s="243">
        <f t="shared" si="22"/>
        <v>0</v>
      </c>
      <c r="H384" s="243">
        <f t="shared" si="22"/>
        <v>0</v>
      </c>
      <c r="I384" s="243">
        <f t="shared" si="22"/>
        <v>0</v>
      </c>
      <c r="J384" s="972"/>
    </row>
    <row r="385" spans="1:10" hidden="1">
      <c r="A385" s="986"/>
      <c r="B385" s="992"/>
      <c r="C385" s="973"/>
      <c r="D385" s="233" t="s">
        <v>2</v>
      </c>
      <c r="E385" s="243">
        <f>E383+E384</f>
        <v>434556</v>
      </c>
      <c r="F385" s="243">
        <f>F383+F384</f>
        <v>0</v>
      </c>
      <c r="G385" s="243">
        <f>G383+G384</f>
        <v>217278</v>
      </c>
      <c r="H385" s="243">
        <f>H383+H384</f>
        <v>217278</v>
      </c>
      <c r="I385" s="243">
        <f>I383+I384</f>
        <v>0</v>
      </c>
      <c r="J385" s="973"/>
    </row>
    <row r="386" spans="1:10" hidden="1">
      <c r="A386" s="975" t="s">
        <v>196</v>
      </c>
      <c r="B386" s="978" t="s">
        <v>512</v>
      </c>
      <c r="C386" s="981" t="s">
        <v>513</v>
      </c>
      <c r="D386" s="244" t="s">
        <v>0</v>
      </c>
      <c r="E386" s="245">
        <v>434556</v>
      </c>
      <c r="F386" s="251">
        <v>0</v>
      </c>
      <c r="G386" s="245">
        <f>H386+I386</f>
        <v>217278</v>
      </c>
      <c r="H386" s="245">
        <v>217278</v>
      </c>
      <c r="I386" s="245">
        <v>0</v>
      </c>
      <c r="J386" s="978" t="s">
        <v>359</v>
      </c>
    </row>
    <row r="387" spans="1:10" hidden="1">
      <c r="A387" s="976"/>
      <c r="B387" s="979"/>
      <c r="C387" s="982"/>
      <c r="D387" s="244" t="s">
        <v>1</v>
      </c>
      <c r="E387" s="245"/>
      <c r="F387" s="251"/>
      <c r="G387" s="245">
        <f>H387+I387</f>
        <v>0</v>
      </c>
      <c r="H387" s="245"/>
      <c r="I387" s="245"/>
      <c r="J387" s="979"/>
    </row>
    <row r="388" spans="1:10" hidden="1">
      <c r="A388" s="977"/>
      <c r="B388" s="980"/>
      <c r="C388" s="983"/>
      <c r="D388" s="244" t="s">
        <v>2</v>
      </c>
      <c r="E388" s="245">
        <f>E386+E387</f>
        <v>434556</v>
      </c>
      <c r="F388" s="245">
        <f>F386+F387</f>
        <v>0</v>
      </c>
      <c r="G388" s="245">
        <f>G386+G387</f>
        <v>217278</v>
      </c>
      <c r="H388" s="245">
        <f>H386+H387</f>
        <v>217278</v>
      </c>
      <c r="I388" s="245">
        <f>I386+I387</f>
        <v>0</v>
      </c>
      <c r="J388" s="980"/>
    </row>
    <row r="389" spans="1:10" hidden="1">
      <c r="A389" s="984" t="s">
        <v>53</v>
      </c>
      <c r="B389" s="990" t="s">
        <v>54</v>
      </c>
      <c r="C389" s="971" t="s">
        <v>356</v>
      </c>
      <c r="D389" s="233" t="s">
        <v>0</v>
      </c>
      <c r="E389" s="252">
        <f>E392+E395</f>
        <v>169868014</v>
      </c>
      <c r="F389" s="252">
        <f t="shared" ref="F389:I390" si="23">F392+F395</f>
        <v>7628464</v>
      </c>
      <c r="G389" s="252">
        <f t="shared" si="23"/>
        <v>12239550</v>
      </c>
      <c r="H389" s="252">
        <f t="shared" si="23"/>
        <v>12239550</v>
      </c>
      <c r="I389" s="252">
        <f t="shared" si="23"/>
        <v>0</v>
      </c>
      <c r="J389" s="993" t="s">
        <v>356</v>
      </c>
    </row>
    <row r="390" spans="1:10" hidden="1">
      <c r="A390" s="985"/>
      <c r="B390" s="991"/>
      <c r="C390" s="972"/>
      <c r="D390" s="233" t="s">
        <v>1</v>
      </c>
      <c r="E390" s="252">
        <f>E393+E396</f>
        <v>0</v>
      </c>
      <c r="F390" s="252">
        <f t="shared" si="23"/>
        <v>0</v>
      </c>
      <c r="G390" s="252">
        <f t="shared" si="23"/>
        <v>0</v>
      </c>
      <c r="H390" s="252">
        <f t="shared" si="23"/>
        <v>0</v>
      </c>
      <c r="I390" s="252">
        <f t="shared" si="23"/>
        <v>0</v>
      </c>
      <c r="J390" s="994"/>
    </row>
    <row r="391" spans="1:10" hidden="1">
      <c r="A391" s="986"/>
      <c r="B391" s="992"/>
      <c r="C391" s="973"/>
      <c r="D391" s="233" t="s">
        <v>2</v>
      </c>
      <c r="E391" s="252">
        <f>E389+E390</f>
        <v>169868014</v>
      </c>
      <c r="F391" s="252">
        <f>F389+F390</f>
        <v>7628464</v>
      </c>
      <c r="G391" s="252">
        <f>G389+G390</f>
        <v>12239550</v>
      </c>
      <c r="H391" s="252">
        <f>H389+H390</f>
        <v>12239550</v>
      </c>
      <c r="I391" s="252">
        <f>I389+I390</f>
        <v>0</v>
      </c>
      <c r="J391" s="995"/>
    </row>
    <row r="392" spans="1:10" hidden="1">
      <c r="A392" s="975" t="s">
        <v>204</v>
      </c>
      <c r="B392" s="978" t="s">
        <v>514</v>
      </c>
      <c r="C392" s="981" t="s">
        <v>498</v>
      </c>
      <c r="D392" s="244" t="s">
        <v>0</v>
      </c>
      <c r="E392" s="245">
        <v>739550</v>
      </c>
      <c r="F392" s="251">
        <v>0</v>
      </c>
      <c r="G392" s="245">
        <f>H392+I392</f>
        <v>739550</v>
      </c>
      <c r="H392" s="245">
        <v>739550</v>
      </c>
      <c r="I392" s="245">
        <v>0</v>
      </c>
      <c r="J392" s="978" t="s">
        <v>359</v>
      </c>
    </row>
    <row r="393" spans="1:10" hidden="1">
      <c r="A393" s="976"/>
      <c r="B393" s="979"/>
      <c r="C393" s="982"/>
      <c r="D393" s="244" t="s">
        <v>1</v>
      </c>
      <c r="E393" s="245"/>
      <c r="F393" s="251"/>
      <c r="G393" s="245">
        <f>H393+I393</f>
        <v>0</v>
      </c>
      <c r="H393" s="245"/>
      <c r="I393" s="245"/>
      <c r="J393" s="979"/>
    </row>
    <row r="394" spans="1:10" hidden="1">
      <c r="A394" s="977"/>
      <c r="B394" s="980"/>
      <c r="C394" s="983"/>
      <c r="D394" s="244" t="s">
        <v>2</v>
      </c>
      <c r="E394" s="245">
        <f>E392+E393</f>
        <v>739550</v>
      </c>
      <c r="F394" s="245">
        <f>F392+F393</f>
        <v>0</v>
      </c>
      <c r="G394" s="245">
        <f>G392+G393</f>
        <v>739550</v>
      </c>
      <c r="H394" s="245">
        <f>H392+H393</f>
        <v>739550</v>
      </c>
      <c r="I394" s="245">
        <f>I392+I393</f>
        <v>0</v>
      </c>
      <c r="J394" s="980"/>
    </row>
    <row r="395" spans="1:10" hidden="1">
      <c r="A395" s="975" t="s">
        <v>204</v>
      </c>
      <c r="B395" s="978" t="s">
        <v>515</v>
      </c>
      <c r="C395" s="981" t="s">
        <v>516</v>
      </c>
      <c r="D395" s="244" t="s">
        <v>0</v>
      </c>
      <c r="E395" s="245">
        <v>169128464</v>
      </c>
      <c r="F395" s="251">
        <v>7628464</v>
      </c>
      <c r="G395" s="245">
        <f>H395+I395</f>
        <v>11500000</v>
      </c>
      <c r="H395" s="245">
        <v>11500000</v>
      </c>
      <c r="I395" s="245">
        <v>0</v>
      </c>
      <c r="J395" s="978" t="s">
        <v>359</v>
      </c>
    </row>
    <row r="396" spans="1:10" hidden="1">
      <c r="A396" s="976"/>
      <c r="B396" s="979"/>
      <c r="C396" s="982"/>
      <c r="D396" s="244" t="s">
        <v>1</v>
      </c>
      <c r="E396" s="245"/>
      <c r="F396" s="251"/>
      <c r="G396" s="245">
        <f>H396+I396</f>
        <v>0</v>
      </c>
      <c r="H396" s="245"/>
      <c r="I396" s="245"/>
      <c r="J396" s="979"/>
    </row>
    <row r="397" spans="1:10" hidden="1">
      <c r="A397" s="977"/>
      <c r="B397" s="980"/>
      <c r="C397" s="983"/>
      <c r="D397" s="244" t="s">
        <v>2</v>
      </c>
      <c r="E397" s="245">
        <f>E395+E396</f>
        <v>169128464</v>
      </c>
      <c r="F397" s="245">
        <f>F395+F396</f>
        <v>7628464</v>
      </c>
      <c r="G397" s="245">
        <f>G395+G396</f>
        <v>11500000</v>
      </c>
      <c r="H397" s="245">
        <f>H395+H396</f>
        <v>11500000</v>
      </c>
      <c r="I397" s="245">
        <f>I395+I396</f>
        <v>0</v>
      </c>
      <c r="J397" s="980"/>
    </row>
    <row r="398" spans="1:10" hidden="1">
      <c r="A398" s="984" t="s">
        <v>59</v>
      </c>
      <c r="B398" s="990" t="s">
        <v>60</v>
      </c>
      <c r="C398" s="971" t="s">
        <v>356</v>
      </c>
      <c r="D398" s="233" t="s">
        <v>0</v>
      </c>
      <c r="E398" s="243">
        <f>E401</f>
        <v>18091143</v>
      </c>
      <c r="F398" s="243">
        <f t="shared" ref="F398:I399" si="24">F401</f>
        <v>91143</v>
      </c>
      <c r="G398" s="243">
        <f t="shared" si="24"/>
        <v>2000000</v>
      </c>
      <c r="H398" s="243">
        <f t="shared" si="24"/>
        <v>2000000</v>
      </c>
      <c r="I398" s="243">
        <f t="shared" si="24"/>
        <v>0</v>
      </c>
      <c r="J398" s="971" t="s">
        <v>356</v>
      </c>
    </row>
    <row r="399" spans="1:10" hidden="1">
      <c r="A399" s="985"/>
      <c r="B399" s="991"/>
      <c r="C399" s="972"/>
      <c r="D399" s="233" t="s">
        <v>1</v>
      </c>
      <c r="E399" s="243">
        <f>E402</f>
        <v>0</v>
      </c>
      <c r="F399" s="243">
        <f t="shared" si="24"/>
        <v>0</v>
      </c>
      <c r="G399" s="243">
        <f t="shared" si="24"/>
        <v>0</v>
      </c>
      <c r="H399" s="243">
        <f t="shared" si="24"/>
        <v>0</v>
      </c>
      <c r="I399" s="243">
        <f t="shared" si="24"/>
        <v>0</v>
      </c>
      <c r="J399" s="972"/>
    </row>
    <row r="400" spans="1:10" hidden="1">
      <c r="A400" s="986"/>
      <c r="B400" s="992"/>
      <c r="C400" s="973"/>
      <c r="D400" s="233" t="s">
        <v>2</v>
      </c>
      <c r="E400" s="243">
        <f>E398+E399</f>
        <v>18091143</v>
      </c>
      <c r="F400" s="243">
        <f>F398+F399</f>
        <v>91143</v>
      </c>
      <c r="G400" s="243">
        <f>G398+G399</f>
        <v>2000000</v>
      </c>
      <c r="H400" s="243">
        <f>H398+H399</f>
        <v>2000000</v>
      </c>
      <c r="I400" s="243">
        <f>I398+I399</f>
        <v>0</v>
      </c>
      <c r="J400" s="973"/>
    </row>
    <row r="401" spans="1:10" hidden="1">
      <c r="A401" s="975" t="s">
        <v>239</v>
      </c>
      <c r="B401" s="978" t="s">
        <v>517</v>
      </c>
      <c r="C401" s="981" t="s">
        <v>486</v>
      </c>
      <c r="D401" s="244" t="s">
        <v>0</v>
      </c>
      <c r="E401" s="245">
        <v>18091143</v>
      </c>
      <c r="F401" s="251">
        <v>91143</v>
      </c>
      <c r="G401" s="245">
        <f>H401+I401</f>
        <v>2000000</v>
      </c>
      <c r="H401" s="245">
        <v>2000000</v>
      </c>
      <c r="I401" s="245"/>
      <c r="J401" s="978" t="s">
        <v>359</v>
      </c>
    </row>
    <row r="402" spans="1:10" hidden="1">
      <c r="A402" s="976"/>
      <c r="B402" s="979"/>
      <c r="C402" s="982"/>
      <c r="D402" s="244" t="s">
        <v>1</v>
      </c>
      <c r="E402" s="245"/>
      <c r="F402" s="251"/>
      <c r="G402" s="245">
        <f>H402+I402</f>
        <v>0</v>
      </c>
      <c r="H402" s="245"/>
      <c r="I402" s="245"/>
      <c r="J402" s="979"/>
    </row>
    <row r="403" spans="1:10" hidden="1">
      <c r="A403" s="977"/>
      <c r="B403" s="980"/>
      <c r="C403" s="983"/>
      <c r="D403" s="244" t="s">
        <v>2</v>
      </c>
      <c r="E403" s="245">
        <f>E401+E402</f>
        <v>18091143</v>
      </c>
      <c r="F403" s="245">
        <f>F401+F402</f>
        <v>91143</v>
      </c>
      <c r="G403" s="245">
        <f>G401+G402</f>
        <v>2000000</v>
      </c>
      <c r="H403" s="245">
        <f>H401+H402</f>
        <v>2000000</v>
      </c>
      <c r="I403" s="245">
        <f>I401+I402</f>
        <v>0</v>
      </c>
      <c r="J403" s="980"/>
    </row>
    <row r="404" spans="1:10">
      <c r="A404" s="984" t="s">
        <v>61</v>
      </c>
      <c r="B404" s="990" t="s">
        <v>62</v>
      </c>
      <c r="C404" s="971" t="s">
        <v>356</v>
      </c>
      <c r="D404" s="233" t="s">
        <v>0</v>
      </c>
      <c r="E404" s="243">
        <f t="shared" ref="E404:I405" si="25">E413+E416+E407+E410</f>
        <v>207240000</v>
      </c>
      <c r="F404" s="243">
        <f t="shared" si="25"/>
        <v>300000</v>
      </c>
      <c r="G404" s="243">
        <f t="shared" si="25"/>
        <v>11940000</v>
      </c>
      <c r="H404" s="243">
        <f t="shared" si="25"/>
        <v>11940000</v>
      </c>
      <c r="I404" s="243">
        <f t="shared" si="25"/>
        <v>0</v>
      </c>
      <c r="J404" s="971" t="s">
        <v>356</v>
      </c>
    </row>
    <row r="405" spans="1:10">
      <c r="A405" s="985"/>
      <c r="B405" s="991"/>
      <c r="C405" s="972"/>
      <c r="D405" s="233" t="s">
        <v>1</v>
      </c>
      <c r="E405" s="243">
        <f t="shared" si="25"/>
        <v>2828771</v>
      </c>
      <c r="F405" s="243">
        <f t="shared" si="25"/>
        <v>0</v>
      </c>
      <c r="G405" s="243">
        <f t="shared" si="25"/>
        <v>2328771</v>
      </c>
      <c r="H405" s="243">
        <f t="shared" si="25"/>
        <v>2328771</v>
      </c>
      <c r="I405" s="243">
        <f t="shared" si="25"/>
        <v>0</v>
      </c>
      <c r="J405" s="972"/>
    </row>
    <row r="406" spans="1:10">
      <c r="A406" s="986"/>
      <c r="B406" s="992"/>
      <c r="C406" s="973"/>
      <c r="D406" s="233" t="s">
        <v>2</v>
      </c>
      <c r="E406" s="243">
        <f>E404+E405</f>
        <v>210068771</v>
      </c>
      <c r="F406" s="243">
        <f>F404+F405</f>
        <v>300000</v>
      </c>
      <c r="G406" s="243">
        <f>G404+G405</f>
        <v>14268771</v>
      </c>
      <c r="H406" s="243">
        <f>H404+H405</f>
        <v>14268771</v>
      </c>
      <c r="I406" s="243">
        <f>I404+I405</f>
        <v>0</v>
      </c>
      <c r="J406" s="973"/>
    </row>
    <row r="407" spans="1:10" hidden="1">
      <c r="A407" s="975" t="s">
        <v>389</v>
      </c>
      <c r="B407" s="978" t="s">
        <v>518</v>
      </c>
      <c r="C407" s="981" t="s">
        <v>519</v>
      </c>
      <c r="D407" s="244" t="s">
        <v>0</v>
      </c>
      <c r="E407" s="251">
        <v>205000000</v>
      </c>
      <c r="F407" s="251">
        <v>0</v>
      </c>
      <c r="G407" s="245">
        <f>H407+I407</f>
        <v>10000000</v>
      </c>
      <c r="H407" s="251">
        <v>10000000</v>
      </c>
      <c r="I407" s="251">
        <v>0</v>
      </c>
      <c r="J407" s="978" t="s">
        <v>520</v>
      </c>
    </row>
    <row r="408" spans="1:10" hidden="1">
      <c r="A408" s="976"/>
      <c r="B408" s="979"/>
      <c r="C408" s="982"/>
      <c r="D408" s="244" t="s">
        <v>1</v>
      </c>
      <c r="E408" s="251"/>
      <c r="F408" s="251"/>
      <c r="G408" s="245">
        <f>H408+I408</f>
        <v>0</v>
      </c>
      <c r="H408" s="251"/>
      <c r="I408" s="251"/>
      <c r="J408" s="979"/>
    </row>
    <row r="409" spans="1:10" hidden="1">
      <c r="A409" s="977"/>
      <c r="B409" s="980"/>
      <c r="C409" s="983"/>
      <c r="D409" s="244" t="s">
        <v>2</v>
      </c>
      <c r="E409" s="251">
        <f>E407+E408</f>
        <v>205000000</v>
      </c>
      <c r="F409" s="251">
        <f>F407+F408</f>
        <v>0</v>
      </c>
      <c r="G409" s="251">
        <f>G407+G408</f>
        <v>10000000</v>
      </c>
      <c r="H409" s="251">
        <f>H407+H408</f>
        <v>10000000</v>
      </c>
      <c r="I409" s="251">
        <f>I407+I408</f>
        <v>0</v>
      </c>
      <c r="J409" s="980"/>
    </row>
    <row r="410" spans="1:10" ht="14.85" customHeight="1">
      <c r="A410" s="975" t="s">
        <v>248</v>
      </c>
      <c r="B410" s="978" t="s">
        <v>521</v>
      </c>
      <c r="C410" s="981" t="s">
        <v>496</v>
      </c>
      <c r="D410" s="244" t="s">
        <v>0</v>
      </c>
      <c r="E410" s="251">
        <v>0</v>
      </c>
      <c r="F410" s="251">
        <v>0</v>
      </c>
      <c r="G410" s="245">
        <f>H410+I410</f>
        <v>0</v>
      </c>
      <c r="H410" s="251">
        <v>0</v>
      </c>
      <c r="I410" s="251">
        <v>0</v>
      </c>
      <c r="J410" s="978" t="s">
        <v>522</v>
      </c>
    </row>
    <row r="411" spans="1:10" ht="14.85" customHeight="1">
      <c r="A411" s="976"/>
      <c r="B411" s="979"/>
      <c r="C411" s="982"/>
      <c r="D411" s="244" t="s">
        <v>1</v>
      </c>
      <c r="E411" s="251">
        <v>2828771</v>
      </c>
      <c r="F411" s="251"/>
      <c r="G411" s="245">
        <f>H411+I411</f>
        <v>2328771</v>
      </c>
      <c r="H411" s="251">
        <v>2328771</v>
      </c>
      <c r="I411" s="251"/>
      <c r="J411" s="979"/>
    </row>
    <row r="412" spans="1:10" ht="14.85" customHeight="1">
      <c r="A412" s="977"/>
      <c r="B412" s="980"/>
      <c r="C412" s="983"/>
      <c r="D412" s="244" t="s">
        <v>2</v>
      </c>
      <c r="E412" s="251">
        <f>E410+E411</f>
        <v>2828771</v>
      </c>
      <c r="F412" s="251">
        <f>F410+F411</f>
        <v>0</v>
      </c>
      <c r="G412" s="251">
        <f>G410+G411</f>
        <v>2328771</v>
      </c>
      <c r="H412" s="251">
        <f>H410+H411</f>
        <v>2328771</v>
      </c>
      <c r="I412" s="251">
        <f>I410+I411</f>
        <v>0</v>
      </c>
      <c r="J412" s="980"/>
    </row>
    <row r="413" spans="1:10" hidden="1">
      <c r="A413" s="975" t="s">
        <v>396</v>
      </c>
      <c r="B413" s="978" t="s">
        <v>523</v>
      </c>
      <c r="C413" s="981" t="s">
        <v>498</v>
      </c>
      <c r="D413" s="244" t="s">
        <v>0</v>
      </c>
      <c r="E413" s="245">
        <v>840000</v>
      </c>
      <c r="F413" s="251">
        <v>200000</v>
      </c>
      <c r="G413" s="245">
        <f>H413+I413</f>
        <v>640000</v>
      </c>
      <c r="H413" s="245">
        <v>640000</v>
      </c>
      <c r="I413" s="245">
        <v>0</v>
      </c>
      <c r="J413" s="978" t="s">
        <v>398</v>
      </c>
    </row>
    <row r="414" spans="1:10" hidden="1">
      <c r="A414" s="976"/>
      <c r="B414" s="979"/>
      <c r="C414" s="982"/>
      <c r="D414" s="244" t="s">
        <v>1</v>
      </c>
      <c r="E414" s="245"/>
      <c r="F414" s="251"/>
      <c r="G414" s="245">
        <f>H414+I414</f>
        <v>0</v>
      </c>
      <c r="H414" s="245"/>
      <c r="I414" s="245"/>
      <c r="J414" s="979"/>
    </row>
    <row r="415" spans="1:10" hidden="1">
      <c r="A415" s="977"/>
      <c r="B415" s="980"/>
      <c r="C415" s="983"/>
      <c r="D415" s="244" t="s">
        <v>2</v>
      </c>
      <c r="E415" s="245">
        <f>E413+E414</f>
        <v>840000</v>
      </c>
      <c r="F415" s="245">
        <f>F413+F414</f>
        <v>200000</v>
      </c>
      <c r="G415" s="245">
        <f>G413+G414</f>
        <v>640000</v>
      </c>
      <c r="H415" s="245">
        <f>H413+H414</f>
        <v>640000</v>
      </c>
      <c r="I415" s="245">
        <f>I413+I414</f>
        <v>0</v>
      </c>
      <c r="J415" s="980"/>
    </row>
    <row r="416" spans="1:10" hidden="1">
      <c r="A416" s="975" t="s">
        <v>396</v>
      </c>
      <c r="B416" s="978" t="s">
        <v>524</v>
      </c>
      <c r="C416" s="981" t="s">
        <v>498</v>
      </c>
      <c r="D416" s="244" t="s">
        <v>0</v>
      </c>
      <c r="E416" s="245">
        <v>1400000</v>
      </c>
      <c r="F416" s="251">
        <v>100000</v>
      </c>
      <c r="G416" s="245">
        <f>H416+I416</f>
        <v>1300000</v>
      </c>
      <c r="H416" s="245">
        <v>1300000</v>
      </c>
      <c r="I416" s="245">
        <v>0</v>
      </c>
      <c r="J416" s="978" t="s">
        <v>398</v>
      </c>
    </row>
    <row r="417" spans="1:10" hidden="1">
      <c r="A417" s="976"/>
      <c r="B417" s="979"/>
      <c r="C417" s="982"/>
      <c r="D417" s="244" t="s">
        <v>1</v>
      </c>
      <c r="E417" s="245"/>
      <c r="F417" s="251"/>
      <c r="G417" s="245">
        <f>H417+I417</f>
        <v>0</v>
      </c>
      <c r="H417" s="245"/>
      <c r="I417" s="245"/>
      <c r="J417" s="979"/>
    </row>
    <row r="418" spans="1:10" hidden="1">
      <c r="A418" s="977"/>
      <c r="B418" s="980"/>
      <c r="C418" s="983"/>
      <c r="D418" s="244" t="s">
        <v>2</v>
      </c>
      <c r="E418" s="245">
        <f>E416+E417</f>
        <v>1400000</v>
      </c>
      <c r="F418" s="245">
        <f>F416+F417</f>
        <v>100000</v>
      </c>
      <c r="G418" s="245">
        <f>G416+G417</f>
        <v>1300000</v>
      </c>
      <c r="H418" s="245">
        <f>H416+H417</f>
        <v>1300000</v>
      </c>
      <c r="I418" s="245">
        <f>I416+I417</f>
        <v>0</v>
      </c>
      <c r="J418" s="980"/>
    </row>
    <row r="419" spans="1:10" hidden="1">
      <c r="A419" s="984" t="s">
        <v>26</v>
      </c>
      <c r="B419" s="990" t="s">
        <v>28</v>
      </c>
      <c r="C419" s="971" t="s">
        <v>356</v>
      </c>
      <c r="D419" s="233" t="s">
        <v>0</v>
      </c>
      <c r="E419" s="243">
        <f>E422+E425</f>
        <v>6527635</v>
      </c>
      <c r="F419" s="243">
        <f t="shared" ref="F419:I420" si="26">F422+F425</f>
        <v>276501</v>
      </c>
      <c r="G419" s="243">
        <f t="shared" si="26"/>
        <v>6251134</v>
      </c>
      <c r="H419" s="243">
        <f t="shared" si="26"/>
        <v>6251134</v>
      </c>
      <c r="I419" s="243">
        <f t="shared" si="26"/>
        <v>0</v>
      </c>
      <c r="J419" s="971" t="s">
        <v>356</v>
      </c>
    </row>
    <row r="420" spans="1:10" hidden="1">
      <c r="A420" s="985"/>
      <c r="B420" s="991"/>
      <c r="C420" s="972"/>
      <c r="D420" s="233" t="s">
        <v>1</v>
      </c>
      <c r="E420" s="243">
        <f>E423+E426</f>
        <v>0</v>
      </c>
      <c r="F420" s="243">
        <f t="shared" si="26"/>
        <v>0</v>
      </c>
      <c r="G420" s="243">
        <f t="shared" si="26"/>
        <v>0</v>
      </c>
      <c r="H420" s="243">
        <f t="shared" si="26"/>
        <v>0</v>
      </c>
      <c r="I420" s="243">
        <f t="shared" si="26"/>
        <v>0</v>
      </c>
      <c r="J420" s="972"/>
    </row>
    <row r="421" spans="1:10" hidden="1">
      <c r="A421" s="986"/>
      <c r="B421" s="992"/>
      <c r="C421" s="973"/>
      <c r="D421" s="233" t="s">
        <v>2</v>
      </c>
      <c r="E421" s="243">
        <f>E419+E420</f>
        <v>6527635</v>
      </c>
      <c r="F421" s="243">
        <f>F419+F420</f>
        <v>276501</v>
      </c>
      <c r="G421" s="243">
        <f>G419+G420</f>
        <v>6251134</v>
      </c>
      <c r="H421" s="243">
        <f>H419+H420</f>
        <v>6251134</v>
      </c>
      <c r="I421" s="243">
        <f>I419+I420</f>
        <v>0</v>
      </c>
      <c r="J421" s="973"/>
    </row>
    <row r="422" spans="1:10" hidden="1">
      <c r="A422" s="975" t="s">
        <v>405</v>
      </c>
      <c r="B422" s="978" t="s">
        <v>525</v>
      </c>
      <c r="C422" s="981" t="s">
        <v>498</v>
      </c>
      <c r="D422" s="244" t="s">
        <v>0</v>
      </c>
      <c r="E422" s="245">
        <v>5387425</v>
      </c>
      <c r="F422" s="251">
        <v>162480</v>
      </c>
      <c r="G422" s="245">
        <f>H422+I422</f>
        <v>5224945</v>
      </c>
      <c r="H422" s="245">
        <v>5224945</v>
      </c>
      <c r="I422" s="245">
        <v>0</v>
      </c>
      <c r="J422" s="978" t="s">
        <v>359</v>
      </c>
    </row>
    <row r="423" spans="1:10" hidden="1">
      <c r="A423" s="976"/>
      <c r="B423" s="979"/>
      <c r="C423" s="982"/>
      <c r="D423" s="244" t="s">
        <v>1</v>
      </c>
      <c r="E423" s="245"/>
      <c r="F423" s="251"/>
      <c r="G423" s="245">
        <f>H423+I423</f>
        <v>0</v>
      </c>
      <c r="H423" s="245"/>
      <c r="I423" s="245"/>
      <c r="J423" s="979"/>
    </row>
    <row r="424" spans="1:10" hidden="1">
      <c r="A424" s="977"/>
      <c r="B424" s="980"/>
      <c r="C424" s="983"/>
      <c r="D424" s="244" t="s">
        <v>2</v>
      </c>
      <c r="E424" s="245">
        <f>E422+E423</f>
        <v>5387425</v>
      </c>
      <c r="F424" s="245">
        <f>F422+F423</f>
        <v>162480</v>
      </c>
      <c r="G424" s="245">
        <f>G422+G423</f>
        <v>5224945</v>
      </c>
      <c r="H424" s="245">
        <f>H422+H423</f>
        <v>5224945</v>
      </c>
      <c r="I424" s="245">
        <f>I422+I423</f>
        <v>0</v>
      </c>
      <c r="J424" s="980"/>
    </row>
    <row r="425" spans="1:10" hidden="1">
      <c r="A425" s="975" t="s">
        <v>526</v>
      </c>
      <c r="B425" s="978" t="s">
        <v>527</v>
      </c>
      <c r="C425" s="981" t="s">
        <v>498</v>
      </c>
      <c r="D425" s="244" t="s">
        <v>0</v>
      </c>
      <c r="E425" s="245">
        <v>1140210</v>
      </c>
      <c r="F425" s="251">
        <v>114021</v>
      </c>
      <c r="G425" s="245">
        <f>H425+I425</f>
        <v>1026189</v>
      </c>
      <c r="H425" s="245">
        <v>1026189</v>
      </c>
      <c r="I425" s="245">
        <v>0</v>
      </c>
      <c r="J425" s="978" t="s">
        <v>359</v>
      </c>
    </row>
    <row r="426" spans="1:10" hidden="1">
      <c r="A426" s="976"/>
      <c r="B426" s="979"/>
      <c r="C426" s="982"/>
      <c r="D426" s="244" t="s">
        <v>1</v>
      </c>
      <c r="E426" s="245"/>
      <c r="F426" s="251"/>
      <c r="G426" s="245">
        <f>H426+I426</f>
        <v>0</v>
      </c>
      <c r="H426" s="245"/>
      <c r="I426" s="245"/>
      <c r="J426" s="979"/>
    </row>
    <row r="427" spans="1:10" hidden="1">
      <c r="A427" s="977"/>
      <c r="B427" s="980"/>
      <c r="C427" s="983"/>
      <c r="D427" s="244" t="s">
        <v>2</v>
      </c>
      <c r="E427" s="245">
        <f>E425+E426</f>
        <v>1140210</v>
      </c>
      <c r="F427" s="245">
        <f>F425+F426</f>
        <v>114021</v>
      </c>
      <c r="G427" s="245">
        <f>G425+G426</f>
        <v>1026189</v>
      </c>
      <c r="H427" s="245">
        <f>H425+H426</f>
        <v>1026189</v>
      </c>
      <c r="I427" s="245">
        <f>I425+I426</f>
        <v>0</v>
      </c>
      <c r="J427" s="980"/>
    </row>
    <row r="428" spans="1:10">
      <c r="A428" s="984" t="s">
        <v>67</v>
      </c>
      <c r="B428" s="987" t="s">
        <v>68</v>
      </c>
      <c r="C428" s="971" t="s">
        <v>356</v>
      </c>
      <c r="D428" s="233" t="s">
        <v>0</v>
      </c>
      <c r="E428" s="243">
        <f t="shared" ref="E428:I429" si="27">E431+E434+E437+E443+E446+E449+E452+E455+E458+E461+E464+E467+E470+E473+E476+E440</f>
        <v>546061778</v>
      </c>
      <c r="F428" s="243">
        <f t="shared" si="27"/>
        <v>59778821</v>
      </c>
      <c r="G428" s="243">
        <f t="shared" si="27"/>
        <v>145642814</v>
      </c>
      <c r="H428" s="243">
        <f t="shared" si="27"/>
        <v>101459930</v>
      </c>
      <c r="I428" s="243">
        <f t="shared" si="27"/>
        <v>44182884</v>
      </c>
      <c r="J428" s="971" t="s">
        <v>356</v>
      </c>
    </row>
    <row r="429" spans="1:10">
      <c r="A429" s="985"/>
      <c r="B429" s="988"/>
      <c r="C429" s="972"/>
      <c r="D429" s="233" t="s">
        <v>1</v>
      </c>
      <c r="E429" s="243">
        <f t="shared" si="27"/>
        <v>31531120</v>
      </c>
      <c r="F429" s="243">
        <f t="shared" si="27"/>
        <v>-3837353</v>
      </c>
      <c r="G429" s="243">
        <f t="shared" si="27"/>
        <v>2914435</v>
      </c>
      <c r="H429" s="243">
        <f t="shared" si="27"/>
        <v>2914435</v>
      </c>
      <c r="I429" s="243">
        <f t="shared" si="27"/>
        <v>0</v>
      </c>
      <c r="J429" s="972"/>
    </row>
    <row r="430" spans="1:10">
      <c r="A430" s="986"/>
      <c r="B430" s="989"/>
      <c r="C430" s="973"/>
      <c r="D430" s="233" t="s">
        <v>2</v>
      </c>
      <c r="E430" s="243">
        <f>E428+E429</f>
        <v>577592898</v>
      </c>
      <c r="F430" s="243">
        <f>F428+F429</f>
        <v>55941468</v>
      </c>
      <c r="G430" s="243">
        <f>G428+G429</f>
        <v>148557249</v>
      </c>
      <c r="H430" s="243">
        <f>H428+H429</f>
        <v>104374365</v>
      </c>
      <c r="I430" s="243">
        <f>I428+I429</f>
        <v>44182884</v>
      </c>
      <c r="J430" s="973"/>
    </row>
    <row r="431" spans="1:10" hidden="1">
      <c r="A431" s="975" t="s">
        <v>410</v>
      </c>
      <c r="B431" s="978" t="s">
        <v>528</v>
      </c>
      <c r="C431" s="981" t="s">
        <v>504</v>
      </c>
      <c r="D431" s="244" t="s">
        <v>0</v>
      </c>
      <c r="E431" s="245">
        <v>112712414</v>
      </c>
      <c r="F431" s="251">
        <v>31287884</v>
      </c>
      <c r="G431" s="245">
        <f t="shared" ref="G431:G477" si="28">H431+I431</f>
        <v>81424530</v>
      </c>
      <c r="H431" s="245">
        <v>37241646</v>
      </c>
      <c r="I431" s="245">
        <v>44182884</v>
      </c>
      <c r="J431" s="978" t="s">
        <v>412</v>
      </c>
    </row>
    <row r="432" spans="1:10" hidden="1">
      <c r="A432" s="976"/>
      <c r="B432" s="979"/>
      <c r="C432" s="982"/>
      <c r="D432" s="244" t="s">
        <v>1</v>
      </c>
      <c r="E432" s="245"/>
      <c r="F432" s="251"/>
      <c r="G432" s="245">
        <f t="shared" si="28"/>
        <v>0</v>
      </c>
      <c r="H432" s="245"/>
      <c r="I432" s="245"/>
      <c r="J432" s="979"/>
    </row>
    <row r="433" spans="1:10" hidden="1">
      <c r="A433" s="977"/>
      <c r="B433" s="980"/>
      <c r="C433" s="983"/>
      <c r="D433" s="244" t="s">
        <v>2</v>
      </c>
      <c r="E433" s="245">
        <f>E431+E432</f>
        <v>112712414</v>
      </c>
      <c r="F433" s="245">
        <f>F431+F432</f>
        <v>31287884</v>
      </c>
      <c r="G433" s="245">
        <f>G431+G432</f>
        <v>81424530</v>
      </c>
      <c r="H433" s="245">
        <f>H431+H432</f>
        <v>37241646</v>
      </c>
      <c r="I433" s="245">
        <f>I431+I432</f>
        <v>44182884</v>
      </c>
      <c r="J433" s="980"/>
    </row>
    <row r="434" spans="1:10" hidden="1">
      <c r="A434" s="975" t="s">
        <v>410</v>
      </c>
      <c r="B434" s="978" t="s">
        <v>529</v>
      </c>
      <c r="C434" s="981" t="s">
        <v>530</v>
      </c>
      <c r="D434" s="244" t="s">
        <v>0</v>
      </c>
      <c r="E434" s="245">
        <v>6253645</v>
      </c>
      <c r="F434" s="251">
        <v>2148836</v>
      </c>
      <c r="G434" s="245">
        <f t="shared" si="28"/>
        <v>2588594</v>
      </c>
      <c r="H434" s="245">
        <v>2588594</v>
      </c>
      <c r="I434" s="245">
        <v>0</v>
      </c>
      <c r="J434" s="978" t="s">
        <v>417</v>
      </c>
    </row>
    <row r="435" spans="1:10" hidden="1">
      <c r="A435" s="976"/>
      <c r="B435" s="979"/>
      <c r="C435" s="982"/>
      <c r="D435" s="244" t="s">
        <v>1</v>
      </c>
      <c r="E435" s="245"/>
      <c r="F435" s="251"/>
      <c r="G435" s="245">
        <f t="shared" si="28"/>
        <v>0</v>
      </c>
      <c r="H435" s="245"/>
      <c r="I435" s="245"/>
      <c r="J435" s="979"/>
    </row>
    <row r="436" spans="1:10" hidden="1">
      <c r="A436" s="977"/>
      <c r="B436" s="980"/>
      <c r="C436" s="983"/>
      <c r="D436" s="244" t="s">
        <v>2</v>
      </c>
      <c r="E436" s="245">
        <f>E434+E435</f>
        <v>6253645</v>
      </c>
      <c r="F436" s="245">
        <f>F434+F435</f>
        <v>2148836</v>
      </c>
      <c r="G436" s="245">
        <f>G434+G435</f>
        <v>2588594</v>
      </c>
      <c r="H436" s="245">
        <f>H434+H435</f>
        <v>2588594</v>
      </c>
      <c r="I436" s="245">
        <f>I434+I435</f>
        <v>0</v>
      </c>
      <c r="J436" s="980"/>
    </row>
    <row r="437" spans="1:10" ht="14.85" customHeight="1">
      <c r="A437" s="975" t="s">
        <v>531</v>
      </c>
      <c r="B437" s="978" t="s">
        <v>532</v>
      </c>
      <c r="C437" s="981" t="s">
        <v>533</v>
      </c>
      <c r="D437" s="244" t="s">
        <v>0</v>
      </c>
      <c r="E437" s="245">
        <v>297065840</v>
      </c>
      <c r="F437" s="251">
        <v>461632</v>
      </c>
      <c r="G437" s="245">
        <f t="shared" si="28"/>
        <v>13823174</v>
      </c>
      <c r="H437" s="245">
        <v>13823174</v>
      </c>
      <c r="I437" s="245">
        <v>0</v>
      </c>
      <c r="J437" s="978" t="s">
        <v>534</v>
      </c>
    </row>
    <row r="438" spans="1:10" ht="14.85" customHeight="1">
      <c r="A438" s="976"/>
      <c r="B438" s="979"/>
      <c r="C438" s="982"/>
      <c r="D438" s="244" t="s">
        <v>1</v>
      </c>
      <c r="E438" s="245">
        <v>30031120</v>
      </c>
      <c r="F438" s="251">
        <v>-4134</v>
      </c>
      <c r="G438" s="245">
        <f t="shared" si="28"/>
        <v>0</v>
      </c>
      <c r="H438" s="245"/>
      <c r="I438" s="245"/>
      <c r="J438" s="979"/>
    </row>
    <row r="439" spans="1:10" ht="14.85" customHeight="1">
      <c r="A439" s="977"/>
      <c r="B439" s="980"/>
      <c r="C439" s="983"/>
      <c r="D439" s="244" t="s">
        <v>2</v>
      </c>
      <c r="E439" s="245">
        <f>E437+E438</f>
        <v>327096960</v>
      </c>
      <c r="F439" s="245">
        <f>F437+F438</f>
        <v>457498</v>
      </c>
      <c r="G439" s="245">
        <f>G437+G438</f>
        <v>13823174</v>
      </c>
      <c r="H439" s="245">
        <f>H437+H438</f>
        <v>13823174</v>
      </c>
      <c r="I439" s="245">
        <f>I437+I438</f>
        <v>0</v>
      </c>
      <c r="J439" s="980"/>
    </row>
    <row r="440" spans="1:10" ht="14.85" customHeight="1">
      <c r="A440" s="975" t="s">
        <v>531</v>
      </c>
      <c r="B440" s="978" t="s">
        <v>535</v>
      </c>
      <c r="C440" s="981" t="s">
        <v>507</v>
      </c>
      <c r="D440" s="244" t="s">
        <v>0</v>
      </c>
      <c r="E440" s="245">
        <v>0</v>
      </c>
      <c r="F440" s="251">
        <v>0</v>
      </c>
      <c r="G440" s="245">
        <f>H440+I440</f>
        <v>0</v>
      </c>
      <c r="H440" s="245">
        <v>0</v>
      </c>
      <c r="I440" s="245">
        <v>0</v>
      </c>
      <c r="J440" s="978" t="s">
        <v>359</v>
      </c>
    </row>
    <row r="441" spans="1:10" ht="14.85" customHeight="1">
      <c r="A441" s="976"/>
      <c r="B441" s="979"/>
      <c r="C441" s="982"/>
      <c r="D441" s="244" t="s">
        <v>1</v>
      </c>
      <c r="E441" s="245">
        <v>1500000</v>
      </c>
      <c r="F441" s="251"/>
      <c r="G441" s="245">
        <f>H441+I441</f>
        <v>300000</v>
      </c>
      <c r="H441" s="245">
        <v>300000</v>
      </c>
      <c r="I441" s="245"/>
      <c r="J441" s="979"/>
    </row>
    <row r="442" spans="1:10" ht="14.85" customHeight="1">
      <c r="A442" s="977"/>
      <c r="B442" s="980"/>
      <c r="C442" s="983"/>
      <c r="D442" s="244" t="s">
        <v>2</v>
      </c>
      <c r="E442" s="245">
        <f>E440+E441</f>
        <v>1500000</v>
      </c>
      <c r="F442" s="245">
        <f>F440+F441</f>
        <v>0</v>
      </c>
      <c r="G442" s="245">
        <f>G440+G441</f>
        <v>300000</v>
      </c>
      <c r="H442" s="245">
        <f>H440+H441</f>
        <v>300000</v>
      </c>
      <c r="I442" s="245">
        <f>I440+I441</f>
        <v>0</v>
      </c>
      <c r="J442" s="980"/>
    </row>
    <row r="443" spans="1:10" ht="14.85" customHeight="1">
      <c r="A443" s="975" t="s">
        <v>418</v>
      </c>
      <c r="B443" s="978" t="s">
        <v>536</v>
      </c>
      <c r="C443" s="981" t="s">
        <v>504</v>
      </c>
      <c r="D443" s="244" t="s">
        <v>0</v>
      </c>
      <c r="E443" s="245">
        <v>3160474</v>
      </c>
      <c r="F443" s="251">
        <v>1497793</v>
      </c>
      <c r="G443" s="245">
        <f t="shared" si="28"/>
        <v>1662681</v>
      </c>
      <c r="H443" s="245">
        <v>1662681</v>
      </c>
      <c r="I443" s="245">
        <v>0</v>
      </c>
      <c r="J443" s="978" t="s">
        <v>537</v>
      </c>
    </row>
    <row r="444" spans="1:10" ht="14.85" customHeight="1">
      <c r="A444" s="976"/>
      <c r="B444" s="979"/>
      <c r="C444" s="982"/>
      <c r="D444" s="244" t="s">
        <v>1</v>
      </c>
      <c r="E444" s="245"/>
      <c r="F444" s="251">
        <v>-187813</v>
      </c>
      <c r="G444" s="245">
        <f t="shared" si="28"/>
        <v>187813</v>
      </c>
      <c r="H444" s="245">
        <v>187813</v>
      </c>
      <c r="I444" s="245"/>
      <c r="J444" s="979"/>
    </row>
    <row r="445" spans="1:10" ht="14.85" customHeight="1">
      <c r="A445" s="977"/>
      <c r="B445" s="980"/>
      <c r="C445" s="983"/>
      <c r="D445" s="244" t="s">
        <v>2</v>
      </c>
      <c r="E445" s="245">
        <f>E443+E444</f>
        <v>3160474</v>
      </c>
      <c r="F445" s="245">
        <f>F443+F444</f>
        <v>1309980</v>
      </c>
      <c r="G445" s="245">
        <f>G443+G444</f>
        <v>1850494</v>
      </c>
      <c r="H445" s="245">
        <f>H443+H444</f>
        <v>1850494</v>
      </c>
      <c r="I445" s="245">
        <f>I443+I444</f>
        <v>0</v>
      </c>
      <c r="J445" s="980"/>
    </row>
    <row r="446" spans="1:10" ht="14.85" customHeight="1">
      <c r="A446" s="975" t="s">
        <v>418</v>
      </c>
      <c r="B446" s="978" t="s">
        <v>538</v>
      </c>
      <c r="C446" s="981" t="s">
        <v>461</v>
      </c>
      <c r="D446" s="244" t="s">
        <v>0</v>
      </c>
      <c r="E446" s="245">
        <v>13046425</v>
      </c>
      <c r="F446" s="251">
        <v>791425</v>
      </c>
      <c r="G446" s="245">
        <f t="shared" si="28"/>
        <v>2800000</v>
      </c>
      <c r="H446" s="245">
        <v>2800000</v>
      </c>
      <c r="I446" s="245">
        <v>0</v>
      </c>
      <c r="J446" s="978" t="s">
        <v>539</v>
      </c>
    </row>
    <row r="447" spans="1:10" ht="14.85" customHeight="1">
      <c r="A447" s="976"/>
      <c r="B447" s="979"/>
      <c r="C447" s="982"/>
      <c r="D447" s="244" t="s">
        <v>1</v>
      </c>
      <c r="E447" s="245"/>
      <c r="F447" s="251">
        <v>-768525</v>
      </c>
      <c r="G447" s="245">
        <f t="shared" si="28"/>
        <v>768525</v>
      </c>
      <c r="H447" s="245">
        <v>768525</v>
      </c>
      <c r="I447" s="245"/>
      <c r="J447" s="979"/>
    </row>
    <row r="448" spans="1:10" ht="14.85" customHeight="1">
      <c r="A448" s="977"/>
      <c r="B448" s="980"/>
      <c r="C448" s="983"/>
      <c r="D448" s="244" t="s">
        <v>2</v>
      </c>
      <c r="E448" s="245">
        <f>E446+E447</f>
        <v>13046425</v>
      </c>
      <c r="F448" s="245">
        <f>F446+F447</f>
        <v>22900</v>
      </c>
      <c r="G448" s="245">
        <f>G446+G447</f>
        <v>3568525</v>
      </c>
      <c r="H448" s="245">
        <f>H446+H447</f>
        <v>3568525</v>
      </c>
      <c r="I448" s="245">
        <f>I446+I447</f>
        <v>0</v>
      </c>
      <c r="J448" s="980"/>
    </row>
    <row r="449" spans="1:10" hidden="1">
      <c r="A449" s="975" t="s">
        <v>418</v>
      </c>
      <c r="B449" s="978" t="s">
        <v>540</v>
      </c>
      <c r="C449" s="981" t="s">
        <v>496</v>
      </c>
      <c r="D449" s="244" t="s">
        <v>0</v>
      </c>
      <c r="E449" s="245">
        <v>1593000</v>
      </c>
      <c r="F449" s="251">
        <v>0</v>
      </c>
      <c r="G449" s="245">
        <f t="shared" si="28"/>
        <v>618000</v>
      </c>
      <c r="H449" s="245">
        <v>618000</v>
      </c>
      <c r="I449" s="245">
        <v>0</v>
      </c>
      <c r="J449" s="978" t="s">
        <v>539</v>
      </c>
    </row>
    <row r="450" spans="1:10" hidden="1">
      <c r="A450" s="976"/>
      <c r="B450" s="979"/>
      <c r="C450" s="982"/>
      <c r="D450" s="244" t="s">
        <v>1</v>
      </c>
      <c r="E450" s="245"/>
      <c r="F450" s="251"/>
      <c r="G450" s="245">
        <f t="shared" si="28"/>
        <v>0</v>
      </c>
      <c r="H450" s="245"/>
      <c r="I450" s="245"/>
      <c r="J450" s="979"/>
    </row>
    <row r="451" spans="1:10" hidden="1">
      <c r="A451" s="977"/>
      <c r="B451" s="980"/>
      <c r="C451" s="983"/>
      <c r="D451" s="244" t="s">
        <v>2</v>
      </c>
      <c r="E451" s="245">
        <f>E449+E450</f>
        <v>1593000</v>
      </c>
      <c r="F451" s="245">
        <f>F449+F450</f>
        <v>0</v>
      </c>
      <c r="G451" s="245">
        <f>G449+G450</f>
        <v>618000</v>
      </c>
      <c r="H451" s="245">
        <f>H449+H450</f>
        <v>618000</v>
      </c>
      <c r="I451" s="245">
        <f>I449+I450</f>
        <v>0</v>
      </c>
      <c r="J451" s="980"/>
    </row>
    <row r="452" spans="1:10">
      <c r="A452" s="975" t="s">
        <v>418</v>
      </c>
      <c r="B452" s="978" t="s">
        <v>541</v>
      </c>
      <c r="C452" s="981" t="s">
        <v>471</v>
      </c>
      <c r="D452" s="244" t="s">
        <v>0</v>
      </c>
      <c r="E452" s="245">
        <v>23944432</v>
      </c>
      <c r="F452" s="251">
        <v>3528939</v>
      </c>
      <c r="G452" s="245">
        <f t="shared" si="28"/>
        <v>11575627</v>
      </c>
      <c r="H452" s="245">
        <v>11575627</v>
      </c>
      <c r="I452" s="245">
        <v>0</v>
      </c>
      <c r="J452" s="978" t="s">
        <v>421</v>
      </c>
    </row>
    <row r="453" spans="1:10">
      <c r="A453" s="976"/>
      <c r="B453" s="979"/>
      <c r="C453" s="982"/>
      <c r="D453" s="244" t="s">
        <v>1</v>
      </c>
      <c r="E453" s="245"/>
      <c r="F453" s="251">
        <v>-1507521</v>
      </c>
      <c r="G453" s="245">
        <f t="shared" si="28"/>
        <v>288737</v>
      </c>
      <c r="H453" s="245">
        <v>288737</v>
      </c>
      <c r="I453" s="245"/>
      <c r="J453" s="979"/>
    </row>
    <row r="454" spans="1:10">
      <c r="A454" s="977"/>
      <c r="B454" s="980"/>
      <c r="C454" s="983"/>
      <c r="D454" s="244" t="s">
        <v>2</v>
      </c>
      <c r="E454" s="245">
        <f>E452+E453</f>
        <v>23944432</v>
      </c>
      <c r="F454" s="245">
        <f>F452+F453</f>
        <v>2021418</v>
      </c>
      <c r="G454" s="245">
        <f>G452+G453</f>
        <v>11864364</v>
      </c>
      <c r="H454" s="245">
        <f>H452+H453</f>
        <v>11864364</v>
      </c>
      <c r="I454" s="245">
        <f>I452+I453</f>
        <v>0</v>
      </c>
      <c r="J454" s="980"/>
    </row>
    <row r="455" spans="1:10" hidden="1">
      <c r="A455" s="975" t="s">
        <v>418</v>
      </c>
      <c r="B455" s="978" t="s">
        <v>542</v>
      </c>
      <c r="C455" s="981" t="s">
        <v>461</v>
      </c>
      <c r="D455" s="244" t="s">
        <v>0</v>
      </c>
      <c r="E455" s="245">
        <v>12000000</v>
      </c>
      <c r="F455" s="251">
        <v>960000</v>
      </c>
      <c r="G455" s="245">
        <f t="shared" si="28"/>
        <v>5520000</v>
      </c>
      <c r="H455" s="245">
        <v>5520000</v>
      </c>
      <c r="I455" s="245">
        <v>0</v>
      </c>
      <c r="J455" s="978" t="s">
        <v>421</v>
      </c>
    </row>
    <row r="456" spans="1:10" hidden="1">
      <c r="A456" s="976"/>
      <c r="B456" s="979"/>
      <c r="C456" s="982"/>
      <c r="D456" s="244" t="s">
        <v>1</v>
      </c>
      <c r="E456" s="245"/>
      <c r="F456" s="251"/>
      <c r="G456" s="245">
        <f t="shared" si="28"/>
        <v>0</v>
      </c>
      <c r="H456" s="245"/>
      <c r="I456" s="245"/>
      <c r="J456" s="979"/>
    </row>
    <row r="457" spans="1:10" hidden="1">
      <c r="A457" s="977"/>
      <c r="B457" s="980"/>
      <c r="C457" s="983"/>
      <c r="D457" s="244" t="s">
        <v>2</v>
      </c>
      <c r="E457" s="245">
        <f>E455+E456</f>
        <v>12000000</v>
      </c>
      <c r="F457" s="245">
        <f>F455+F456</f>
        <v>960000</v>
      </c>
      <c r="G457" s="245">
        <f>G455+G456</f>
        <v>5520000</v>
      </c>
      <c r="H457" s="245">
        <f>H455+H456</f>
        <v>5520000</v>
      </c>
      <c r="I457" s="245">
        <f>I455+I456</f>
        <v>0</v>
      </c>
      <c r="J457" s="980"/>
    </row>
    <row r="458" spans="1:10">
      <c r="A458" s="975" t="s">
        <v>418</v>
      </c>
      <c r="B458" s="978" t="s">
        <v>543</v>
      </c>
      <c r="C458" s="981" t="s">
        <v>498</v>
      </c>
      <c r="D458" s="244" t="s">
        <v>0</v>
      </c>
      <c r="E458" s="245">
        <v>1000000</v>
      </c>
      <c r="F458" s="251">
        <v>25000</v>
      </c>
      <c r="G458" s="245">
        <f t="shared" si="28"/>
        <v>975000</v>
      </c>
      <c r="H458" s="245">
        <v>975000</v>
      </c>
      <c r="I458" s="245">
        <v>0</v>
      </c>
      <c r="J458" s="978" t="s">
        <v>421</v>
      </c>
    </row>
    <row r="459" spans="1:10">
      <c r="A459" s="976"/>
      <c r="B459" s="979"/>
      <c r="C459" s="982"/>
      <c r="D459" s="244" t="s">
        <v>1</v>
      </c>
      <c r="E459" s="245"/>
      <c r="F459" s="251">
        <v>-25000</v>
      </c>
      <c r="G459" s="245">
        <f t="shared" si="28"/>
        <v>25000</v>
      </c>
      <c r="H459" s="245">
        <v>25000</v>
      </c>
      <c r="I459" s="245"/>
      <c r="J459" s="979"/>
    </row>
    <row r="460" spans="1:10">
      <c r="A460" s="977"/>
      <c r="B460" s="980"/>
      <c r="C460" s="983"/>
      <c r="D460" s="244" t="s">
        <v>2</v>
      </c>
      <c r="E460" s="245">
        <f>E458+E459</f>
        <v>1000000</v>
      </c>
      <c r="F460" s="245">
        <f>F458+F459</f>
        <v>0</v>
      </c>
      <c r="G460" s="245">
        <f>G458+G459</f>
        <v>1000000</v>
      </c>
      <c r="H460" s="245">
        <f>H458+H459</f>
        <v>1000000</v>
      </c>
      <c r="I460" s="245">
        <f>I458+I459</f>
        <v>0</v>
      </c>
      <c r="J460" s="980"/>
    </row>
    <row r="461" spans="1:10" hidden="1">
      <c r="A461" s="975" t="s">
        <v>418</v>
      </c>
      <c r="B461" s="978" t="s">
        <v>544</v>
      </c>
      <c r="C461" s="981" t="s">
        <v>545</v>
      </c>
      <c r="D461" s="244" t="s">
        <v>0</v>
      </c>
      <c r="E461" s="245">
        <v>35855927</v>
      </c>
      <c r="F461" s="251">
        <v>5238042</v>
      </c>
      <c r="G461" s="245">
        <f t="shared" si="28"/>
        <v>10561054</v>
      </c>
      <c r="H461" s="245">
        <v>10561054</v>
      </c>
      <c r="I461" s="245">
        <v>0</v>
      </c>
      <c r="J461" s="978" t="s">
        <v>546</v>
      </c>
    </row>
    <row r="462" spans="1:10" hidden="1">
      <c r="A462" s="976"/>
      <c r="B462" s="979"/>
      <c r="C462" s="982"/>
      <c r="D462" s="244" t="s">
        <v>1</v>
      </c>
      <c r="E462" s="245"/>
      <c r="F462" s="251"/>
      <c r="G462" s="245">
        <f t="shared" si="28"/>
        <v>0</v>
      </c>
      <c r="H462" s="245"/>
      <c r="I462" s="245"/>
      <c r="J462" s="979"/>
    </row>
    <row r="463" spans="1:10" hidden="1">
      <c r="A463" s="977"/>
      <c r="B463" s="980"/>
      <c r="C463" s="983"/>
      <c r="D463" s="244" t="s">
        <v>2</v>
      </c>
      <c r="E463" s="245">
        <f>E461+E462</f>
        <v>35855927</v>
      </c>
      <c r="F463" s="245">
        <f>F461+F462</f>
        <v>5238042</v>
      </c>
      <c r="G463" s="245">
        <f>G461+G462</f>
        <v>10561054</v>
      </c>
      <c r="H463" s="245">
        <f>H461+H462</f>
        <v>10561054</v>
      </c>
      <c r="I463" s="245">
        <f>I461+I462</f>
        <v>0</v>
      </c>
      <c r="J463" s="980"/>
    </row>
    <row r="464" spans="1:10">
      <c r="A464" s="975" t="s">
        <v>428</v>
      </c>
      <c r="B464" s="978" t="s">
        <v>547</v>
      </c>
      <c r="C464" s="981" t="s">
        <v>548</v>
      </c>
      <c r="D464" s="244" t="s">
        <v>0</v>
      </c>
      <c r="E464" s="245">
        <v>14786947</v>
      </c>
      <c r="F464" s="251">
        <v>12166106</v>
      </c>
      <c r="G464" s="245">
        <f t="shared" si="28"/>
        <v>2620841</v>
      </c>
      <c r="H464" s="245">
        <v>2620841</v>
      </c>
      <c r="I464" s="245">
        <v>0</v>
      </c>
      <c r="J464" s="978" t="s">
        <v>429</v>
      </c>
    </row>
    <row r="465" spans="1:10">
      <c r="A465" s="976"/>
      <c r="B465" s="979"/>
      <c r="C465" s="982"/>
      <c r="D465" s="244" t="s">
        <v>1</v>
      </c>
      <c r="E465" s="245"/>
      <c r="F465" s="251">
        <v>-1344360</v>
      </c>
      <c r="G465" s="245">
        <f t="shared" si="28"/>
        <v>1344360</v>
      </c>
      <c r="H465" s="245">
        <v>1344360</v>
      </c>
      <c r="I465" s="245"/>
      <c r="J465" s="979"/>
    </row>
    <row r="466" spans="1:10">
      <c r="A466" s="977"/>
      <c r="B466" s="980"/>
      <c r="C466" s="983"/>
      <c r="D466" s="244" t="s">
        <v>2</v>
      </c>
      <c r="E466" s="245">
        <f>E464+E465</f>
        <v>14786947</v>
      </c>
      <c r="F466" s="245">
        <f>F464+F465</f>
        <v>10821746</v>
      </c>
      <c r="G466" s="245">
        <f>G464+G465</f>
        <v>3965201</v>
      </c>
      <c r="H466" s="245">
        <f>H464+H465</f>
        <v>3965201</v>
      </c>
      <c r="I466" s="245">
        <f>I464+I465</f>
        <v>0</v>
      </c>
      <c r="J466" s="980"/>
    </row>
    <row r="467" spans="1:10" hidden="1">
      <c r="A467" s="975" t="s">
        <v>428</v>
      </c>
      <c r="B467" s="978" t="s">
        <v>549</v>
      </c>
      <c r="C467" s="981" t="s">
        <v>545</v>
      </c>
      <c r="D467" s="244" t="s">
        <v>0</v>
      </c>
      <c r="E467" s="245">
        <v>19544203</v>
      </c>
      <c r="F467" s="251">
        <v>100791</v>
      </c>
      <c r="G467" s="245">
        <f t="shared" si="28"/>
        <v>7947215</v>
      </c>
      <c r="H467" s="245">
        <v>7947215</v>
      </c>
      <c r="I467" s="245">
        <v>0</v>
      </c>
      <c r="J467" s="978" t="s">
        <v>435</v>
      </c>
    </row>
    <row r="468" spans="1:10" hidden="1">
      <c r="A468" s="976"/>
      <c r="B468" s="979"/>
      <c r="C468" s="982"/>
      <c r="D468" s="244" t="s">
        <v>1</v>
      </c>
      <c r="E468" s="245"/>
      <c r="F468" s="251"/>
      <c r="G468" s="245">
        <f t="shared" si="28"/>
        <v>0</v>
      </c>
      <c r="H468" s="245"/>
      <c r="I468" s="245"/>
      <c r="J468" s="979"/>
    </row>
    <row r="469" spans="1:10" hidden="1">
      <c r="A469" s="977"/>
      <c r="B469" s="980"/>
      <c r="C469" s="983"/>
      <c r="D469" s="244" t="s">
        <v>2</v>
      </c>
      <c r="E469" s="245">
        <f>E467+E468</f>
        <v>19544203</v>
      </c>
      <c r="F469" s="245">
        <f>F467+F468</f>
        <v>100791</v>
      </c>
      <c r="G469" s="245">
        <f>G467+G468</f>
        <v>7947215</v>
      </c>
      <c r="H469" s="245">
        <f>H467+H468</f>
        <v>7947215</v>
      </c>
      <c r="I469" s="245">
        <f>I467+I468</f>
        <v>0</v>
      </c>
      <c r="J469" s="980"/>
    </row>
    <row r="470" spans="1:10" hidden="1">
      <c r="A470" s="975" t="s">
        <v>436</v>
      </c>
      <c r="B470" s="978" t="s">
        <v>550</v>
      </c>
      <c r="C470" s="981" t="s">
        <v>498</v>
      </c>
      <c r="D470" s="244" t="s">
        <v>0</v>
      </c>
      <c r="E470" s="245">
        <v>2775875</v>
      </c>
      <c r="F470" s="251">
        <v>401625</v>
      </c>
      <c r="G470" s="245">
        <f t="shared" si="28"/>
        <v>2374250</v>
      </c>
      <c r="H470" s="245">
        <v>2374250</v>
      </c>
      <c r="I470" s="245">
        <v>0</v>
      </c>
      <c r="J470" s="978" t="s">
        <v>438</v>
      </c>
    </row>
    <row r="471" spans="1:10" hidden="1">
      <c r="A471" s="976"/>
      <c r="B471" s="979"/>
      <c r="C471" s="982"/>
      <c r="D471" s="244" t="s">
        <v>1</v>
      </c>
      <c r="E471" s="245"/>
      <c r="F471" s="251"/>
      <c r="G471" s="245">
        <f t="shared" si="28"/>
        <v>0</v>
      </c>
      <c r="H471" s="245"/>
      <c r="I471" s="245"/>
      <c r="J471" s="979"/>
    </row>
    <row r="472" spans="1:10" hidden="1">
      <c r="A472" s="977"/>
      <c r="B472" s="980"/>
      <c r="C472" s="983"/>
      <c r="D472" s="244" t="s">
        <v>2</v>
      </c>
      <c r="E472" s="245">
        <f>E470+E471</f>
        <v>2775875</v>
      </c>
      <c r="F472" s="245">
        <f>F470+F471</f>
        <v>401625</v>
      </c>
      <c r="G472" s="245">
        <f>G470+G471</f>
        <v>2374250</v>
      </c>
      <c r="H472" s="245">
        <f>H470+H471</f>
        <v>2374250</v>
      </c>
      <c r="I472" s="245">
        <f>I470+I471</f>
        <v>0</v>
      </c>
      <c r="J472" s="980"/>
    </row>
    <row r="473" spans="1:10" hidden="1">
      <c r="A473" s="975" t="s">
        <v>436</v>
      </c>
      <c r="B473" s="978" t="s">
        <v>551</v>
      </c>
      <c r="C473" s="981" t="s">
        <v>498</v>
      </c>
      <c r="D473" s="244" t="s">
        <v>0</v>
      </c>
      <c r="E473" s="245">
        <v>2072822</v>
      </c>
      <c r="F473" s="251">
        <v>1110974</v>
      </c>
      <c r="G473" s="245">
        <f t="shared" si="28"/>
        <v>961848</v>
      </c>
      <c r="H473" s="245">
        <v>961848</v>
      </c>
      <c r="I473" s="245">
        <v>0</v>
      </c>
      <c r="J473" s="978" t="s">
        <v>440</v>
      </c>
    </row>
    <row r="474" spans="1:10" hidden="1">
      <c r="A474" s="976"/>
      <c r="B474" s="979"/>
      <c r="C474" s="982"/>
      <c r="D474" s="244" t="s">
        <v>1</v>
      </c>
      <c r="E474" s="245"/>
      <c r="F474" s="251"/>
      <c r="G474" s="245">
        <f t="shared" si="28"/>
        <v>0</v>
      </c>
      <c r="H474" s="245"/>
      <c r="I474" s="245"/>
      <c r="J474" s="979"/>
    </row>
    <row r="475" spans="1:10" hidden="1">
      <c r="A475" s="977"/>
      <c r="B475" s="980"/>
      <c r="C475" s="983"/>
      <c r="D475" s="244" t="s">
        <v>2</v>
      </c>
      <c r="E475" s="245">
        <f>E473+E474</f>
        <v>2072822</v>
      </c>
      <c r="F475" s="245">
        <f>F473+F474</f>
        <v>1110974</v>
      </c>
      <c r="G475" s="245">
        <f>G473+G474</f>
        <v>961848</v>
      </c>
      <c r="H475" s="245">
        <f>H473+H474</f>
        <v>961848</v>
      </c>
      <c r="I475" s="245">
        <f>I473+I474</f>
        <v>0</v>
      </c>
      <c r="J475" s="980"/>
    </row>
    <row r="476" spans="1:10" hidden="1">
      <c r="A476" s="975" t="s">
        <v>436</v>
      </c>
      <c r="B476" s="978" t="s">
        <v>552</v>
      </c>
      <c r="C476" s="981" t="s">
        <v>469</v>
      </c>
      <c r="D476" s="244" t="s">
        <v>0</v>
      </c>
      <c r="E476" s="245">
        <v>249774</v>
      </c>
      <c r="F476" s="251">
        <v>59774</v>
      </c>
      <c r="G476" s="245">
        <f t="shared" si="28"/>
        <v>190000</v>
      </c>
      <c r="H476" s="245">
        <v>190000</v>
      </c>
      <c r="I476" s="245">
        <v>0</v>
      </c>
      <c r="J476" s="978" t="s">
        <v>442</v>
      </c>
    </row>
    <row r="477" spans="1:10" hidden="1">
      <c r="A477" s="976"/>
      <c r="B477" s="979"/>
      <c r="C477" s="982"/>
      <c r="D477" s="244" t="s">
        <v>1</v>
      </c>
      <c r="E477" s="245"/>
      <c r="F477" s="251"/>
      <c r="G477" s="245">
        <f t="shared" si="28"/>
        <v>0</v>
      </c>
      <c r="H477" s="245"/>
      <c r="I477" s="245"/>
      <c r="J477" s="979"/>
    </row>
    <row r="478" spans="1:10" hidden="1">
      <c r="A478" s="977"/>
      <c r="B478" s="980"/>
      <c r="C478" s="983"/>
      <c r="D478" s="244" t="s">
        <v>2</v>
      </c>
      <c r="E478" s="245">
        <f>E476+E477</f>
        <v>249774</v>
      </c>
      <c r="F478" s="245">
        <f>F476+F477</f>
        <v>59774</v>
      </c>
      <c r="G478" s="245">
        <f>G476+G477</f>
        <v>190000</v>
      </c>
      <c r="H478" s="245">
        <f>H476+H477</f>
        <v>190000</v>
      </c>
      <c r="I478" s="245">
        <f>I476+I477</f>
        <v>0</v>
      </c>
      <c r="J478" s="980"/>
    </row>
    <row r="479" spans="1:10" ht="5.0999999999999996" customHeight="1">
      <c r="A479" s="246"/>
      <c r="B479" s="247"/>
      <c r="C479" s="244"/>
      <c r="D479" s="244"/>
      <c r="E479" s="245"/>
      <c r="F479" s="251"/>
      <c r="G479" s="245"/>
      <c r="H479" s="245"/>
      <c r="I479" s="245"/>
      <c r="J479" s="250"/>
    </row>
    <row r="480" spans="1:10" ht="15.75">
      <c r="A480" s="955" t="s">
        <v>458</v>
      </c>
      <c r="B480" s="956"/>
      <c r="C480" s="961" t="s">
        <v>356</v>
      </c>
      <c r="D480" s="237" t="s">
        <v>0</v>
      </c>
      <c r="E480" s="249">
        <f t="shared" ref="E480:I481" si="29">E278+E368+E374+E383+E389+E398+E404+E419+E428</f>
        <v>1807637329</v>
      </c>
      <c r="F480" s="249">
        <f t="shared" si="29"/>
        <v>145512456</v>
      </c>
      <c r="G480" s="249">
        <f t="shared" si="29"/>
        <v>332019092</v>
      </c>
      <c r="H480" s="249">
        <f t="shared" si="29"/>
        <v>230359109</v>
      </c>
      <c r="I480" s="249">
        <f t="shared" si="29"/>
        <v>101659983</v>
      </c>
      <c r="J480" s="964" t="s">
        <v>356</v>
      </c>
    </row>
    <row r="481" spans="1:10" ht="15.75">
      <c r="A481" s="957"/>
      <c r="B481" s="958"/>
      <c r="C481" s="962"/>
      <c r="D481" s="237" t="s">
        <v>1</v>
      </c>
      <c r="E481" s="249">
        <f t="shared" si="29"/>
        <v>140113529</v>
      </c>
      <c r="F481" s="249">
        <f t="shared" si="29"/>
        <v>-4950645</v>
      </c>
      <c r="G481" s="249">
        <f t="shared" si="29"/>
        <v>11095566</v>
      </c>
      <c r="H481" s="249">
        <f t="shared" si="29"/>
        <v>9949083</v>
      </c>
      <c r="I481" s="249">
        <f t="shared" si="29"/>
        <v>1146483</v>
      </c>
      <c r="J481" s="965"/>
    </row>
    <row r="482" spans="1:10" ht="15.75">
      <c r="A482" s="959"/>
      <c r="B482" s="960"/>
      <c r="C482" s="963"/>
      <c r="D482" s="237" t="s">
        <v>2</v>
      </c>
      <c r="E482" s="249">
        <f>E480+E481</f>
        <v>1947750858</v>
      </c>
      <c r="F482" s="249">
        <f>F480+F481</f>
        <v>140561811</v>
      </c>
      <c r="G482" s="249">
        <f>G480+G481</f>
        <v>343114658</v>
      </c>
      <c r="H482" s="249">
        <f>H480+H481</f>
        <v>240308192</v>
      </c>
      <c r="I482" s="249">
        <f>I480+I481</f>
        <v>102806466</v>
      </c>
      <c r="J482" s="966"/>
    </row>
    <row r="483" spans="1:10" ht="5.0999999999999996" customHeight="1">
      <c r="A483" s="967"/>
      <c r="B483" s="967"/>
      <c r="C483" s="967"/>
      <c r="D483" s="967"/>
      <c r="E483" s="967"/>
      <c r="F483" s="967"/>
      <c r="G483" s="967"/>
      <c r="H483" s="967"/>
      <c r="I483" s="967"/>
      <c r="J483" s="967"/>
    </row>
    <row r="484" spans="1:10" ht="15.75">
      <c r="A484" s="974" t="s">
        <v>553</v>
      </c>
      <c r="B484" s="974"/>
      <c r="C484" s="974"/>
      <c r="D484" s="974"/>
      <c r="E484" s="974"/>
      <c r="F484" s="974"/>
      <c r="G484" s="974"/>
      <c r="H484" s="974"/>
      <c r="I484" s="974"/>
      <c r="J484" s="974"/>
    </row>
    <row r="485" spans="1:10" ht="5.0999999999999996" customHeight="1">
      <c r="A485" s="954"/>
      <c r="B485" s="954"/>
      <c r="C485" s="954"/>
      <c r="D485" s="954"/>
      <c r="E485" s="954"/>
      <c r="F485" s="954"/>
      <c r="G485" s="954"/>
      <c r="H485" s="954"/>
      <c r="I485" s="954"/>
      <c r="J485" s="954"/>
    </row>
    <row r="486" spans="1:10">
      <c r="A486" s="971" t="s">
        <v>356</v>
      </c>
      <c r="B486" s="971" t="s">
        <v>356</v>
      </c>
      <c r="C486" s="971" t="s">
        <v>356</v>
      </c>
      <c r="D486" s="233" t="s">
        <v>0</v>
      </c>
      <c r="E486" s="971" t="s">
        <v>356</v>
      </c>
      <c r="F486" s="971" t="s">
        <v>356</v>
      </c>
      <c r="G486" s="252">
        <f>H486+I486</f>
        <v>130639851</v>
      </c>
      <c r="H486" s="252">
        <v>7082669</v>
      </c>
      <c r="I486" s="252">
        <v>123557182</v>
      </c>
      <c r="J486" s="971" t="s">
        <v>356</v>
      </c>
    </row>
    <row r="487" spans="1:10">
      <c r="A487" s="972"/>
      <c r="B487" s="972"/>
      <c r="C487" s="972"/>
      <c r="D487" s="233" t="s">
        <v>1</v>
      </c>
      <c r="E487" s="972"/>
      <c r="F487" s="972"/>
      <c r="G487" s="252">
        <f>H487+I487</f>
        <v>-2684465</v>
      </c>
      <c r="H487" s="252">
        <v>125200</v>
      </c>
      <c r="I487" s="252">
        <v>-2809665</v>
      </c>
      <c r="J487" s="972"/>
    </row>
    <row r="488" spans="1:10">
      <c r="A488" s="973"/>
      <c r="B488" s="973"/>
      <c r="C488" s="973"/>
      <c r="D488" s="233" t="s">
        <v>2</v>
      </c>
      <c r="E488" s="973"/>
      <c r="F488" s="973"/>
      <c r="G488" s="252">
        <f>G486+G487</f>
        <v>127955386</v>
      </c>
      <c r="H488" s="252">
        <f>H486+H487</f>
        <v>7207869</v>
      </c>
      <c r="I488" s="252">
        <f>I486+I487</f>
        <v>120747517</v>
      </c>
      <c r="J488" s="973"/>
    </row>
    <row r="489" spans="1:10" hidden="1">
      <c r="A489" s="954"/>
      <c r="B489" s="954"/>
      <c r="C489" s="954"/>
      <c r="D489" s="954"/>
      <c r="E489" s="954"/>
      <c r="F489" s="954"/>
      <c r="G489" s="954"/>
      <c r="H489" s="954"/>
      <c r="I489" s="954"/>
      <c r="J489" s="954"/>
    </row>
    <row r="490" spans="1:10" ht="15.75" hidden="1">
      <c r="A490" s="974" t="s">
        <v>554</v>
      </c>
      <c r="B490" s="974"/>
      <c r="C490" s="974"/>
      <c r="D490" s="974"/>
      <c r="E490" s="974"/>
      <c r="F490" s="974"/>
      <c r="G490" s="974"/>
      <c r="H490" s="974"/>
      <c r="I490" s="974"/>
      <c r="J490" s="974"/>
    </row>
    <row r="491" spans="1:10" hidden="1">
      <c r="A491" s="954"/>
      <c r="B491" s="954"/>
      <c r="C491" s="954"/>
      <c r="D491" s="954"/>
      <c r="E491" s="954"/>
      <c r="F491" s="954"/>
      <c r="G491" s="954"/>
      <c r="H491" s="954"/>
      <c r="I491" s="954"/>
      <c r="J491" s="954"/>
    </row>
    <row r="492" spans="1:10" hidden="1">
      <c r="A492" s="971" t="s">
        <v>356</v>
      </c>
      <c r="B492" s="971" t="s">
        <v>356</v>
      </c>
      <c r="C492" s="971" t="s">
        <v>356</v>
      </c>
      <c r="D492" s="233" t="s">
        <v>0</v>
      </c>
      <c r="E492" s="971" t="s">
        <v>356</v>
      </c>
      <c r="F492" s="971" t="s">
        <v>356</v>
      </c>
      <c r="G492" s="252">
        <f>H492+I492</f>
        <v>61650</v>
      </c>
      <c r="H492" s="252">
        <v>11528</v>
      </c>
      <c r="I492" s="252">
        <v>50122</v>
      </c>
      <c r="J492" s="971" t="s">
        <v>356</v>
      </c>
    </row>
    <row r="493" spans="1:10" hidden="1">
      <c r="A493" s="972"/>
      <c r="B493" s="972"/>
      <c r="C493" s="972"/>
      <c r="D493" s="233" t="s">
        <v>1</v>
      </c>
      <c r="E493" s="972"/>
      <c r="F493" s="972"/>
      <c r="G493" s="252">
        <f>H493+I493</f>
        <v>0</v>
      </c>
      <c r="H493" s="252"/>
      <c r="I493" s="252"/>
      <c r="J493" s="972"/>
    </row>
    <row r="494" spans="1:10" hidden="1">
      <c r="A494" s="973"/>
      <c r="B494" s="973"/>
      <c r="C494" s="973"/>
      <c r="D494" s="233" t="s">
        <v>2</v>
      </c>
      <c r="E494" s="973"/>
      <c r="F494" s="973"/>
      <c r="G494" s="252">
        <f>G492+G493</f>
        <v>61650</v>
      </c>
      <c r="H494" s="252">
        <f>H492+H493</f>
        <v>11528</v>
      </c>
      <c r="I494" s="252">
        <f>I492+I493</f>
        <v>50122</v>
      </c>
      <c r="J494" s="973"/>
    </row>
    <row r="495" spans="1:10" hidden="1">
      <c r="A495" s="967"/>
      <c r="B495" s="967"/>
      <c r="C495" s="967"/>
      <c r="D495" s="967"/>
      <c r="E495" s="967"/>
      <c r="F495" s="967"/>
      <c r="G495" s="967"/>
      <c r="H495" s="967"/>
      <c r="I495" s="967"/>
      <c r="J495" s="967"/>
    </row>
    <row r="496" spans="1:10" ht="15.75" hidden="1">
      <c r="A496" s="968" t="s">
        <v>555</v>
      </c>
      <c r="B496" s="969"/>
      <c r="C496" s="969"/>
      <c r="D496" s="969"/>
      <c r="E496" s="969"/>
      <c r="F496" s="969"/>
      <c r="G496" s="969"/>
      <c r="H496" s="969"/>
      <c r="I496" s="969"/>
      <c r="J496" s="970"/>
    </row>
    <row r="497" spans="1:11" hidden="1">
      <c r="A497" s="954"/>
      <c r="B497" s="954"/>
      <c r="C497" s="954"/>
      <c r="D497" s="954"/>
      <c r="E497" s="954"/>
      <c r="F497" s="954"/>
      <c r="G497" s="954"/>
      <c r="H497" s="954"/>
      <c r="I497" s="954"/>
      <c r="J497" s="954"/>
    </row>
    <row r="498" spans="1:11" hidden="1">
      <c r="A498" s="971" t="s">
        <v>356</v>
      </c>
      <c r="B498" s="971" t="s">
        <v>356</v>
      </c>
      <c r="C498" s="971" t="s">
        <v>356</v>
      </c>
      <c r="D498" s="233" t="s">
        <v>0</v>
      </c>
      <c r="E498" s="971" t="s">
        <v>356</v>
      </c>
      <c r="F498" s="971" t="s">
        <v>356</v>
      </c>
      <c r="G498" s="252">
        <f>H498+I498</f>
        <v>933797</v>
      </c>
      <c r="H498" s="252">
        <v>0</v>
      </c>
      <c r="I498" s="252">
        <v>933797</v>
      </c>
      <c r="J498" s="971" t="s">
        <v>356</v>
      </c>
    </row>
    <row r="499" spans="1:11" hidden="1">
      <c r="A499" s="972"/>
      <c r="B499" s="972"/>
      <c r="C499" s="972"/>
      <c r="D499" s="233" t="s">
        <v>1</v>
      </c>
      <c r="E499" s="972"/>
      <c r="F499" s="972"/>
      <c r="G499" s="252">
        <f>H499+I499</f>
        <v>0</v>
      </c>
      <c r="H499" s="252"/>
      <c r="I499" s="252"/>
      <c r="J499" s="972"/>
    </row>
    <row r="500" spans="1:11" hidden="1">
      <c r="A500" s="973"/>
      <c r="B500" s="973"/>
      <c r="C500" s="973"/>
      <c r="D500" s="233" t="s">
        <v>2</v>
      </c>
      <c r="E500" s="973"/>
      <c r="F500" s="973"/>
      <c r="G500" s="252">
        <f>G498+G499</f>
        <v>933797</v>
      </c>
      <c r="H500" s="252">
        <f>H498+H499</f>
        <v>0</v>
      </c>
      <c r="I500" s="252">
        <f>I498+I499</f>
        <v>933797</v>
      </c>
      <c r="J500" s="973"/>
    </row>
    <row r="501" spans="1:11" ht="5.0999999999999996" customHeight="1">
      <c r="A501" s="954"/>
      <c r="B501" s="954"/>
      <c r="C501" s="954"/>
      <c r="D501" s="954"/>
      <c r="E501" s="954"/>
      <c r="F501" s="954"/>
      <c r="G501" s="954"/>
      <c r="H501" s="954"/>
      <c r="I501" s="954"/>
      <c r="J501" s="954"/>
    </row>
    <row r="502" spans="1:11" ht="15.75">
      <c r="A502" s="955" t="s">
        <v>151</v>
      </c>
      <c r="B502" s="956"/>
      <c r="C502" s="961" t="s">
        <v>356</v>
      </c>
      <c r="D502" s="237" t="s">
        <v>0</v>
      </c>
      <c r="E502" s="961" t="s">
        <v>356</v>
      </c>
      <c r="F502" s="961" t="s">
        <v>356</v>
      </c>
      <c r="G502" s="238">
        <f t="shared" ref="G502:I503" si="30">G13</f>
        <v>703204030</v>
      </c>
      <c r="H502" s="238">
        <f t="shared" si="30"/>
        <v>475709397</v>
      </c>
      <c r="I502" s="238">
        <f t="shared" si="30"/>
        <v>227494633</v>
      </c>
      <c r="J502" s="964" t="s">
        <v>356</v>
      </c>
    </row>
    <row r="503" spans="1:11" ht="15.75">
      <c r="A503" s="957"/>
      <c r="B503" s="958"/>
      <c r="C503" s="962"/>
      <c r="D503" s="237" t="s">
        <v>1</v>
      </c>
      <c r="E503" s="962"/>
      <c r="F503" s="962"/>
      <c r="G503" s="238">
        <f t="shared" si="30"/>
        <v>75564554</v>
      </c>
      <c r="H503" s="238">
        <f t="shared" si="30"/>
        <v>75829553</v>
      </c>
      <c r="I503" s="238">
        <f t="shared" si="30"/>
        <v>-264999</v>
      </c>
      <c r="J503" s="965"/>
    </row>
    <row r="504" spans="1:11" ht="15.75">
      <c r="A504" s="959"/>
      <c r="B504" s="960"/>
      <c r="C504" s="963"/>
      <c r="D504" s="237" t="s">
        <v>2</v>
      </c>
      <c r="E504" s="963"/>
      <c r="F504" s="963"/>
      <c r="G504" s="238">
        <f>G502+G503</f>
        <v>778768584</v>
      </c>
      <c r="H504" s="238">
        <f>H502+H503</f>
        <v>551538950</v>
      </c>
      <c r="I504" s="238">
        <f>I502+I503</f>
        <v>227229634</v>
      </c>
      <c r="J504" s="966"/>
    </row>
    <row r="505" spans="1:11">
      <c r="A505" s="253" t="s">
        <v>94</v>
      </c>
      <c r="C505" s="183"/>
      <c r="D505" s="183"/>
      <c r="E505" s="183"/>
      <c r="F505" s="254"/>
      <c r="G505" s="254"/>
      <c r="H505" s="254"/>
      <c r="I505" s="254"/>
      <c r="J505" s="254"/>
      <c r="K505" s="254"/>
    </row>
    <row r="506" spans="1:11">
      <c r="A506" s="253" t="s">
        <v>292</v>
      </c>
      <c r="C506" s="183"/>
      <c r="D506" s="183"/>
      <c r="E506" s="183"/>
      <c r="F506" s="254"/>
      <c r="G506" s="254"/>
      <c r="H506" s="254"/>
      <c r="I506" s="254"/>
      <c r="J506" s="254"/>
      <c r="K506" s="254"/>
    </row>
    <row r="507" spans="1:11">
      <c r="A507" s="253" t="s">
        <v>293</v>
      </c>
      <c r="C507" s="183"/>
      <c r="D507" s="183"/>
      <c r="E507" s="255"/>
      <c r="F507" s="255"/>
      <c r="G507" s="255"/>
      <c r="H507" s="255"/>
      <c r="I507" s="255"/>
      <c r="J507" s="254"/>
      <c r="K507" s="254"/>
    </row>
    <row r="508" spans="1:11">
      <c r="A508" s="253" t="s">
        <v>294</v>
      </c>
      <c r="C508" s="183"/>
      <c r="D508" s="183"/>
      <c r="E508" s="183"/>
      <c r="K508" s="135"/>
    </row>
  </sheetData>
  <sheetProtection algorithmName="SHA-512" hashValue="0IzAwLDIQJiorcdeLCsCUfOUtRioxF179auygbFwWB3svz1Xj8mzOMeISpGs6KMPAPawgwYTs0785EJ4vbrw+w==" saltValue="S8574N2oXvOjfC4HMzJSgA==" spinCount="100000" sheet="1" objects="1" scenarios="1"/>
  <mergeCells count="750">
    <mergeCell ref="A5:J5"/>
    <mergeCell ref="A7:A10"/>
    <mergeCell ref="B7:B10"/>
    <mergeCell ref="C7:C10"/>
    <mergeCell ref="D7:D10"/>
    <mergeCell ref="E7:E10"/>
    <mergeCell ref="F7:F10"/>
    <mergeCell ref="G7:I7"/>
    <mergeCell ref="J7:J10"/>
    <mergeCell ref="G8:G10"/>
    <mergeCell ref="J13:J15"/>
    <mergeCell ref="A17:J17"/>
    <mergeCell ref="A19:A21"/>
    <mergeCell ref="B19:B21"/>
    <mergeCell ref="C19:C21"/>
    <mergeCell ref="F19:F21"/>
    <mergeCell ref="J19:J21"/>
    <mergeCell ref="H8:I8"/>
    <mergeCell ref="H9:H10"/>
    <mergeCell ref="I9:I10"/>
    <mergeCell ref="A13:A15"/>
    <mergeCell ref="B13:B15"/>
    <mergeCell ref="C13:C15"/>
    <mergeCell ref="E13:E15"/>
    <mergeCell ref="F13:F15"/>
    <mergeCell ref="A22:A24"/>
    <mergeCell ref="B22:B24"/>
    <mergeCell ref="C22:C24"/>
    <mergeCell ref="F22:F24"/>
    <mergeCell ref="J22:J24"/>
    <mergeCell ref="A25:A27"/>
    <mergeCell ref="B25:B27"/>
    <mergeCell ref="C25:C27"/>
    <mergeCell ref="F25:F27"/>
    <mergeCell ref="J25:J27"/>
    <mergeCell ref="A28:A30"/>
    <mergeCell ref="B28:B30"/>
    <mergeCell ref="C28:C30"/>
    <mergeCell ref="F28:F30"/>
    <mergeCell ref="J28:J30"/>
    <mergeCell ref="A31:A33"/>
    <mergeCell ref="B31:B33"/>
    <mergeCell ref="C31:C33"/>
    <mergeCell ref="F31:F33"/>
    <mergeCell ref="J31:J33"/>
    <mergeCell ref="A34:A36"/>
    <mergeCell ref="B34:B36"/>
    <mergeCell ref="C34:C36"/>
    <mergeCell ref="F34:F36"/>
    <mergeCell ref="J34:J36"/>
    <mergeCell ref="A37:A39"/>
    <mergeCell ref="B37:B39"/>
    <mergeCell ref="C37:C39"/>
    <mergeCell ref="F37:F39"/>
    <mergeCell ref="J37:J39"/>
    <mergeCell ref="A40:A42"/>
    <mergeCell ref="B40:B42"/>
    <mergeCell ref="C40:C42"/>
    <mergeCell ref="F40:F42"/>
    <mergeCell ref="J40:J42"/>
    <mergeCell ref="A43:A45"/>
    <mergeCell ref="B43:B45"/>
    <mergeCell ref="C43:C45"/>
    <mergeCell ref="F43:F45"/>
    <mergeCell ref="J43:J45"/>
    <mergeCell ref="A46:A48"/>
    <mergeCell ref="B46:B48"/>
    <mergeCell ref="C46:C48"/>
    <mergeCell ref="F46:F48"/>
    <mergeCell ref="J46:J48"/>
    <mergeCell ref="A49:A51"/>
    <mergeCell ref="B49:B51"/>
    <mergeCell ref="C49:C51"/>
    <mergeCell ref="F49:F51"/>
    <mergeCell ref="J49:J51"/>
    <mergeCell ref="A52:A54"/>
    <mergeCell ref="B52:B54"/>
    <mergeCell ref="C52:C54"/>
    <mergeCell ref="F52:F54"/>
    <mergeCell ref="J52:J54"/>
    <mergeCell ref="A55:A57"/>
    <mergeCell ref="B55:B57"/>
    <mergeCell ref="C55:C57"/>
    <mergeCell ref="F55:F57"/>
    <mergeCell ref="J55:J57"/>
    <mergeCell ref="A58:A60"/>
    <mergeCell ref="B58:B60"/>
    <mergeCell ref="C58:C60"/>
    <mergeCell ref="F58:F60"/>
    <mergeCell ref="J58:J60"/>
    <mergeCell ref="A61:A63"/>
    <mergeCell ref="B61:B63"/>
    <mergeCell ref="C61:C63"/>
    <mergeCell ref="F61:F63"/>
    <mergeCell ref="J61:J63"/>
    <mergeCell ref="A64:A66"/>
    <mergeCell ref="B64:B66"/>
    <mergeCell ref="C64:C66"/>
    <mergeCell ref="F64:F66"/>
    <mergeCell ref="J64:J66"/>
    <mergeCell ref="A67:A69"/>
    <mergeCell ref="B67:B69"/>
    <mergeCell ref="C67:C69"/>
    <mergeCell ref="F67:F69"/>
    <mergeCell ref="J67:J69"/>
    <mergeCell ref="A70:A72"/>
    <mergeCell ref="B70:B72"/>
    <mergeCell ref="C70:C72"/>
    <mergeCell ref="F70:F72"/>
    <mergeCell ref="J70:J72"/>
    <mergeCell ref="A73:A75"/>
    <mergeCell ref="B73:B75"/>
    <mergeCell ref="C73:C75"/>
    <mergeCell ref="F73:F75"/>
    <mergeCell ref="J73:J75"/>
    <mergeCell ref="A76:A78"/>
    <mergeCell ref="B76:B78"/>
    <mergeCell ref="C76:C78"/>
    <mergeCell ref="F76:F78"/>
    <mergeCell ref="J76:J78"/>
    <mergeCell ref="A79:A81"/>
    <mergeCell ref="B79:B81"/>
    <mergeCell ref="C79:C81"/>
    <mergeCell ref="F79:F81"/>
    <mergeCell ref="J79:J81"/>
    <mergeCell ref="A82:A84"/>
    <mergeCell ref="B82:B84"/>
    <mergeCell ref="C82:C84"/>
    <mergeCell ref="F82:F84"/>
    <mergeCell ref="J82:J84"/>
    <mergeCell ref="A85:A87"/>
    <mergeCell ref="B85:B87"/>
    <mergeCell ref="C85:C87"/>
    <mergeCell ref="F85:F87"/>
    <mergeCell ref="J85:J87"/>
    <mergeCell ref="A88:A90"/>
    <mergeCell ref="B88:B90"/>
    <mergeCell ref="C88:C90"/>
    <mergeCell ref="F88:F90"/>
    <mergeCell ref="J88:J90"/>
    <mergeCell ref="A91:A93"/>
    <mergeCell ref="B91:B93"/>
    <mergeCell ref="C91:C93"/>
    <mergeCell ref="F91:F93"/>
    <mergeCell ref="J91:J93"/>
    <mergeCell ref="A94:A96"/>
    <mergeCell ref="B94:B96"/>
    <mergeCell ref="C94:C96"/>
    <mergeCell ref="F94:F96"/>
    <mergeCell ref="J94:J96"/>
    <mergeCell ref="A97:A99"/>
    <mergeCell ref="B97:B99"/>
    <mergeCell ref="C97:C99"/>
    <mergeCell ref="F97:F99"/>
    <mergeCell ref="J97:J99"/>
    <mergeCell ref="A100:A102"/>
    <mergeCell ref="B100:B102"/>
    <mergeCell ref="C100:C102"/>
    <mergeCell ref="F100:F102"/>
    <mergeCell ref="J100:J102"/>
    <mergeCell ref="A103:A105"/>
    <mergeCell ref="B103:B105"/>
    <mergeCell ref="C103:C105"/>
    <mergeCell ref="F103:F105"/>
    <mergeCell ref="J103:J105"/>
    <mergeCell ref="A106:A108"/>
    <mergeCell ref="B106:B108"/>
    <mergeCell ref="C106:C108"/>
    <mergeCell ref="F106:F108"/>
    <mergeCell ref="J106:J108"/>
    <mergeCell ref="A109:A111"/>
    <mergeCell ref="B109:B111"/>
    <mergeCell ref="C109:C111"/>
    <mergeCell ref="F109:F111"/>
    <mergeCell ref="J109:J111"/>
    <mergeCell ref="A112:A114"/>
    <mergeCell ref="B112:B114"/>
    <mergeCell ref="C112:C114"/>
    <mergeCell ref="F112:F114"/>
    <mergeCell ref="J112:J114"/>
    <mergeCell ref="A115:A117"/>
    <mergeCell ref="B115:B117"/>
    <mergeCell ref="C115:C117"/>
    <mergeCell ref="F115:F117"/>
    <mergeCell ref="J115:J117"/>
    <mergeCell ref="A118:A120"/>
    <mergeCell ref="B118:B120"/>
    <mergeCell ref="C118:C120"/>
    <mergeCell ref="F118:F120"/>
    <mergeCell ref="J118:J120"/>
    <mergeCell ref="A121:A123"/>
    <mergeCell ref="B121:B123"/>
    <mergeCell ref="C121:C123"/>
    <mergeCell ref="F121:F123"/>
    <mergeCell ref="J121:J123"/>
    <mergeCell ref="A124:A126"/>
    <mergeCell ref="B124:B126"/>
    <mergeCell ref="C124:C126"/>
    <mergeCell ref="F124:F126"/>
    <mergeCell ref="J124:J126"/>
    <mergeCell ref="A127:A129"/>
    <mergeCell ref="B127:B129"/>
    <mergeCell ref="C127:C129"/>
    <mergeCell ref="F127:F129"/>
    <mergeCell ref="J127:J129"/>
    <mergeCell ref="A130:A132"/>
    <mergeCell ref="B130:B132"/>
    <mergeCell ref="C130:C132"/>
    <mergeCell ref="F130:F132"/>
    <mergeCell ref="J130:J132"/>
    <mergeCell ref="A133:A135"/>
    <mergeCell ref="B133:B135"/>
    <mergeCell ref="C133:C135"/>
    <mergeCell ref="F133:F135"/>
    <mergeCell ref="J133:J135"/>
    <mergeCell ref="A136:A138"/>
    <mergeCell ref="B136:B138"/>
    <mergeCell ref="C136:C138"/>
    <mergeCell ref="F136:F138"/>
    <mergeCell ref="J136:J138"/>
    <mergeCell ref="A139:A141"/>
    <mergeCell ref="B139:B141"/>
    <mergeCell ref="C139:C141"/>
    <mergeCell ref="F139:F141"/>
    <mergeCell ref="J139:J141"/>
    <mergeCell ref="A142:A144"/>
    <mergeCell ref="B142:B144"/>
    <mergeCell ref="C142:C144"/>
    <mergeCell ref="F142:F144"/>
    <mergeCell ref="J142:J144"/>
    <mergeCell ref="A145:A147"/>
    <mergeCell ref="B145:B147"/>
    <mergeCell ref="C145:C147"/>
    <mergeCell ref="F145:F147"/>
    <mergeCell ref="J145:J147"/>
    <mergeCell ref="A148:A150"/>
    <mergeCell ref="B148:B150"/>
    <mergeCell ref="C148:C150"/>
    <mergeCell ref="F148:F150"/>
    <mergeCell ref="J148:J150"/>
    <mergeCell ref="A151:A153"/>
    <mergeCell ref="B151:B153"/>
    <mergeCell ref="C151:C153"/>
    <mergeCell ref="F151:F153"/>
    <mergeCell ref="J151:J153"/>
    <mergeCell ref="A154:A156"/>
    <mergeCell ref="B154:B156"/>
    <mergeCell ref="C154:C156"/>
    <mergeCell ref="F154:F156"/>
    <mergeCell ref="J154:J156"/>
    <mergeCell ref="A157:A159"/>
    <mergeCell ref="B157:B159"/>
    <mergeCell ref="C157:C159"/>
    <mergeCell ref="F157:F159"/>
    <mergeCell ref="J157:J159"/>
    <mergeCell ref="A160:A162"/>
    <mergeCell ref="B160:B162"/>
    <mergeCell ref="C160:C162"/>
    <mergeCell ref="F160:F162"/>
    <mergeCell ref="J160:J162"/>
    <mergeCell ref="A163:A165"/>
    <mergeCell ref="B163:B165"/>
    <mergeCell ref="C163:C165"/>
    <mergeCell ref="F163:F165"/>
    <mergeCell ref="J163:J165"/>
    <mergeCell ref="A166:A168"/>
    <mergeCell ref="B166:B168"/>
    <mergeCell ref="C166:C168"/>
    <mergeCell ref="F166:F168"/>
    <mergeCell ref="J166:J168"/>
    <mergeCell ref="A169:A171"/>
    <mergeCell ref="B169:B171"/>
    <mergeCell ref="C169:C171"/>
    <mergeCell ref="F169:F171"/>
    <mergeCell ref="J169:J171"/>
    <mergeCell ref="A172:A174"/>
    <mergeCell ref="B172:B174"/>
    <mergeCell ref="C172:C174"/>
    <mergeCell ref="F172:F174"/>
    <mergeCell ref="J172:J174"/>
    <mergeCell ref="A175:A177"/>
    <mergeCell ref="B175:B177"/>
    <mergeCell ref="C175:C177"/>
    <mergeCell ref="F175:F177"/>
    <mergeCell ref="J175:J177"/>
    <mergeCell ref="A178:A180"/>
    <mergeCell ref="B178:B180"/>
    <mergeCell ref="C178:C180"/>
    <mergeCell ref="F178:F180"/>
    <mergeCell ref="J178:J180"/>
    <mergeCell ref="A181:A183"/>
    <mergeCell ref="B181:B183"/>
    <mergeCell ref="C181:C183"/>
    <mergeCell ref="F181:F183"/>
    <mergeCell ref="J181:J183"/>
    <mergeCell ref="A184:A186"/>
    <mergeCell ref="B184:B186"/>
    <mergeCell ref="C184:C186"/>
    <mergeCell ref="F184:F186"/>
    <mergeCell ref="J184:J186"/>
    <mergeCell ref="A187:A189"/>
    <mergeCell ref="B187:B189"/>
    <mergeCell ref="C187:C189"/>
    <mergeCell ref="F187:F189"/>
    <mergeCell ref="J187:J189"/>
    <mergeCell ref="A190:A192"/>
    <mergeCell ref="B190:B192"/>
    <mergeCell ref="C190:C192"/>
    <mergeCell ref="F190:F192"/>
    <mergeCell ref="J190:J192"/>
    <mergeCell ref="A193:A195"/>
    <mergeCell ref="B193:B195"/>
    <mergeCell ref="C193:C195"/>
    <mergeCell ref="F193:F195"/>
    <mergeCell ref="J193:J195"/>
    <mergeCell ref="A196:A198"/>
    <mergeCell ref="B196:B198"/>
    <mergeCell ref="C196:C198"/>
    <mergeCell ref="F196:F198"/>
    <mergeCell ref="J196:J198"/>
    <mergeCell ref="A199:A201"/>
    <mergeCell ref="B199:B201"/>
    <mergeCell ref="C199:C201"/>
    <mergeCell ref="F199:F201"/>
    <mergeCell ref="J199:J201"/>
    <mergeCell ref="A202:A204"/>
    <mergeCell ref="B202:B204"/>
    <mergeCell ref="C202:C204"/>
    <mergeCell ref="F202:F204"/>
    <mergeCell ref="J202:J204"/>
    <mergeCell ref="A205:A207"/>
    <mergeCell ref="B205:B207"/>
    <mergeCell ref="C205:C207"/>
    <mergeCell ref="F205:F207"/>
    <mergeCell ref="J205:J207"/>
    <mergeCell ref="A208:A210"/>
    <mergeCell ref="B208:B210"/>
    <mergeCell ref="C208:C210"/>
    <mergeCell ref="F208:F210"/>
    <mergeCell ref="J208:J210"/>
    <mergeCell ref="A211:A213"/>
    <mergeCell ref="B211:B213"/>
    <mergeCell ref="C211:C213"/>
    <mergeCell ref="F211:F213"/>
    <mergeCell ref="J211:J213"/>
    <mergeCell ref="A214:A216"/>
    <mergeCell ref="B214:B216"/>
    <mergeCell ref="C214:C216"/>
    <mergeCell ref="F214:F216"/>
    <mergeCell ref="J214:J216"/>
    <mergeCell ref="A217:A219"/>
    <mergeCell ref="B217:B219"/>
    <mergeCell ref="C217:C219"/>
    <mergeCell ref="F217:F219"/>
    <mergeCell ref="J217:J219"/>
    <mergeCell ref="A220:A222"/>
    <mergeCell ref="B220:B222"/>
    <mergeCell ref="C220:C222"/>
    <mergeCell ref="F220:F222"/>
    <mergeCell ref="J220:J222"/>
    <mergeCell ref="A223:A225"/>
    <mergeCell ref="B223:B225"/>
    <mergeCell ref="C223:C225"/>
    <mergeCell ref="F223:F225"/>
    <mergeCell ref="J223:J225"/>
    <mergeCell ref="A226:A228"/>
    <mergeCell ref="B226:B228"/>
    <mergeCell ref="C226:C228"/>
    <mergeCell ref="F226:F228"/>
    <mergeCell ref="J226:J228"/>
    <mergeCell ref="A229:A231"/>
    <mergeCell ref="B229:B231"/>
    <mergeCell ref="C229:C231"/>
    <mergeCell ref="F229:F231"/>
    <mergeCell ref="J229:J231"/>
    <mergeCell ref="A232:A234"/>
    <mergeCell ref="B232:B234"/>
    <mergeCell ref="C232:C234"/>
    <mergeCell ref="F232:F234"/>
    <mergeCell ref="J232:J234"/>
    <mergeCell ref="A235:A237"/>
    <mergeCell ref="B235:B237"/>
    <mergeCell ref="C235:C237"/>
    <mergeCell ref="F235:F237"/>
    <mergeCell ref="J235:J237"/>
    <mergeCell ref="A238:A240"/>
    <mergeCell ref="B238:B240"/>
    <mergeCell ref="C238:C240"/>
    <mergeCell ref="F238:F240"/>
    <mergeCell ref="J238:J240"/>
    <mergeCell ref="A241:A243"/>
    <mergeCell ref="B241:B243"/>
    <mergeCell ref="C241:C243"/>
    <mergeCell ref="F241:F243"/>
    <mergeCell ref="J241:J243"/>
    <mergeCell ref="A244:A246"/>
    <mergeCell ref="B244:B246"/>
    <mergeCell ref="C244:C246"/>
    <mergeCell ref="F244:F246"/>
    <mergeCell ref="J244:J246"/>
    <mergeCell ref="A247:A249"/>
    <mergeCell ref="B247:B249"/>
    <mergeCell ref="C247:C249"/>
    <mergeCell ref="F247:F249"/>
    <mergeCell ref="J247:J249"/>
    <mergeCell ref="A250:A252"/>
    <mergeCell ref="B250:B252"/>
    <mergeCell ref="C250:C252"/>
    <mergeCell ref="F250:F252"/>
    <mergeCell ref="J250:J252"/>
    <mergeCell ref="A253:A255"/>
    <mergeCell ref="B253:B255"/>
    <mergeCell ref="C253:C255"/>
    <mergeCell ref="F253:F255"/>
    <mergeCell ref="J253:J255"/>
    <mergeCell ref="A256:A258"/>
    <mergeCell ref="B256:B258"/>
    <mergeCell ref="C256:C258"/>
    <mergeCell ref="F256:F258"/>
    <mergeCell ref="J256:J258"/>
    <mergeCell ref="A259:A261"/>
    <mergeCell ref="B259:B261"/>
    <mergeCell ref="C259:C261"/>
    <mergeCell ref="F259:F261"/>
    <mergeCell ref="J259:J261"/>
    <mergeCell ref="A262:A264"/>
    <mergeCell ref="B262:B264"/>
    <mergeCell ref="C262:C264"/>
    <mergeCell ref="F262:F264"/>
    <mergeCell ref="J262:J264"/>
    <mergeCell ref="A265:A267"/>
    <mergeCell ref="B265:B267"/>
    <mergeCell ref="C265:C267"/>
    <mergeCell ref="F265:F267"/>
    <mergeCell ref="J265:J267"/>
    <mergeCell ref="A268:A270"/>
    <mergeCell ref="B268:B270"/>
    <mergeCell ref="C268:C270"/>
    <mergeCell ref="F268:F270"/>
    <mergeCell ref="J268:J270"/>
    <mergeCell ref="A272:B274"/>
    <mergeCell ref="C272:C274"/>
    <mergeCell ref="F272:F274"/>
    <mergeCell ref="J272:J274"/>
    <mergeCell ref="A281:A283"/>
    <mergeCell ref="B281:B283"/>
    <mergeCell ref="C281:C283"/>
    <mergeCell ref="J281:J283"/>
    <mergeCell ref="A284:A286"/>
    <mergeCell ref="B284:B286"/>
    <mergeCell ref="C284:C286"/>
    <mergeCell ref="J284:J286"/>
    <mergeCell ref="A275:J275"/>
    <mergeCell ref="A276:J276"/>
    <mergeCell ref="A278:A280"/>
    <mergeCell ref="B278:B280"/>
    <mergeCell ref="C278:C280"/>
    <mergeCell ref="J278:J280"/>
    <mergeCell ref="A293:A295"/>
    <mergeCell ref="B293:B295"/>
    <mergeCell ref="C293:C295"/>
    <mergeCell ref="J293:J295"/>
    <mergeCell ref="A296:A298"/>
    <mergeCell ref="B296:B298"/>
    <mergeCell ref="C296:C298"/>
    <mergeCell ref="J296:J298"/>
    <mergeCell ref="A287:A289"/>
    <mergeCell ref="B287:B289"/>
    <mergeCell ref="C287:C289"/>
    <mergeCell ref="J287:J289"/>
    <mergeCell ref="A290:A292"/>
    <mergeCell ref="B290:B292"/>
    <mergeCell ref="C290:C292"/>
    <mergeCell ref="J290:J292"/>
    <mergeCell ref="A305:A307"/>
    <mergeCell ref="B305:B307"/>
    <mergeCell ref="C305:C307"/>
    <mergeCell ref="J305:J307"/>
    <mergeCell ref="A308:A310"/>
    <mergeCell ref="B308:B310"/>
    <mergeCell ref="C308:C310"/>
    <mergeCell ref="J308:J310"/>
    <mergeCell ref="A299:A301"/>
    <mergeCell ref="B299:B301"/>
    <mergeCell ref="C299:C301"/>
    <mergeCell ref="J299:J301"/>
    <mergeCell ref="A302:A304"/>
    <mergeCell ref="B302:B304"/>
    <mergeCell ref="C302:C304"/>
    <mergeCell ref="J302:J304"/>
    <mergeCell ref="A317:A319"/>
    <mergeCell ref="B317:B319"/>
    <mergeCell ref="C317:C319"/>
    <mergeCell ref="J317:J319"/>
    <mergeCell ref="A320:A322"/>
    <mergeCell ref="B320:B322"/>
    <mergeCell ref="C320:C322"/>
    <mergeCell ref="J320:J322"/>
    <mergeCell ref="A311:A313"/>
    <mergeCell ref="B311:B313"/>
    <mergeCell ref="C311:C313"/>
    <mergeCell ref="J311:J313"/>
    <mergeCell ref="A314:A316"/>
    <mergeCell ref="B314:B316"/>
    <mergeCell ref="C314:C316"/>
    <mergeCell ref="J314:J316"/>
    <mergeCell ref="A329:A331"/>
    <mergeCell ref="B329:B331"/>
    <mergeCell ref="C329:C331"/>
    <mergeCell ref="J329:J331"/>
    <mergeCell ref="A332:A334"/>
    <mergeCell ref="B332:B334"/>
    <mergeCell ref="C332:C334"/>
    <mergeCell ref="J332:J334"/>
    <mergeCell ref="A323:A325"/>
    <mergeCell ref="B323:B325"/>
    <mergeCell ref="C323:C325"/>
    <mergeCell ref="J323:J325"/>
    <mergeCell ref="A326:A328"/>
    <mergeCell ref="B326:B328"/>
    <mergeCell ref="C326:C328"/>
    <mergeCell ref="J326:J328"/>
    <mergeCell ref="A341:A343"/>
    <mergeCell ref="B341:B343"/>
    <mergeCell ref="C341:C343"/>
    <mergeCell ref="J341:J343"/>
    <mergeCell ref="A344:A346"/>
    <mergeCell ref="B344:B346"/>
    <mergeCell ref="C344:C346"/>
    <mergeCell ref="J344:J346"/>
    <mergeCell ref="A335:A337"/>
    <mergeCell ref="B335:B337"/>
    <mergeCell ref="C335:C337"/>
    <mergeCell ref="J335:J337"/>
    <mergeCell ref="A338:A340"/>
    <mergeCell ref="B338:B340"/>
    <mergeCell ref="C338:C340"/>
    <mergeCell ref="J338:J340"/>
    <mergeCell ref="A353:A355"/>
    <mergeCell ref="B353:B355"/>
    <mergeCell ref="C353:C355"/>
    <mergeCell ref="J353:J355"/>
    <mergeCell ref="A356:A358"/>
    <mergeCell ref="B356:B358"/>
    <mergeCell ref="C356:C358"/>
    <mergeCell ref="J356:J358"/>
    <mergeCell ref="A347:A349"/>
    <mergeCell ref="B347:B349"/>
    <mergeCell ref="C347:C349"/>
    <mergeCell ref="J347:J349"/>
    <mergeCell ref="A350:A352"/>
    <mergeCell ref="B350:B352"/>
    <mergeCell ref="C350:C352"/>
    <mergeCell ref="J350:J352"/>
    <mergeCell ref="A365:A367"/>
    <mergeCell ref="B365:B367"/>
    <mergeCell ref="C365:C367"/>
    <mergeCell ref="J365:J367"/>
    <mergeCell ref="A368:A370"/>
    <mergeCell ref="B368:B370"/>
    <mergeCell ref="C368:C370"/>
    <mergeCell ref="J368:J370"/>
    <mergeCell ref="A359:A361"/>
    <mergeCell ref="B359:B361"/>
    <mergeCell ref="C359:C361"/>
    <mergeCell ref="J359:J361"/>
    <mergeCell ref="A362:A364"/>
    <mergeCell ref="B362:B364"/>
    <mergeCell ref="C362:C364"/>
    <mergeCell ref="J362:J364"/>
    <mergeCell ref="A377:A379"/>
    <mergeCell ref="B377:B379"/>
    <mergeCell ref="C377:C379"/>
    <mergeCell ref="J377:J379"/>
    <mergeCell ref="A380:A382"/>
    <mergeCell ref="B380:B382"/>
    <mergeCell ref="C380:C382"/>
    <mergeCell ref="J380:J382"/>
    <mergeCell ref="A371:A373"/>
    <mergeCell ref="B371:B373"/>
    <mergeCell ref="C371:C373"/>
    <mergeCell ref="J371:J373"/>
    <mergeCell ref="A374:A376"/>
    <mergeCell ref="B374:B376"/>
    <mergeCell ref="C374:C376"/>
    <mergeCell ref="J374:J376"/>
    <mergeCell ref="A389:A391"/>
    <mergeCell ref="B389:B391"/>
    <mergeCell ref="C389:C391"/>
    <mergeCell ref="J389:J391"/>
    <mergeCell ref="A392:A394"/>
    <mergeCell ref="B392:B394"/>
    <mergeCell ref="C392:C394"/>
    <mergeCell ref="J392:J394"/>
    <mergeCell ref="A383:A385"/>
    <mergeCell ref="B383:B385"/>
    <mergeCell ref="C383:C385"/>
    <mergeCell ref="J383:J385"/>
    <mergeCell ref="A386:A388"/>
    <mergeCell ref="B386:B388"/>
    <mergeCell ref="C386:C388"/>
    <mergeCell ref="J386:J388"/>
    <mergeCell ref="A401:A403"/>
    <mergeCell ref="B401:B403"/>
    <mergeCell ref="C401:C403"/>
    <mergeCell ref="J401:J403"/>
    <mergeCell ref="A404:A406"/>
    <mergeCell ref="B404:B406"/>
    <mergeCell ref="C404:C406"/>
    <mergeCell ref="J404:J406"/>
    <mergeCell ref="A395:A397"/>
    <mergeCell ref="B395:B397"/>
    <mergeCell ref="C395:C397"/>
    <mergeCell ref="J395:J397"/>
    <mergeCell ref="A398:A400"/>
    <mergeCell ref="B398:B400"/>
    <mergeCell ref="C398:C400"/>
    <mergeCell ref="J398:J400"/>
    <mergeCell ref="A413:A415"/>
    <mergeCell ref="B413:B415"/>
    <mergeCell ref="C413:C415"/>
    <mergeCell ref="J413:J415"/>
    <mergeCell ref="A416:A418"/>
    <mergeCell ref="B416:B418"/>
    <mergeCell ref="C416:C418"/>
    <mergeCell ref="J416:J418"/>
    <mergeCell ref="A407:A409"/>
    <mergeCell ref="B407:B409"/>
    <mergeCell ref="C407:C409"/>
    <mergeCell ref="J407:J409"/>
    <mergeCell ref="A410:A412"/>
    <mergeCell ref="B410:B412"/>
    <mergeCell ref="C410:C412"/>
    <mergeCell ref="J410:J412"/>
    <mergeCell ref="A425:A427"/>
    <mergeCell ref="B425:B427"/>
    <mergeCell ref="C425:C427"/>
    <mergeCell ref="J425:J427"/>
    <mergeCell ref="A428:A430"/>
    <mergeCell ref="B428:B430"/>
    <mergeCell ref="C428:C430"/>
    <mergeCell ref="J428:J430"/>
    <mergeCell ref="A419:A421"/>
    <mergeCell ref="B419:B421"/>
    <mergeCell ref="C419:C421"/>
    <mergeCell ref="J419:J421"/>
    <mergeCell ref="A422:A424"/>
    <mergeCell ref="B422:B424"/>
    <mergeCell ref="C422:C424"/>
    <mergeCell ref="J422:J424"/>
    <mergeCell ref="A437:A439"/>
    <mergeCell ref="B437:B439"/>
    <mergeCell ref="C437:C439"/>
    <mergeCell ref="J437:J439"/>
    <mergeCell ref="A440:A442"/>
    <mergeCell ref="B440:B442"/>
    <mergeCell ref="C440:C442"/>
    <mergeCell ref="J440:J442"/>
    <mergeCell ref="A431:A433"/>
    <mergeCell ref="B431:B433"/>
    <mergeCell ref="C431:C433"/>
    <mergeCell ref="J431:J433"/>
    <mergeCell ref="A434:A436"/>
    <mergeCell ref="B434:B436"/>
    <mergeCell ref="C434:C436"/>
    <mergeCell ref="J434:J436"/>
    <mergeCell ref="A449:A451"/>
    <mergeCell ref="B449:B451"/>
    <mergeCell ref="C449:C451"/>
    <mergeCell ref="J449:J451"/>
    <mergeCell ref="A452:A454"/>
    <mergeCell ref="B452:B454"/>
    <mergeCell ref="C452:C454"/>
    <mergeCell ref="J452:J454"/>
    <mergeCell ref="A443:A445"/>
    <mergeCell ref="B443:B445"/>
    <mergeCell ref="C443:C445"/>
    <mergeCell ref="J443:J445"/>
    <mergeCell ref="A446:A448"/>
    <mergeCell ref="B446:B448"/>
    <mergeCell ref="C446:C448"/>
    <mergeCell ref="J446:J448"/>
    <mergeCell ref="A461:A463"/>
    <mergeCell ref="B461:B463"/>
    <mergeCell ref="C461:C463"/>
    <mergeCell ref="J461:J463"/>
    <mergeCell ref="A464:A466"/>
    <mergeCell ref="B464:B466"/>
    <mergeCell ref="C464:C466"/>
    <mergeCell ref="J464:J466"/>
    <mergeCell ref="A455:A457"/>
    <mergeCell ref="B455:B457"/>
    <mergeCell ref="C455:C457"/>
    <mergeCell ref="J455:J457"/>
    <mergeCell ref="A458:A460"/>
    <mergeCell ref="B458:B460"/>
    <mergeCell ref="C458:C460"/>
    <mergeCell ref="J458:J460"/>
    <mergeCell ref="A473:A475"/>
    <mergeCell ref="B473:B475"/>
    <mergeCell ref="C473:C475"/>
    <mergeCell ref="J473:J475"/>
    <mergeCell ref="A476:A478"/>
    <mergeCell ref="B476:B478"/>
    <mergeCell ref="C476:C478"/>
    <mergeCell ref="J476:J478"/>
    <mergeCell ref="A467:A469"/>
    <mergeCell ref="B467:B469"/>
    <mergeCell ref="C467:C469"/>
    <mergeCell ref="J467:J469"/>
    <mergeCell ref="A470:A472"/>
    <mergeCell ref="B470:B472"/>
    <mergeCell ref="C470:C472"/>
    <mergeCell ref="J470:J472"/>
    <mergeCell ref="A486:A488"/>
    <mergeCell ref="B486:B488"/>
    <mergeCell ref="C486:C488"/>
    <mergeCell ref="E486:E488"/>
    <mergeCell ref="F486:F488"/>
    <mergeCell ref="J486:J488"/>
    <mergeCell ref="A480:B482"/>
    <mergeCell ref="C480:C482"/>
    <mergeCell ref="J480:J482"/>
    <mergeCell ref="A483:J483"/>
    <mergeCell ref="A484:J484"/>
    <mergeCell ref="A485:J485"/>
    <mergeCell ref="A489:J489"/>
    <mergeCell ref="A490:J490"/>
    <mergeCell ref="A491:J491"/>
    <mergeCell ref="A492:A494"/>
    <mergeCell ref="B492:B494"/>
    <mergeCell ref="C492:C494"/>
    <mergeCell ref="E492:E494"/>
    <mergeCell ref="F492:F494"/>
    <mergeCell ref="J492:J494"/>
    <mergeCell ref="A501:J501"/>
    <mergeCell ref="A502:B504"/>
    <mergeCell ref="C502:C504"/>
    <mergeCell ref="E502:E504"/>
    <mergeCell ref="F502:F504"/>
    <mergeCell ref="J502:J504"/>
    <mergeCell ref="A495:J495"/>
    <mergeCell ref="A496:J496"/>
    <mergeCell ref="A497:J497"/>
    <mergeCell ref="A498:A500"/>
    <mergeCell ref="B498:B500"/>
    <mergeCell ref="C498:C500"/>
    <mergeCell ref="E498:E500"/>
    <mergeCell ref="F498:F500"/>
    <mergeCell ref="J498:J50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1A09-56DD-4977-BC7B-98AE230337AD}">
  <dimension ref="A1:N593"/>
  <sheetViews>
    <sheetView view="pageBreakPreview" topLeftCell="A474" zoomScaleNormal="75" zoomScaleSheetLayoutView="100" workbookViewId="0">
      <selection activeCell="F591" sqref="F591"/>
    </sheetView>
  </sheetViews>
  <sheetFormatPr defaultColWidth="8" defaultRowHeight="15"/>
  <cols>
    <col min="1" max="1" width="2.25" style="482" customWidth="1"/>
    <col min="2" max="2" width="2.625" style="482" customWidth="1"/>
    <col min="3" max="3" width="3.5" style="482" customWidth="1"/>
    <col min="4" max="4" width="4.375" style="482" customWidth="1"/>
    <col min="5" max="5" width="9.625" style="483" customWidth="1"/>
    <col min="6" max="6" width="49.375" style="484" customWidth="1"/>
    <col min="7" max="7" width="2.25" style="483" customWidth="1"/>
    <col min="8" max="8" width="14.875" style="485" customWidth="1"/>
    <col min="9" max="10" width="14.75" style="486" customWidth="1"/>
    <col min="11" max="11" width="15" style="486" customWidth="1"/>
    <col min="12" max="12" width="15.125" style="486" customWidth="1"/>
    <col min="13" max="13" width="12.875" style="486" customWidth="1"/>
    <col min="14" max="14" width="14.875" style="486" customWidth="1"/>
    <col min="15" max="16384" width="8" style="487"/>
  </cols>
  <sheetData>
    <row r="1" spans="1:14" s="353" customFormat="1" ht="15" customHeight="1">
      <c r="D1" s="354"/>
      <c r="E1" s="355"/>
      <c r="F1" s="356"/>
      <c r="G1" s="355"/>
      <c r="H1" s="357"/>
      <c r="I1" s="358"/>
      <c r="J1" s="358"/>
      <c r="K1" s="358"/>
      <c r="L1" s="1087" t="s">
        <v>1100</v>
      </c>
      <c r="M1" s="1087"/>
      <c r="N1" s="1087"/>
    </row>
    <row r="2" spans="1:14" s="353" customFormat="1" ht="15" customHeight="1">
      <c r="C2" s="359" t="s">
        <v>628</v>
      </c>
      <c r="D2" s="359"/>
      <c r="E2" s="355"/>
      <c r="F2" s="356"/>
      <c r="G2" s="355"/>
      <c r="H2" s="357"/>
      <c r="I2" s="358"/>
      <c r="J2" s="360"/>
      <c r="K2" s="360"/>
      <c r="L2" s="358" t="s">
        <v>629</v>
      </c>
      <c r="M2" s="360"/>
      <c r="N2" s="360"/>
    </row>
    <row r="3" spans="1:14" s="353" customFormat="1" ht="9" customHeight="1">
      <c r="D3" s="359"/>
      <c r="E3" s="355"/>
      <c r="F3" s="356"/>
      <c r="G3" s="355"/>
      <c r="H3" s="357"/>
      <c r="I3" s="358"/>
      <c r="J3" s="360"/>
      <c r="K3" s="360"/>
      <c r="L3" s="358"/>
      <c r="M3" s="360"/>
      <c r="N3" s="360"/>
    </row>
    <row r="4" spans="1:14" s="353" customFormat="1" ht="32.25" customHeight="1">
      <c r="A4" s="1088" t="s">
        <v>630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089"/>
      <c r="N4" s="1089"/>
    </row>
    <row r="5" spans="1:14" s="353" customFormat="1" ht="11.25" customHeight="1">
      <c r="A5" s="362"/>
      <c r="B5" s="362"/>
      <c r="C5" s="362"/>
      <c r="D5" s="362"/>
      <c r="E5" s="363"/>
      <c r="F5" s="364"/>
      <c r="G5" s="363"/>
      <c r="H5" s="365"/>
      <c r="I5" s="366"/>
      <c r="J5" s="366"/>
      <c r="K5" s="366"/>
      <c r="L5" s="366"/>
      <c r="M5" s="366"/>
      <c r="N5" s="366" t="s">
        <v>35</v>
      </c>
    </row>
    <row r="6" spans="1:14" s="369" customFormat="1" ht="30.75" customHeight="1">
      <c r="A6" s="1090" t="s">
        <v>631</v>
      </c>
      <c r="B6" s="1091"/>
      <c r="C6" s="1090" t="s">
        <v>300</v>
      </c>
      <c r="D6" s="1091"/>
      <c r="E6" s="1090" t="s">
        <v>632</v>
      </c>
      <c r="F6" s="1096"/>
      <c r="G6" s="1099" t="s">
        <v>94</v>
      </c>
      <c r="H6" s="1102" t="s">
        <v>38</v>
      </c>
      <c r="I6" s="1105" t="s">
        <v>633</v>
      </c>
      <c r="J6" s="1106"/>
      <c r="K6" s="1107"/>
      <c r="L6" s="1105" t="s">
        <v>634</v>
      </c>
      <c r="M6" s="1106"/>
      <c r="N6" s="1107"/>
    </row>
    <row r="7" spans="1:14" s="369" customFormat="1" ht="14.25" customHeight="1">
      <c r="A7" s="1092"/>
      <c r="B7" s="1093"/>
      <c r="C7" s="1092"/>
      <c r="D7" s="1093"/>
      <c r="E7" s="1097"/>
      <c r="F7" s="1098"/>
      <c r="G7" s="1100"/>
      <c r="H7" s="1103"/>
      <c r="I7" s="1108" t="s">
        <v>635</v>
      </c>
      <c r="J7" s="367" t="s">
        <v>140</v>
      </c>
      <c r="K7" s="368"/>
      <c r="L7" s="1108" t="s">
        <v>635</v>
      </c>
      <c r="M7" s="367" t="s">
        <v>140</v>
      </c>
      <c r="N7" s="368"/>
    </row>
    <row r="8" spans="1:14" s="369" customFormat="1" ht="30" customHeight="1">
      <c r="A8" s="1094"/>
      <c r="B8" s="1095"/>
      <c r="C8" s="1094"/>
      <c r="D8" s="1095"/>
      <c r="E8" s="371" t="s">
        <v>636</v>
      </c>
      <c r="F8" s="372"/>
      <c r="G8" s="1101"/>
      <c r="H8" s="1104"/>
      <c r="I8" s="1109"/>
      <c r="J8" s="368" t="s">
        <v>637</v>
      </c>
      <c r="K8" s="374" t="s">
        <v>638</v>
      </c>
      <c r="L8" s="1109"/>
      <c r="M8" s="368" t="s">
        <v>637</v>
      </c>
      <c r="N8" s="374" t="s">
        <v>638</v>
      </c>
    </row>
    <row r="9" spans="1:14" s="377" customFormat="1" ht="11.25">
      <c r="A9" s="1110">
        <v>1</v>
      </c>
      <c r="B9" s="1111"/>
      <c r="C9" s="1110">
        <v>2</v>
      </c>
      <c r="D9" s="1111"/>
      <c r="E9" s="375">
        <v>3</v>
      </c>
      <c r="F9" s="375">
        <v>4</v>
      </c>
      <c r="G9" s="375"/>
      <c r="H9" s="376">
        <v>5</v>
      </c>
      <c r="I9" s="376">
        <v>6</v>
      </c>
      <c r="J9" s="376">
        <v>7</v>
      </c>
      <c r="K9" s="376">
        <v>8</v>
      </c>
      <c r="L9" s="376">
        <v>9</v>
      </c>
      <c r="M9" s="376">
        <v>10</v>
      </c>
      <c r="N9" s="376">
        <v>11</v>
      </c>
    </row>
    <row r="10" spans="1:14" s="384" customFormat="1" ht="5.0999999999999996" customHeight="1">
      <c r="A10" s="378"/>
      <c r="B10" s="379"/>
      <c r="C10" s="379"/>
      <c r="D10" s="379"/>
      <c r="E10" s="380"/>
      <c r="F10" s="380"/>
      <c r="G10" s="380"/>
      <c r="H10" s="381"/>
      <c r="I10" s="382"/>
      <c r="J10" s="382"/>
      <c r="K10" s="382"/>
      <c r="L10" s="382"/>
      <c r="M10" s="382"/>
      <c r="N10" s="383"/>
    </row>
    <row r="11" spans="1:14" s="388" customFormat="1" ht="14.1" customHeight="1">
      <c r="A11" s="1013" t="s">
        <v>151</v>
      </c>
      <c r="B11" s="1014"/>
      <c r="C11" s="1014"/>
      <c r="D11" s="1014"/>
      <c r="E11" s="1014"/>
      <c r="F11" s="1015"/>
      <c r="G11" s="385" t="s">
        <v>0</v>
      </c>
      <c r="H11" s="386">
        <f>I11+L11</f>
        <v>797929720.39999998</v>
      </c>
      <c r="I11" s="387">
        <f>J11+K11</f>
        <v>448370382</v>
      </c>
      <c r="J11" s="387">
        <f t="shared" ref="J11:K13" si="0">J15+J38+J119</f>
        <v>242983577</v>
      </c>
      <c r="K11" s="387">
        <f t="shared" si="0"/>
        <v>205386805</v>
      </c>
      <c r="L11" s="387">
        <f>M11+N11</f>
        <v>349559338.39999998</v>
      </c>
      <c r="M11" s="387">
        <f t="shared" ref="M11:N13" si="1">M15+M38+M119</f>
        <v>4403669</v>
      </c>
      <c r="N11" s="387">
        <f t="shared" si="1"/>
        <v>345155669.39999998</v>
      </c>
    </row>
    <row r="12" spans="1:14" s="388" customFormat="1" ht="14.1" customHeight="1">
      <c r="A12" s="1016"/>
      <c r="B12" s="1017"/>
      <c r="C12" s="1017"/>
      <c r="D12" s="1017"/>
      <c r="E12" s="1017"/>
      <c r="F12" s="1018"/>
      <c r="G12" s="389" t="s">
        <v>1</v>
      </c>
      <c r="H12" s="386">
        <f>I12+L12</f>
        <v>18928358</v>
      </c>
      <c r="I12" s="387">
        <f>J12+K12</f>
        <v>18444626</v>
      </c>
      <c r="J12" s="387">
        <f t="shared" si="0"/>
        <v>14733261</v>
      </c>
      <c r="K12" s="387">
        <f t="shared" si="0"/>
        <v>3711365</v>
      </c>
      <c r="L12" s="387">
        <f>M12+N12</f>
        <v>483732</v>
      </c>
      <c r="M12" s="387">
        <f t="shared" si="1"/>
        <v>-46887</v>
      </c>
      <c r="N12" s="387">
        <f t="shared" si="1"/>
        <v>530619</v>
      </c>
    </row>
    <row r="13" spans="1:14" s="388" customFormat="1" ht="14.1" customHeight="1">
      <c r="A13" s="1019"/>
      <c r="B13" s="1020"/>
      <c r="C13" s="1020"/>
      <c r="D13" s="1020"/>
      <c r="E13" s="1020"/>
      <c r="F13" s="1021"/>
      <c r="G13" s="390" t="s">
        <v>2</v>
      </c>
      <c r="H13" s="386">
        <f>I13+L13</f>
        <v>816858078.39999998</v>
      </c>
      <c r="I13" s="387">
        <f>J13+K13</f>
        <v>466815008</v>
      </c>
      <c r="J13" s="387">
        <f t="shared" si="0"/>
        <v>257716838</v>
      </c>
      <c r="K13" s="387">
        <f t="shared" si="0"/>
        <v>209098170</v>
      </c>
      <c r="L13" s="387">
        <f>M13+N13</f>
        <v>350043070.39999998</v>
      </c>
      <c r="M13" s="387">
        <f t="shared" si="1"/>
        <v>4356782</v>
      </c>
      <c r="N13" s="387">
        <f t="shared" si="1"/>
        <v>345686288.39999998</v>
      </c>
    </row>
    <row r="14" spans="1:14" s="392" customFormat="1" ht="5.0999999999999996" customHeight="1">
      <c r="A14" s="391"/>
      <c r="E14" s="393"/>
      <c r="F14" s="394"/>
      <c r="G14" s="393"/>
      <c r="H14" s="395"/>
      <c r="I14" s="396"/>
      <c r="J14" s="396"/>
      <c r="K14" s="396"/>
      <c r="L14" s="396"/>
      <c r="M14" s="396"/>
      <c r="N14" s="397"/>
    </row>
    <row r="15" spans="1:14" s="400" customFormat="1" ht="15" hidden="1" customHeight="1">
      <c r="A15" s="1074" t="s">
        <v>639</v>
      </c>
      <c r="B15" s="1075"/>
      <c r="C15" s="1075"/>
      <c r="D15" s="1075"/>
      <c r="E15" s="1075"/>
      <c r="F15" s="1076"/>
      <c r="G15" s="398" t="s">
        <v>0</v>
      </c>
      <c r="H15" s="399">
        <f>I15+L15</f>
        <v>237087450</v>
      </c>
      <c r="I15" s="399">
        <f>J15+K15</f>
        <v>0</v>
      </c>
      <c r="J15" s="399">
        <f>J19+J22+J25+J28+J31+J34</f>
        <v>0</v>
      </c>
      <c r="K15" s="399">
        <f>K19+K22+K25+K28+K31+K34</f>
        <v>0</v>
      </c>
      <c r="L15" s="399">
        <f>M15+N15</f>
        <v>237087450</v>
      </c>
      <c r="M15" s="399">
        <f>M19+M22+M25+M28+M31+M34</f>
        <v>0</v>
      </c>
      <c r="N15" s="399">
        <f>N19+N22+N25+N28+N31+N34</f>
        <v>237087450</v>
      </c>
    </row>
    <row r="16" spans="1:14" s="400" customFormat="1" ht="15" hidden="1" customHeight="1">
      <c r="A16" s="1052"/>
      <c r="B16" s="1053"/>
      <c r="C16" s="1053"/>
      <c r="D16" s="1053"/>
      <c r="E16" s="1053"/>
      <c r="F16" s="1054"/>
      <c r="G16" s="401" t="s">
        <v>1</v>
      </c>
      <c r="H16" s="399">
        <f t="shared" ref="H16:H17" si="2">I16+L16</f>
        <v>0</v>
      </c>
      <c r="I16" s="399">
        <f t="shared" ref="I16:I17" si="3">J16+K16</f>
        <v>0</v>
      </c>
      <c r="J16" s="399">
        <f t="shared" ref="J16:K17" si="4">J20+J23+J26+J29+J32+J35</f>
        <v>0</v>
      </c>
      <c r="K16" s="399">
        <f t="shared" si="4"/>
        <v>0</v>
      </c>
      <c r="L16" s="399">
        <f t="shared" ref="L16:L17" si="5">M16+N16</f>
        <v>0</v>
      </c>
      <c r="M16" s="399">
        <f t="shared" ref="M16:N17" si="6">M20+M23+M26+M29+M32+M35</f>
        <v>0</v>
      </c>
      <c r="N16" s="399">
        <f t="shared" si="6"/>
        <v>0</v>
      </c>
    </row>
    <row r="17" spans="1:14" s="400" customFormat="1" ht="15" hidden="1" customHeight="1">
      <c r="A17" s="1055"/>
      <c r="B17" s="1056"/>
      <c r="C17" s="1056"/>
      <c r="D17" s="1056"/>
      <c r="E17" s="1056"/>
      <c r="F17" s="1057"/>
      <c r="G17" s="402" t="s">
        <v>2</v>
      </c>
      <c r="H17" s="399">
        <f t="shared" si="2"/>
        <v>237087450</v>
      </c>
      <c r="I17" s="399">
        <f t="shared" si="3"/>
        <v>0</v>
      </c>
      <c r="J17" s="399">
        <f t="shared" si="4"/>
        <v>0</v>
      </c>
      <c r="K17" s="399">
        <f t="shared" si="4"/>
        <v>0</v>
      </c>
      <c r="L17" s="399">
        <f t="shared" si="5"/>
        <v>237087450</v>
      </c>
      <c r="M17" s="399">
        <f t="shared" si="6"/>
        <v>0</v>
      </c>
      <c r="N17" s="399">
        <f t="shared" si="6"/>
        <v>237087450</v>
      </c>
    </row>
    <row r="18" spans="1:14" s="392" customFormat="1" ht="5.25" hidden="1" customHeight="1">
      <c r="A18" s="403"/>
      <c r="B18" s="404"/>
      <c r="C18" s="404"/>
      <c r="D18" s="404"/>
      <c r="E18" s="405"/>
      <c r="F18" s="405"/>
      <c r="G18" s="405"/>
      <c r="H18" s="406"/>
      <c r="I18" s="407"/>
      <c r="J18" s="407"/>
      <c r="K18" s="407"/>
      <c r="L18" s="407"/>
      <c r="M18" s="407"/>
      <c r="N18" s="408"/>
    </row>
    <row r="19" spans="1:14" s="411" customFormat="1" ht="15" hidden="1" customHeight="1">
      <c r="A19" s="1022" t="s">
        <v>45</v>
      </c>
      <c r="B19" s="1023"/>
      <c r="C19" s="1022" t="s">
        <v>172</v>
      </c>
      <c r="D19" s="1023"/>
      <c r="E19" s="1024" t="s">
        <v>640</v>
      </c>
      <c r="F19" s="1025"/>
      <c r="G19" s="409" t="s">
        <v>0</v>
      </c>
      <c r="H19" s="410">
        <f t="shared" ref="H19:H36" si="7">I19+L19</f>
        <v>70000000</v>
      </c>
      <c r="I19" s="410">
        <f t="shared" ref="I19:I36" si="8">J19+K19</f>
        <v>0</v>
      </c>
      <c r="J19" s="410">
        <v>0</v>
      </c>
      <c r="K19" s="410">
        <v>0</v>
      </c>
      <c r="L19" s="410">
        <f>M19+N19</f>
        <v>70000000</v>
      </c>
      <c r="M19" s="410">
        <v>0</v>
      </c>
      <c r="N19" s="410">
        <v>70000000</v>
      </c>
    </row>
    <row r="20" spans="1:14" s="411" customFormat="1" ht="15" hidden="1" customHeight="1">
      <c r="A20" s="1022"/>
      <c r="B20" s="1040"/>
      <c r="C20" s="1022"/>
      <c r="D20" s="1040"/>
      <c r="E20" s="1026"/>
      <c r="F20" s="1027"/>
      <c r="G20" s="412" t="s">
        <v>1</v>
      </c>
      <c r="H20" s="410">
        <f t="shared" si="7"/>
        <v>0</v>
      </c>
      <c r="I20" s="410">
        <f t="shared" si="8"/>
        <v>0</v>
      </c>
      <c r="J20" s="410">
        <v>0</v>
      </c>
      <c r="K20" s="410">
        <v>0</v>
      </c>
      <c r="L20" s="410">
        <f t="shared" ref="L20:L21" si="9">M20+N20</f>
        <v>0</v>
      </c>
      <c r="M20" s="410">
        <v>0</v>
      </c>
      <c r="N20" s="410">
        <v>0</v>
      </c>
    </row>
    <row r="21" spans="1:14" s="411" customFormat="1" ht="15" hidden="1" customHeight="1">
      <c r="A21" s="1022"/>
      <c r="B21" s="1040"/>
      <c r="C21" s="1022"/>
      <c r="D21" s="1040"/>
      <c r="E21" s="1028"/>
      <c r="F21" s="1029"/>
      <c r="G21" s="412" t="s">
        <v>2</v>
      </c>
      <c r="H21" s="410">
        <f t="shared" si="7"/>
        <v>70000000</v>
      </c>
      <c r="I21" s="410">
        <f t="shared" si="8"/>
        <v>0</v>
      </c>
      <c r="J21" s="410">
        <f>J19+J20</f>
        <v>0</v>
      </c>
      <c r="K21" s="410">
        <f>K19+K20</f>
        <v>0</v>
      </c>
      <c r="L21" s="410">
        <f t="shared" si="9"/>
        <v>70000000</v>
      </c>
      <c r="M21" s="410">
        <f>M19+M20</f>
        <v>0</v>
      </c>
      <c r="N21" s="410">
        <f>N19+N20</f>
        <v>70000000</v>
      </c>
    </row>
    <row r="22" spans="1:14" s="411" customFormat="1" ht="15" hidden="1" customHeight="1">
      <c r="A22" s="1022"/>
      <c r="B22" s="1023"/>
      <c r="C22" s="1022"/>
      <c r="D22" s="1023"/>
      <c r="E22" s="1024" t="s">
        <v>641</v>
      </c>
      <c r="F22" s="1025"/>
      <c r="G22" s="409" t="s">
        <v>0</v>
      </c>
      <c r="H22" s="410">
        <f t="shared" si="7"/>
        <v>44500000</v>
      </c>
      <c r="I22" s="410">
        <f t="shared" si="8"/>
        <v>0</v>
      </c>
      <c r="J22" s="410">
        <v>0</v>
      </c>
      <c r="K22" s="410">
        <v>0</v>
      </c>
      <c r="L22" s="410">
        <f>M22+N22</f>
        <v>44500000</v>
      </c>
      <c r="M22" s="410">
        <v>0</v>
      </c>
      <c r="N22" s="410">
        <v>44500000</v>
      </c>
    </row>
    <row r="23" spans="1:14" s="411" customFormat="1" ht="15" hidden="1" customHeight="1">
      <c r="A23" s="1022"/>
      <c r="B23" s="1040"/>
      <c r="C23" s="1022"/>
      <c r="D23" s="1040"/>
      <c r="E23" s="1026"/>
      <c r="F23" s="1027"/>
      <c r="G23" s="412" t="s">
        <v>1</v>
      </c>
      <c r="H23" s="410">
        <f t="shared" si="7"/>
        <v>0</v>
      </c>
      <c r="I23" s="410">
        <f t="shared" si="8"/>
        <v>0</v>
      </c>
      <c r="J23" s="410">
        <v>0</v>
      </c>
      <c r="K23" s="410">
        <v>0</v>
      </c>
      <c r="L23" s="410">
        <f t="shared" ref="L23:L33" si="10">M23+N23</f>
        <v>0</v>
      </c>
      <c r="M23" s="410">
        <v>0</v>
      </c>
      <c r="N23" s="410">
        <v>0</v>
      </c>
    </row>
    <row r="24" spans="1:14" s="411" customFormat="1" ht="15" hidden="1" customHeight="1">
      <c r="A24" s="1022"/>
      <c r="B24" s="1040"/>
      <c r="C24" s="1022"/>
      <c r="D24" s="1040"/>
      <c r="E24" s="1028"/>
      <c r="F24" s="1029"/>
      <c r="G24" s="412" t="s">
        <v>2</v>
      </c>
      <c r="H24" s="410">
        <f t="shared" si="7"/>
        <v>44500000</v>
      </c>
      <c r="I24" s="410">
        <f t="shared" si="8"/>
        <v>0</v>
      </c>
      <c r="J24" s="410">
        <f>J22+J23</f>
        <v>0</v>
      </c>
      <c r="K24" s="410">
        <f>K22+K23</f>
        <v>0</v>
      </c>
      <c r="L24" s="410">
        <f t="shared" si="10"/>
        <v>44500000</v>
      </c>
      <c r="M24" s="410">
        <f>M22+M23</f>
        <v>0</v>
      </c>
      <c r="N24" s="410">
        <f>N22+N23</f>
        <v>44500000</v>
      </c>
    </row>
    <row r="25" spans="1:14" s="411" customFormat="1" ht="15" hidden="1" customHeight="1">
      <c r="A25" s="1022"/>
      <c r="B25" s="1023"/>
      <c r="C25" s="1022"/>
      <c r="D25" s="1023"/>
      <c r="E25" s="1024" t="s">
        <v>642</v>
      </c>
      <c r="F25" s="1025"/>
      <c r="G25" s="409" t="s">
        <v>0</v>
      </c>
      <c r="H25" s="410">
        <f t="shared" si="7"/>
        <v>43500000</v>
      </c>
      <c r="I25" s="410">
        <f t="shared" si="8"/>
        <v>0</v>
      </c>
      <c r="J25" s="410">
        <v>0</v>
      </c>
      <c r="K25" s="410">
        <v>0</v>
      </c>
      <c r="L25" s="410">
        <f t="shared" si="10"/>
        <v>43500000</v>
      </c>
      <c r="M25" s="410">
        <v>0</v>
      </c>
      <c r="N25" s="410">
        <v>43500000</v>
      </c>
    </row>
    <row r="26" spans="1:14" s="411" customFormat="1" ht="15" hidden="1" customHeight="1">
      <c r="A26" s="1022"/>
      <c r="B26" s="1040"/>
      <c r="C26" s="1022"/>
      <c r="D26" s="1040"/>
      <c r="E26" s="1026"/>
      <c r="F26" s="1027"/>
      <c r="G26" s="412" t="s">
        <v>1</v>
      </c>
      <c r="H26" s="410">
        <f t="shared" si="7"/>
        <v>0</v>
      </c>
      <c r="I26" s="410">
        <f t="shared" si="8"/>
        <v>0</v>
      </c>
      <c r="J26" s="410">
        <v>0</v>
      </c>
      <c r="K26" s="410">
        <v>0</v>
      </c>
      <c r="L26" s="410">
        <f t="shared" si="10"/>
        <v>0</v>
      </c>
      <c r="M26" s="410">
        <v>0</v>
      </c>
      <c r="N26" s="410">
        <v>0</v>
      </c>
    </row>
    <row r="27" spans="1:14" s="411" customFormat="1" ht="15" hidden="1" customHeight="1">
      <c r="A27" s="1022"/>
      <c r="B27" s="1040"/>
      <c r="C27" s="1022"/>
      <c r="D27" s="1040"/>
      <c r="E27" s="1028"/>
      <c r="F27" s="1029"/>
      <c r="G27" s="412" t="s">
        <v>2</v>
      </c>
      <c r="H27" s="410">
        <f t="shared" si="7"/>
        <v>43500000</v>
      </c>
      <c r="I27" s="410">
        <f t="shared" si="8"/>
        <v>0</v>
      </c>
      <c r="J27" s="410">
        <f>J25+J26</f>
        <v>0</v>
      </c>
      <c r="K27" s="410">
        <f>K25+K26</f>
        <v>0</v>
      </c>
      <c r="L27" s="410">
        <f t="shared" si="10"/>
        <v>43500000</v>
      </c>
      <c r="M27" s="410">
        <f>M25+M26</f>
        <v>0</v>
      </c>
      <c r="N27" s="410">
        <f>N25+N26</f>
        <v>43500000</v>
      </c>
    </row>
    <row r="28" spans="1:14" s="411" customFormat="1" ht="15" hidden="1" customHeight="1">
      <c r="A28" s="1022"/>
      <c r="B28" s="1023"/>
      <c r="C28" s="1022"/>
      <c r="D28" s="1023"/>
      <c r="E28" s="1024" t="s">
        <v>643</v>
      </c>
      <c r="F28" s="1025"/>
      <c r="G28" s="409" t="s">
        <v>0</v>
      </c>
      <c r="H28" s="410">
        <f t="shared" si="7"/>
        <v>45605839</v>
      </c>
      <c r="I28" s="410">
        <f t="shared" si="8"/>
        <v>0</v>
      </c>
      <c r="J28" s="410">
        <v>0</v>
      </c>
      <c r="K28" s="410">
        <v>0</v>
      </c>
      <c r="L28" s="410">
        <f t="shared" si="10"/>
        <v>45605839</v>
      </c>
      <c r="M28" s="410">
        <v>0</v>
      </c>
      <c r="N28" s="413">
        <v>45605839</v>
      </c>
    </row>
    <row r="29" spans="1:14" s="411" customFormat="1" ht="15" hidden="1" customHeight="1">
      <c r="A29" s="1022"/>
      <c r="B29" s="1040"/>
      <c r="C29" s="1022"/>
      <c r="D29" s="1040"/>
      <c r="E29" s="1026"/>
      <c r="F29" s="1027"/>
      <c r="G29" s="412" t="s">
        <v>1</v>
      </c>
      <c r="H29" s="410">
        <f t="shared" si="7"/>
        <v>0</v>
      </c>
      <c r="I29" s="410">
        <f t="shared" si="8"/>
        <v>0</v>
      </c>
      <c r="J29" s="410">
        <v>0</v>
      </c>
      <c r="K29" s="410">
        <v>0</v>
      </c>
      <c r="L29" s="410">
        <f t="shared" si="10"/>
        <v>0</v>
      </c>
      <c r="M29" s="410">
        <v>0</v>
      </c>
      <c r="N29" s="413">
        <v>0</v>
      </c>
    </row>
    <row r="30" spans="1:14" s="411" customFormat="1" ht="15" hidden="1" customHeight="1">
      <c r="A30" s="1022"/>
      <c r="B30" s="1040"/>
      <c r="C30" s="1022"/>
      <c r="D30" s="1040"/>
      <c r="E30" s="1028"/>
      <c r="F30" s="1029"/>
      <c r="G30" s="412" t="s">
        <v>2</v>
      </c>
      <c r="H30" s="410">
        <f t="shared" si="7"/>
        <v>45605839</v>
      </c>
      <c r="I30" s="410">
        <f t="shared" si="8"/>
        <v>0</v>
      </c>
      <c r="J30" s="410">
        <f>J28+J29</f>
        <v>0</v>
      </c>
      <c r="K30" s="410">
        <f>K28+K29</f>
        <v>0</v>
      </c>
      <c r="L30" s="410">
        <f t="shared" si="10"/>
        <v>45605839</v>
      </c>
      <c r="M30" s="410">
        <f>M28+M29</f>
        <v>0</v>
      </c>
      <c r="N30" s="410">
        <f>N28+N29</f>
        <v>45605839</v>
      </c>
    </row>
    <row r="31" spans="1:14" s="411" customFormat="1" ht="15" hidden="1" customHeight="1">
      <c r="A31" s="1022"/>
      <c r="B31" s="1023"/>
      <c r="C31" s="1022"/>
      <c r="D31" s="1023"/>
      <c r="E31" s="1024" t="s">
        <v>644</v>
      </c>
      <c r="F31" s="1025"/>
      <c r="G31" s="409" t="s">
        <v>0</v>
      </c>
      <c r="H31" s="410">
        <f t="shared" si="7"/>
        <v>33198611</v>
      </c>
      <c r="I31" s="410">
        <f t="shared" si="8"/>
        <v>0</v>
      </c>
      <c r="J31" s="410">
        <v>0</v>
      </c>
      <c r="K31" s="410">
        <v>0</v>
      </c>
      <c r="L31" s="410">
        <f t="shared" si="10"/>
        <v>33198611</v>
      </c>
      <c r="M31" s="410">
        <v>0</v>
      </c>
      <c r="N31" s="410">
        <v>33198611</v>
      </c>
    </row>
    <row r="32" spans="1:14" s="411" customFormat="1" ht="15" hidden="1" customHeight="1">
      <c r="A32" s="1022"/>
      <c r="B32" s="1040"/>
      <c r="C32" s="1022"/>
      <c r="D32" s="1040"/>
      <c r="E32" s="1026"/>
      <c r="F32" s="1027"/>
      <c r="G32" s="412" t="s">
        <v>1</v>
      </c>
      <c r="H32" s="410">
        <f t="shared" si="7"/>
        <v>0</v>
      </c>
      <c r="I32" s="410">
        <f t="shared" si="8"/>
        <v>0</v>
      </c>
      <c r="J32" s="410">
        <v>0</v>
      </c>
      <c r="K32" s="410">
        <v>0</v>
      </c>
      <c r="L32" s="410">
        <f t="shared" si="10"/>
        <v>0</v>
      </c>
      <c r="M32" s="410">
        <v>0</v>
      </c>
      <c r="N32" s="410">
        <v>0</v>
      </c>
    </row>
    <row r="33" spans="1:14" s="411" customFormat="1" ht="15" hidden="1" customHeight="1">
      <c r="A33" s="1022"/>
      <c r="B33" s="1040"/>
      <c r="C33" s="1022"/>
      <c r="D33" s="1040"/>
      <c r="E33" s="1028"/>
      <c r="F33" s="1029"/>
      <c r="G33" s="412" t="s">
        <v>2</v>
      </c>
      <c r="H33" s="410">
        <f t="shared" si="7"/>
        <v>33198611</v>
      </c>
      <c r="I33" s="410">
        <f t="shared" si="8"/>
        <v>0</v>
      </c>
      <c r="J33" s="410">
        <f>J31+J32</f>
        <v>0</v>
      </c>
      <c r="K33" s="410">
        <f>K31+K32</f>
        <v>0</v>
      </c>
      <c r="L33" s="410">
        <f t="shared" si="10"/>
        <v>33198611</v>
      </c>
      <c r="M33" s="410">
        <f>M31+M32</f>
        <v>0</v>
      </c>
      <c r="N33" s="410">
        <f>N31+N32</f>
        <v>33198611</v>
      </c>
    </row>
    <row r="34" spans="1:14" s="411" customFormat="1" ht="15" hidden="1" customHeight="1">
      <c r="A34" s="1022"/>
      <c r="B34" s="1023"/>
      <c r="C34" s="1022"/>
      <c r="D34" s="1023"/>
      <c r="E34" s="1024" t="s">
        <v>645</v>
      </c>
      <c r="F34" s="1025"/>
      <c r="G34" s="409" t="s">
        <v>0</v>
      </c>
      <c r="H34" s="410">
        <f t="shared" si="7"/>
        <v>283000</v>
      </c>
      <c r="I34" s="410">
        <f t="shared" si="8"/>
        <v>0</v>
      </c>
      <c r="J34" s="410">
        <v>0</v>
      </c>
      <c r="K34" s="410">
        <v>0</v>
      </c>
      <c r="L34" s="410">
        <f>M34+N34</f>
        <v>283000</v>
      </c>
      <c r="M34" s="410">
        <v>0</v>
      </c>
      <c r="N34" s="410">
        <v>283000</v>
      </c>
    </row>
    <row r="35" spans="1:14" s="411" customFormat="1" ht="15" hidden="1" customHeight="1">
      <c r="A35" s="1022"/>
      <c r="B35" s="1040"/>
      <c r="C35" s="1022"/>
      <c r="D35" s="1040"/>
      <c r="E35" s="1026"/>
      <c r="F35" s="1027"/>
      <c r="G35" s="412" t="s">
        <v>1</v>
      </c>
      <c r="H35" s="410">
        <f t="shared" si="7"/>
        <v>0</v>
      </c>
      <c r="I35" s="410">
        <f t="shared" si="8"/>
        <v>0</v>
      </c>
      <c r="J35" s="410">
        <v>0</v>
      </c>
      <c r="K35" s="410">
        <v>0</v>
      </c>
      <c r="L35" s="410">
        <f t="shared" ref="L35:L36" si="11">M35+N35</f>
        <v>0</v>
      </c>
      <c r="M35" s="410">
        <v>0</v>
      </c>
      <c r="N35" s="410">
        <v>0</v>
      </c>
    </row>
    <row r="36" spans="1:14" s="411" customFormat="1" ht="15" hidden="1" customHeight="1">
      <c r="A36" s="1031"/>
      <c r="B36" s="1047"/>
      <c r="C36" s="1031"/>
      <c r="D36" s="1047"/>
      <c r="E36" s="1028"/>
      <c r="F36" s="1029"/>
      <c r="G36" s="412" t="s">
        <v>2</v>
      </c>
      <c r="H36" s="410">
        <f t="shared" si="7"/>
        <v>283000</v>
      </c>
      <c r="I36" s="410">
        <f t="shared" si="8"/>
        <v>0</v>
      </c>
      <c r="J36" s="410">
        <f>J34+J35</f>
        <v>0</v>
      </c>
      <c r="K36" s="410">
        <f>K34+K35</f>
        <v>0</v>
      </c>
      <c r="L36" s="410">
        <f t="shared" si="11"/>
        <v>283000</v>
      </c>
      <c r="M36" s="410">
        <f>M34+M35</f>
        <v>0</v>
      </c>
      <c r="N36" s="410">
        <f>N34+N35</f>
        <v>283000</v>
      </c>
    </row>
    <row r="37" spans="1:14" s="392" customFormat="1" ht="5.25" hidden="1" customHeight="1">
      <c r="A37" s="414"/>
      <c r="B37" s="415"/>
      <c r="C37" s="415"/>
      <c r="D37" s="415"/>
      <c r="E37" s="416"/>
      <c r="F37" s="417"/>
      <c r="G37" s="416"/>
      <c r="H37" s="418"/>
      <c r="I37" s="419"/>
      <c r="J37" s="419"/>
      <c r="K37" s="419"/>
      <c r="L37" s="419"/>
      <c r="M37" s="419"/>
      <c r="N37" s="420"/>
    </row>
    <row r="38" spans="1:14" s="400" customFormat="1" ht="14.1" customHeight="1">
      <c r="A38" s="1074" t="s">
        <v>646</v>
      </c>
      <c r="B38" s="1075"/>
      <c r="C38" s="1075"/>
      <c r="D38" s="1075"/>
      <c r="E38" s="1075"/>
      <c r="F38" s="1076"/>
      <c r="G38" s="398" t="s">
        <v>0</v>
      </c>
      <c r="H38" s="421">
        <f>I38+L38</f>
        <v>160603498</v>
      </c>
      <c r="I38" s="421">
        <f>J38+K38</f>
        <v>160603498</v>
      </c>
      <c r="J38" s="421">
        <f>J42</f>
        <v>0</v>
      </c>
      <c r="K38" s="421">
        <f>K42</f>
        <v>160603498</v>
      </c>
      <c r="L38" s="421">
        <f>M38+N38</f>
        <v>0</v>
      </c>
      <c r="M38" s="421">
        <f>M42</f>
        <v>0</v>
      </c>
      <c r="N38" s="421">
        <f>N42</f>
        <v>0</v>
      </c>
    </row>
    <row r="39" spans="1:14" s="400" customFormat="1" ht="14.1" customHeight="1">
      <c r="A39" s="1052"/>
      <c r="B39" s="1053"/>
      <c r="C39" s="1053"/>
      <c r="D39" s="1053"/>
      <c r="E39" s="1053"/>
      <c r="F39" s="1054"/>
      <c r="G39" s="401" t="s">
        <v>1</v>
      </c>
      <c r="H39" s="421">
        <f t="shared" ref="H39:H40" si="12">I39+L39</f>
        <v>1593911</v>
      </c>
      <c r="I39" s="421">
        <f t="shared" ref="I39:I40" si="13">J39+K39</f>
        <v>1593911</v>
      </c>
      <c r="J39" s="421">
        <f t="shared" ref="J39:K40" si="14">J43</f>
        <v>0</v>
      </c>
      <c r="K39" s="421">
        <f t="shared" si="14"/>
        <v>1593911</v>
      </c>
      <c r="L39" s="421">
        <f t="shared" ref="L39:L40" si="15">M39+N39</f>
        <v>0</v>
      </c>
      <c r="M39" s="421">
        <f t="shared" ref="M39:N40" si="16">M43</f>
        <v>0</v>
      </c>
      <c r="N39" s="421">
        <f t="shared" si="16"/>
        <v>0</v>
      </c>
    </row>
    <row r="40" spans="1:14" s="400" customFormat="1" ht="14.1" customHeight="1">
      <c r="A40" s="1055"/>
      <c r="B40" s="1056"/>
      <c r="C40" s="1056"/>
      <c r="D40" s="1056"/>
      <c r="E40" s="1056"/>
      <c r="F40" s="1057"/>
      <c r="G40" s="402" t="s">
        <v>2</v>
      </c>
      <c r="H40" s="421">
        <f t="shared" si="12"/>
        <v>162197409</v>
      </c>
      <c r="I40" s="421">
        <f t="shared" si="13"/>
        <v>162197409</v>
      </c>
      <c r="J40" s="421">
        <f t="shared" si="14"/>
        <v>0</v>
      </c>
      <c r="K40" s="421">
        <f t="shared" si="14"/>
        <v>162197409</v>
      </c>
      <c r="L40" s="421">
        <f t="shared" si="15"/>
        <v>0</v>
      </c>
      <c r="M40" s="421">
        <f t="shared" si="16"/>
        <v>0</v>
      </c>
      <c r="N40" s="421">
        <f t="shared" si="16"/>
        <v>0</v>
      </c>
    </row>
    <row r="41" spans="1:14" s="392" customFormat="1" ht="5.0999999999999996" customHeight="1">
      <c r="A41" s="403"/>
      <c r="B41" s="404"/>
      <c r="C41" s="404"/>
      <c r="D41" s="404"/>
      <c r="E41" s="405"/>
      <c r="F41" s="405"/>
      <c r="G41" s="405"/>
      <c r="H41" s="406"/>
      <c r="I41" s="407"/>
      <c r="J41" s="407"/>
      <c r="K41" s="407"/>
      <c r="L41" s="407"/>
      <c r="M41" s="407"/>
      <c r="N41" s="408"/>
    </row>
    <row r="42" spans="1:14" s="424" customFormat="1" ht="14.1" customHeight="1">
      <c r="A42" s="1049" t="s">
        <v>647</v>
      </c>
      <c r="B42" s="1050"/>
      <c r="C42" s="1050"/>
      <c r="D42" s="1050"/>
      <c r="E42" s="1050"/>
      <c r="F42" s="1051"/>
      <c r="G42" s="422" t="s">
        <v>0</v>
      </c>
      <c r="H42" s="423">
        <f>I42+L42</f>
        <v>160603498</v>
      </c>
      <c r="I42" s="423">
        <f>J42+K42</f>
        <v>160603498</v>
      </c>
      <c r="J42" s="423">
        <f>J46+J49+J52+J55+J58+J61+J64+J67+J70+J79+J82+J85+J88+J91+J100+J109+J112+J115</f>
        <v>0</v>
      </c>
      <c r="K42" s="423">
        <f>K46+K49+K52+K55+K58+K61+K64+K67+K70+K79+K82+K85+K88+K91+K100+K109+K112+K115</f>
        <v>160603498</v>
      </c>
      <c r="L42" s="423">
        <f>M42+N42</f>
        <v>0</v>
      </c>
      <c r="M42" s="423">
        <f>M46+M49+M52+M55+M58+M61+M64+M67+M70+M79+M82+M85+M88+M91+M100+M109+M112+M115</f>
        <v>0</v>
      </c>
      <c r="N42" s="423">
        <f>N46+N49+N52+N55+N58+N61+N64+N67+N70+N79+N82+N85+N88+N91+N100+N109+N112+N115</f>
        <v>0</v>
      </c>
    </row>
    <row r="43" spans="1:14" s="424" customFormat="1" ht="14.1" customHeight="1">
      <c r="A43" s="1052"/>
      <c r="B43" s="1053"/>
      <c r="C43" s="1053"/>
      <c r="D43" s="1053"/>
      <c r="E43" s="1053"/>
      <c r="F43" s="1054"/>
      <c r="G43" s="425" t="s">
        <v>1</v>
      </c>
      <c r="H43" s="423">
        <f t="shared" ref="H43:H44" si="17">I43+L43</f>
        <v>1593911</v>
      </c>
      <c r="I43" s="423">
        <f t="shared" ref="I43:I44" si="18">J43+K43</f>
        <v>1593911</v>
      </c>
      <c r="J43" s="423">
        <f t="shared" ref="J43:K44" si="19">J47+J50+J53+J56+J59+J62+J65+J68+J71+J80+J83+J86+J89+J92+J101+J110+J113+J116</f>
        <v>0</v>
      </c>
      <c r="K43" s="423">
        <f t="shared" si="19"/>
        <v>1593911</v>
      </c>
      <c r="L43" s="423">
        <f t="shared" ref="L43:L44" si="20">M43+N43</f>
        <v>0</v>
      </c>
      <c r="M43" s="423">
        <f t="shared" ref="M43:N44" si="21">M47+M50+M53+M56+M59+M62+M65+M68+M71+M80+M83+M86+M89+M92+M101+M110+M113+M116</f>
        <v>0</v>
      </c>
      <c r="N43" s="423">
        <f t="shared" si="21"/>
        <v>0</v>
      </c>
    </row>
    <row r="44" spans="1:14" s="424" customFormat="1" ht="14.1" customHeight="1">
      <c r="A44" s="1055"/>
      <c r="B44" s="1056"/>
      <c r="C44" s="1056"/>
      <c r="D44" s="1056"/>
      <c r="E44" s="1056"/>
      <c r="F44" s="1057"/>
      <c r="G44" s="426" t="s">
        <v>2</v>
      </c>
      <c r="H44" s="423">
        <f t="shared" si="17"/>
        <v>162197409</v>
      </c>
      <c r="I44" s="423">
        <f t="shared" si="18"/>
        <v>162197409</v>
      </c>
      <c r="J44" s="423">
        <f t="shared" si="19"/>
        <v>0</v>
      </c>
      <c r="K44" s="423">
        <f t="shared" si="19"/>
        <v>162197409</v>
      </c>
      <c r="L44" s="423">
        <f t="shared" si="20"/>
        <v>0</v>
      </c>
      <c r="M44" s="423">
        <f t="shared" si="21"/>
        <v>0</v>
      </c>
      <c r="N44" s="423">
        <f t="shared" si="21"/>
        <v>0</v>
      </c>
    </row>
    <row r="45" spans="1:14" s="433" customFormat="1" ht="5.0999999999999996" customHeight="1">
      <c r="A45" s="427"/>
      <c r="B45" s="428"/>
      <c r="C45" s="428"/>
      <c r="D45" s="428"/>
      <c r="E45" s="428"/>
      <c r="F45" s="428"/>
      <c r="G45" s="429"/>
      <c r="H45" s="430"/>
      <c r="I45" s="431"/>
      <c r="J45" s="431"/>
      <c r="K45" s="431"/>
      <c r="L45" s="431"/>
      <c r="M45" s="431"/>
      <c r="N45" s="432"/>
    </row>
    <row r="46" spans="1:14" s="353" customFormat="1" ht="15" hidden="1" customHeight="1">
      <c r="A46" s="1035" t="s">
        <v>67</v>
      </c>
      <c r="B46" s="1036"/>
      <c r="C46" s="1035" t="s">
        <v>410</v>
      </c>
      <c r="D46" s="1036"/>
      <c r="E46" s="1024" t="s">
        <v>648</v>
      </c>
      <c r="F46" s="1025"/>
      <c r="G46" s="409" t="s">
        <v>0</v>
      </c>
      <c r="H46" s="410">
        <f t="shared" ref="H46:H115" si="22">I46+L46</f>
        <v>13960000</v>
      </c>
      <c r="I46" s="410">
        <f t="shared" ref="I46:I115" si="23">J46+K46</f>
        <v>13960000</v>
      </c>
      <c r="J46" s="410">
        <v>0</v>
      </c>
      <c r="K46" s="410">
        <v>13960000</v>
      </c>
      <c r="L46" s="410">
        <f t="shared" ref="L46:L72" si="24">M46+N46</f>
        <v>0</v>
      </c>
      <c r="M46" s="410">
        <v>0</v>
      </c>
      <c r="N46" s="410">
        <v>0</v>
      </c>
    </row>
    <row r="47" spans="1:14" s="353" customFormat="1" ht="15" hidden="1" customHeight="1">
      <c r="A47" s="1033"/>
      <c r="B47" s="1073"/>
      <c r="C47" s="1033"/>
      <c r="D47" s="1034"/>
      <c r="E47" s="1026"/>
      <c r="F47" s="1027"/>
      <c r="G47" s="412" t="s">
        <v>1</v>
      </c>
      <c r="H47" s="410">
        <f t="shared" si="22"/>
        <v>0</v>
      </c>
      <c r="I47" s="410">
        <f t="shared" si="23"/>
        <v>0</v>
      </c>
      <c r="J47" s="410">
        <v>0</v>
      </c>
      <c r="K47" s="410">
        <v>0</v>
      </c>
      <c r="L47" s="410">
        <f t="shared" si="24"/>
        <v>0</v>
      </c>
      <c r="M47" s="410">
        <v>0</v>
      </c>
      <c r="N47" s="410">
        <v>0</v>
      </c>
    </row>
    <row r="48" spans="1:14" s="353" customFormat="1" ht="15" hidden="1" customHeight="1">
      <c r="A48" s="1033"/>
      <c r="B48" s="1073"/>
      <c r="C48" s="1033"/>
      <c r="D48" s="1034"/>
      <c r="E48" s="1028"/>
      <c r="F48" s="1029"/>
      <c r="G48" s="412" t="s">
        <v>2</v>
      </c>
      <c r="H48" s="410">
        <f t="shared" si="22"/>
        <v>13960000</v>
      </c>
      <c r="I48" s="410">
        <f t="shared" si="23"/>
        <v>13960000</v>
      </c>
      <c r="J48" s="410">
        <f>J46+J47</f>
        <v>0</v>
      </c>
      <c r="K48" s="410">
        <f>K46+K47</f>
        <v>13960000</v>
      </c>
      <c r="L48" s="410">
        <f t="shared" si="24"/>
        <v>0</v>
      </c>
      <c r="M48" s="410">
        <f>M46+M47</f>
        <v>0</v>
      </c>
      <c r="N48" s="410">
        <f>N46+N47</f>
        <v>0</v>
      </c>
    </row>
    <row r="49" spans="1:14" s="353" customFormat="1" ht="15" hidden="1" customHeight="1">
      <c r="A49" s="1033"/>
      <c r="B49" s="1034"/>
      <c r="C49" s="1033"/>
      <c r="D49" s="1034"/>
      <c r="E49" s="1024" t="s">
        <v>649</v>
      </c>
      <c r="F49" s="1025"/>
      <c r="G49" s="409" t="s">
        <v>0</v>
      </c>
      <c r="H49" s="410">
        <f t="shared" si="22"/>
        <v>35322000</v>
      </c>
      <c r="I49" s="410">
        <f t="shared" si="23"/>
        <v>35322000</v>
      </c>
      <c r="J49" s="410">
        <v>0</v>
      </c>
      <c r="K49" s="410">
        <v>35322000</v>
      </c>
      <c r="L49" s="410">
        <f t="shared" si="24"/>
        <v>0</v>
      </c>
      <c r="M49" s="410">
        <v>0</v>
      </c>
      <c r="N49" s="410">
        <v>0</v>
      </c>
    </row>
    <row r="50" spans="1:14" s="353" customFormat="1" ht="15" hidden="1" customHeight="1">
      <c r="A50" s="1033"/>
      <c r="B50" s="1034"/>
      <c r="C50" s="1033"/>
      <c r="D50" s="1034"/>
      <c r="E50" s="1026"/>
      <c r="F50" s="1027"/>
      <c r="G50" s="412" t="s">
        <v>1</v>
      </c>
      <c r="H50" s="410">
        <f t="shared" si="22"/>
        <v>0</v>
      </c>
      <c r="I50" s="410">
        <f t="shared" si="23"/>
        <v>0</v>
      </c>
      <c r="J50" s="410">
        <v>0</v>
      </c>
      <c r="K50" s="410">
        <v>0</v>
      </c>
      <c r="L50" s="410">
        <f t="shared" si="24"/>
        <v>0</v>
      </c>
      <c r="M50" s="410">
        <v>0</v>
      </c>
      <c r="N50" s="410">
        <v>0</v>
      </c>
    </row>
    <row r="51" spans="1:14" s="353" customFormat="1" ht="15" hidden="1" customHeight="1">
      <c r="A51" s="1033"/>
      <c r="B51" s="1034"/>
      <c r="C51" s="1033"/>
      <c r="D51" s="1034"/>
      <c r="E51" s="1028"/>
      <c r="F51" s="1029"/>
      <c r="G51" s="412" t="s">
        <v>2</v>
      </c>
      <c r="H51" s="410">
        <f t="shared" si="22"/>
        <v>35322000</v>
      </c>
      <c r="I51" s="410">
        <f t="shared" si="23"/>
        <v>35322000</v>
      </c>
      <c r="J51" s="410">
        <f>J49+J50</f>
        <v>0</v>
      </c>
      <c r="K51" s="410">
        <f>K49+K50</f>
        <v>35322000</v>
      </c>
      <c r="L51" s="410">
        <f t="shared" si="24"/>
        <v>0</v>
      </c>
      <c r="M51" s="410">
        <f>M49+M50</f>
        <v>0</v>
      </c>
      <c r="N51" s="410">
        <f>N49+N50</f>
        <v>0</v>
      </c>
    </row>
    <row r="52" spans="1:14" s="353" customFormat="1" ht="14.1" customHeight="1">
      <c r="A52" s="1033" t="s">
        <v>67</v>
      </c>
      <c r="B52" s="1034"/>
      <c r="C52" s="1033" t="s">
        <v>410</v>
      </c>
      <c r="D52" s="1034"/>
      <c r="E52" s="1024" t="s">
        <v>650</v>
      </c>
      <c r="F52" s="1025"/>
      <c r="G52" s="409" t="s">
        <v>0</v>
      </c>
      <c r="H52" s="410">
        <f t="shared" si="22"/>
        <v>4300000</v>
      </c>
      <c r="I52" s="410">
        <f t="shared" si="23"/>
        <v>4300000</v>
      </c>
      <c r="J52" s="410">
        <v>0</v>
      </c>
      <c r="K52" s="410">
        <v>4300000</v>
      </c>
      <c r="L52" s="410">
        <f t="shared" si="24"/>
        <v>0</v>
      </c>
      <c r="M52" s="410">
        <v>0</v>
      </c>
      <c r="N52" s="410">
        <v>0</v>
      </c>
    </row>
    <row r="53" spans="1:14" s="353" customFormat="1" ht="14.1" customHeight="1">
      <c r="A53" s="1033"/>
      <c r="B53" s="1034"/>
      <c r="C53" s="1033"/>
      <c r="D53" s="1034"/>
      <c r="E53" s="1026"/>
      <c r="F53" s="1027"/>
      <c r="G53" s="412" t="s">
        <v>1</v>
      </c>
      <c r="H53" s="410">
        <f t="shared" si="22"/>
        <v>383500</v>
      </c>
      <c r="I53" s="410">
        <f t="shared" si="23"/>
        <v>383500</v>
      </c>
      <c r="J53" s="410">
        <v>0</v>
      </c>
      <c r="K53" s="410">
        <v>383500</v>
      </c>
      <c r="L53" s="410">
        <f t="shared" si="24"/>
        <v>0</v>
      </c>
      <c r="M53" s="410">
        <v>0</v>
      </c>
      <c r="N53" s="410">
        <v>0</v>
      </c>
    </row>
    <row r="54" spans="1:14" s="353" customFormat="1" ht="14.1" customHeight="1">
      <c r="A54" s="1033"/>
      <c r="B54" s="1034"/>
      <c r="C54" s="1033"/>
      <c r="D54" s="1034"/>
      <c r="E54" s="1028"/>
      <c r="F54" s="1029"/>
      <c r="G54" s="412" t="s">
        <v>2</v>
      </c>
      <c r="H54" s="410">
        <f t="shared" si="22"/>
        <v>4683500</v>
      </c>
      <c r="I54" s="410">
        <f t="shared" si="23"/>
        <v>4683500</v>
      </c>
      <c r="J54" s="410">
        <f>J52+J53</f>
        <v>0</v>
      </c>
      <c r="K54" s="410">
        <f>K52+K53</f>
        <v>4683500</v>
      </c>
      <c r="L54" s="410">
        <f t="shared" si="24"/>
        <v>0</v>
      </c>
      <c r="M54" s="410">
        <f>M52+M53</f>
        <v>0</v>
      </c>
      <c r="N54" s="410">
        <f>N52+N53</f>
        <v>0</v>
      </c>
    </row>
    <row r="55" spans="1:14" s="353" customFormat="1" ht="15" hidden="1" customHeight="1">
      <c r="A55" s="1033"/>
      <c r="B55" s="1034"/>
      <c r="C55" s="1035" t="s">
        <v>531</v>
      </c>
      <c r="D55" s="1036"/>
      <c r="E55" s="1024" t="s">
        <v>651</v>
      </c>
      <c r="F55" s="1025"/>
      <c r="G55" s="409" t="s">
        <v>0</v>
      </c>
      <c r="H55" s="410">
        <f t="shared" si="22"/>
        <v>17352000</v>
      </c>
      <c r="I55" s="410">
        <f t="shared" si="23"/>
        <v>17352000</v>
      </c>
      <c r="J55" s="410">
        <v>0</v>
      </c>
      <c r="K55" s="410">
        <v>17352000</v>
      </c>
      <c r="L55" s="410">
        <f t="shared" si="24"/>
        <v>0</v>
      </c>
      <c r="M55" s="410">
        <v>0</v>
      </c>
      <c r="N55" s="410">
        <v>0</v>
      </c>
    </row>
    <row r="56" spans="1:14" s="353" customFormat="1" ht="15" hidden="1" customHeight="1">
      <c r="A56" s="1033"/>
      <c r="B56" s="1034"/>
      <c r="C56" s="1033"/>
      <c r="D56" s="1030"/>
      <c r="E56" s="1026"/>
      <c r="F56" s="1027"/>
      <c r="G56" s="412" t="s">
        <v>1</v>
      </c>
      <c r="H56" s="410">
        <f t="shared" si="22"/>
        <v>0</v>
      </c>
      <c r="I56" s="410">
        <f t="shared" si="23"/>
        <v>0</v>
      </c>
      <c r="J56" s="410">
        <v>0</v>
      </c>
      <c r="K56" s="410">
        <v>0</v>
      </c>
      <c r="L56" s="410">
        <f t="shared" si="24"/>
        <v>0</v>
      </c>
      <c r="M56" s="410">
        <v>0</v>
      </c>
      <c r="N56" s="410">
        <v>0</v>
      </c>
    </row>
    <row r="57" spans="1:14" s="353" customFormat="1" ht="15" hidden="1" customHeight="1">
      <c r="A57" s="1033"/>
      <c r="B57" s="1034"/>
      <c r="C57" s="1039"/>
      <c r="D57" s="1032"/>
      <c r="E57" s="1028"/>
      <c r="F57" s="1029"/>
      <c r="G57" s="412" t="s">
        <v>2</v>
      </c>
      <c r="H57" s="410">
        <f t="shared" si="22"/>
        <v>17352000</v>
      </c>
      <c r="I57" s="410">
        <f t="shared" si="23"/>
        <v>17352000</v>
      </c>
      <c r="J57" s="410">
        <f>J55+J56</f>
        <v>0</v>
      </c>
      <c r="K57" s="410">
        <f>K55+K56</f>
        <v>17352000</v>
      </c>
      <c r="L57" s="410">
        <f t="shared" si="24"/>
        <v>0</v>
      </c>
      <c r="M57" s="410">
        <f>M55+M56</f>
        <v>0</v>
      </c>
      <c r="N57" s="410">
        <f>N55+N56</f>
        <v>0</v>
      </c>
    </row>
    <row r="58" spans="1:14" s="353" customFormat="1" ht="15" hidden="1" customHeight="1">
      <c r="A58" s="1033"/>
      <c r="B58" s="1034"/>
      <c r="C58" s="1035" t="s">
        <v>418</v>
      </c>
      <c r="D58" s="1036"/>
      <c r="E58" s="1024" t="s">
        <v>652</v>
      </c>
      <c r="F58" s="1025"/>
      <c r="G58" s="409" t="s">
        <v>0</v>
      </c>
      <c r="H58" s="410">
        <f t="shared" si="22"/>
        <v>3852000</v>
      </c>
      <c r="I58" s="410">
        <f t="shared" si="23"/>
        <v>3852000</v>
      </c>
      <c r="J58" s="410">
        <v>0</v>
      </c>
      <c r="K58" s="410">
        <v>3852000</v>
      </c>
      <c r="L58" s="410">
        <f t="shared" si="24"/>
        <v>0</v>
      </c>
      <c r="M58" s="410">
        <v>0</v>
      </c>
      <c r="N58" s="410">
        <v>0</v>
      </c>
    </row>
    <row r="59" spans="1:14" s="353" customFormat="1" ht="15" hidden="1" customHeight="1">
      <c r="A59" s="1033"/>
      <c r="B59" s="1034"/>
      <c r="C59" s="1033"/>
      <c r="D59" s="1030"/>
      <c r="E59" s="1026"/>
      <c r="F59" s="1027"/>
      <c r="G59" s="412" t="s">
        <v>1</v>
      </c>
      <c r="H59" s="410">
        <f t="shared" si="22"/>
        <v>0</v>
      </c>
      <c r="I59" s="410">
        <f t="shared" si="23"/>
        <v>0</v>
      </c>
      <c r="J59" s="410">
        <v>0</v>
      </c>
      <c r="K59" s="410">
        <v>0</v>
      </c>
      <c r="L59" s="410">
        <f t="shared" si="24"/>
        <v>0</v>
      </c>
      <c r="M59" s="410">
        <v>0</v>
      </c>
      <c r="N59" s="410">
        <v>0</v>
      </c>
    </row>
    <row r="60" spans="1:14" s="353" customFormat="1" ht="15" hidden="1" customHeight="1">
      <c r="A60" s="1033"/>
      <c r="B60" s="1034"/>
      <c r="C60" s="1033"/>
      <c r="D60" s="1030"/>
      <c r="E60" s="1028"/>
      <c r="F60" s="1029"/>
      <c r="G60" s="412" t="s">
        <v>2</v>
      </c>
      <c r="H60" s="410">
        <f t="shared" si="22"/>
        <v>3852000</v>
      </c>
      <c r="I60" s="410">
        <f t="shared" si="23"/>
        <v>3852000</v>
      </c>
      <c r="J60" s="410">
        <f>J58+J59</f>
        <v>0</v>
      </c>
      <c r="K60" s="410">
        <f>K58+K59</f>
        <v>3852000</v>
      </c>
      <c r="L60" s="410">
        <f t="shared" si="24"/>
        <v>0</v>
      </c>
      <c r="M60" s="410">
        <f>M58+M59</f>
        <v>0</v>
      </c>
      <c r="N60" s="410">
        <f>N58+N59</f>
        <v>0</v>
      </c>
    </row>
    <row r="61" spans="1:14" s="353" customFormat="1" ht="14.1" customHeight="1">
      <c r="A61" s="1033"/>
      <c r="B61" s="1034"/>
      <c r="C61" s="1035" t="s">
        <v>418</v>
      </c>
      <c r="D61" s="1036"/>
      <c r="E61" s="1024" t="s">
        <v>653</v>
      </c>
      <c r="F61" s="1025"/>
      <c r="G61" s="409" t="s">
        <v>0</v>
      </c>
      <c r="H61" s="410">
        <f t="shared" si="22"/>
        <v>5122000</v>
      </c>
      <c r="I61" s="410">
        <f t="shared" si="23"/>
        <v>5122000</v>
      </c>
      <c r="J61" s="410">
        <v>0</v>
      </c>
      <c r="K61" s="410">
        <v>5122000</v>
      </c>
      <c r="L61" s="410">
        <f t="shared" si="24"/>
        <v>0</v>
      </c>
      <c r="M61" s="410">
        <v>0</v>
      </c>
      <c r="N61" s="410">
        <v>0</v>
      </c>
    </row>
    <row r="62" spans="1:14" s="353" customFormat="1" ht="14.1" customHeight="1">
      <c r="A62" s="1033"/>
      <c r="B62" s="1034"/>
      <c r="C62" s="1033"/>
      <c r="D62" s="1030"/>
      <c r="E62" s="1026"/>
      <c r="F62" s="1027"/>
      <c r="G62" s="412" t="s">
        <v>1</v>
      </c>
      <c r="H62" s="410">
        <f t="shared" si="22"/>
        <v>23802</v>
      </c>
      <c r="I62" s="410">
        <f t="shared" si="23"/>
        <v>23802</v>
      </c>
      <c r="J62" s="410">
        <v>0</v>
      </c>
      <c r="K62" s="410">
        <v>23802</v>
      </c>
      <c r="L62" s="410">
        <f t="shared" si="24"/>
        <v>0</v>
      </c>
      <c r="M62" s="410">
        <v>0</v>
      </c>
      <c r="N62" s="410">
        <v>0</v>
      </c>
    </row>
    <row r="63" spans="1:14" s="353" customFormat="1" ht="14.1" customHeight="1">
      <c r="A63" s="1033"/>
      <c r="B63" s="1034"/>
      <c r="C63" s="1033"/>
      <c r="D63" s="1030"/>
      <c r="E63" s="1028"/>
      <c r="F63" s="1029"/>
      <c r="G63" s="412" t="s">
        <v>2</v>
      </c>
      <c r="H63" s="410">
        <f t="shared" si="22"/>
        <v>5145802</v>
      </c>
      <c r="I63" s="410">
        <f t="shared" si="23"/>
        <v>5145802</v>
      </c>
      <c r="J63" s="410">
        <f>J61+J62</f>
        <v>0</v>
      </c>
      <c r="K63" s="410">
        <f>K61+K62</f>
        <v>5145802</v>
      </c>
      <c r="L63" s="410">
        <f t="shared" si="24"/>
        <v>0</v>
      </c>
      <c r="M63" s="410">
        <f>M61+M62</f>
        <v>0</v>
      </c>
      <c r="N63" s="410">
        <f>N61+N62</f>
        <v>0</v>
      </c>
    </row>
    <row r="64" spans="1:14" s="353" customFormat="1" ht="14.1" customHeight="1">
      <c r="A64" s="1033"/>
      <c r="B64" s="1034"/>
      <c r="C64" s="1033"/>
      <c r="D64" s="1034"/>
      <c r="E64" s="1024" t="s">
        <v>654</v>
      </c>
      <c r="F64" s="1025"/>
      <c r="G64" s="409" t="s">
        <v>0</v>
      </c>
      <c r="H64" s="410">
        <f t="shared" si="22"/>
        <v>2667000</v>
      </c>
      <c r="I64" s="410">
        <f t="shared" si="23"/>
        <v>2667000</v>
      </c>
      <c r="J64" s="410">
        <v>0</v>
      </c>
      <c r="K64" s="410">
        <v>2667000</v>
      </c>
      <c r="L64" s="410">
        <f t="shared" si="24"/>
        <v>0</v>
      </c>
      <c r="M64" s="410">
        <v>0</v>
      </c>
      <c r="N64" s="410">
        <v>0</v>
      </c>
    </row>
    <row r="65" spans="1:14" s="353" customFormat="1" ht="14.1" customHeight="1">
      <c r="A65" s="1033"/>
      <c r="B65" s="1034"/>
      <c r="C65" s="1033"/>
      <c r="D65" s="1030"/>
      <c r="E65" s="1026"/>
      <c r="F65" s="1027"/>
      <c r="G65" s="412" t="s">
        <v>1</v>
      </c>
      <c r="H65" s="410">
        <f t="shared" si="22"/>
        <v>246979</v>
      </c>
      <c r="I65" s="410">
        <f t="shared" si="23"/>
        <v>246979</v>
      </c>
      <c r="J65" s="410">
        <v>0</v>
      </c>
      <c r="K65" s="410">
        <v>246979</v>
      </c>
      <c r="L65" s="410">
        <f t="shared" si="24"/>
        <v>0</v>
      </c>
      <c r="M65" s="410">
        <v>0</v>
      </c>
      <c r="N65" s="410">
        <v>0</v>
      </c>
    </row>
    <row r="66" spans="1:14" s="353" customFormat="1" ht="14.1" customHeight="1">
      <c r="A66" s="1033"/>
      <c r="B66" s="1034"/>
      <c r="C66" s="1033"/>
      <c r="D66" s="1030"/>
      <c r="E66" s="1028"/>
      <c r="F66" s="1029"/>
      <c r="G66" s="412" t="s">
        <v>2</v>
      </c>
      <c r="H66" s="410">
        <f t="shared" si="22"/>
        <v>2913979</v>
      </c>
      <c r="I66" s="410">
        <f t="shared" si="23"/>
        <v>2913979</v>
      </c>
      <c r="J66" s="410">
        <f>J64+J65</f>
        <v>0</v>
      </c>
      <c r="K66" s="410">
        <f>K64+K65</f>
        <v>2913979</v>
      </c>
      <c r="L66" s="410">
        <f t="shared" si="24"/>
        <v>0</v>
      </c>
      <c r="M66" s="410">
        <f>M64+M65</f>
        <v>0</v>
      </c>
      <c r="N66" s="410">
        <f>N64+N65</f>
        <v>0</v>
      </c>
    </row>
    <row r="67" spans="1:14" s="434" customFormat="1" ht="14.1" customHeight="1">
      <c r="A67" s="1022"/>
      <c r="B67" s="1023"/>
      <c r="C67" s="1022"/>
      <c r="D67" s="1023"/>
      <c r="E67" s="1024" t="s">
        <v>655</v>
      </c>
      <c r="F67" s="1025"/>
      <c r="G67" s="409" t="s">
        <v>0</v>
      </c>
      <c r="H67" s="410">
        <f t="shared" si="22"/>
        <v>2352000</v>
      </c>
      <c r="I67" s="410">
        <f t="shared" si="23"/>
        <v>2352000</v>
      </c>
      <c r="J67" s="410">
        <v>0</v>
      </c>
      <c r="K67" s="410">
        <v>2352000</v>
      </c>
      <c r="L67" s="410">
        <f t="shared" si="24"/>
        <v>0</v>
      </c>
      <c r="M67" s="410">
        <v>0</v>
      </c>
      <c r="N67" s="410">
        <v>0</v>
      </c>
    </row>
    <row r="68" spans="1:14" s="434" customFormat="1" ht="14.1" customHeight="1">
      <c r="A68" s="1022"/>
      <c r="B68" s="1023"/>
      <c r="C68" s="1022"/>
      <c r="D68" s="1030"/>
      <c r="E68" s="1026"/>
      <c r="F68" s="1027"/>
      <c r="G68" s="412" t="s">
        <v>1</v>
      </c>
      <c r="H68" s="410">
        <f t="shared" si="22"/>
        <v>280000</v>
      </c>
      <c r="I68" s="410">
        <f t="shared" si="23"/>
        <v>280000</v>
      </c>
      <c r="J68" s="410">
        <v>0</v>
      </c>
      <c r="K68" s="410">
        <v>280000</v>
      </c>
      <c r="L68" s="410">
        <f t="shared" si="24"/>
        <v>0</v>
      </c>
      <c r="M68" s="410">
        <v>0</v>
      </c>
      <c r="N68" s="410">
        <v>0</v>
      </c>
    </row>
    <row r="69" spans="1:14" s="434" customFormat="1" ht="14.1" customHeight="1">
      <c r="A69" s="1022"/>
      <c r="B69" s="1023"/>
      <c r="C69" s="1022"/>
      <c r="D69" s="1030"/>
      <c r="E69" s="1028"/>
      <c r="F69" s="1029"/>
      <c r="G69" s="412" t="s">
        <v>2</v>
      </c>
      <c r="H69" s="410">
        <f t="shared" si="22"/>
        <v>2632000</v>
      </c>
      <c r="I69" s="410">
        <f t="shared" si="23"/>
        <v>2632000</v>
      </c>
      <c r="J69" s="410">
        <f>J67+J68</f>
        <v>0</v>
      </c>
      <c r="K69" s="410">
        <f>K67+K68</f>
        <v>2632000</v>
      </c>
      <c r="L69" s="410">
        <f t="shared" si="24"/>
        <v>0</v>
      </c>
      <c r="M69" s="410">
        <f>M67+M68</f>
        <v>0</v>
      </c>
      <c r="N69" s="410">
        <f>N67+N68</f>
        <v>0</v>
      </c>
    </row>
    <row r="70" spans="1:14" s="353" customFormat="1" ht="15" hidden="1" customHeight="1">
      <c r="A70" s="1033"/>
      <c r="B70" s="1034"/>
      <c r="C70" s="1033"/>
      <c r="D70" s="1030"/>
      <c r="E70" s="1024" t="s">
        <v>656</v>
      </c>
      <c r="F70" s="1025"/>
      <c r="G70" s="409" t="s">
        <v>0</v>
      </c>
      <c r="H70" s="410">
        <f t="shared" si="22"/>
        <v>1609000</v>
      </c>
      <c r="I70" s="410">
        <f t="shared" si="23"/>
        <v>1609000</v>
      </c>
      <c r="J70" s="410">
        <f>J73+J76</f>
        <v>0</v>
      </c>
      <c r="K70" s="410">
        <f>K73+K76</f>
        <v>1609000</v>
      </c>
      <c r="L70" s="410">
        <f t="shared" si="24"/>
        <v>0</v>
      </c>
      <c r="M70" s="410">
        <f>M73+M76</f>
        <v>0</v>
      </c>
      <c r="N70" s="410">
        <f>N73+N76</f>
        <v>0</v>
      </c>
    </row>
    <row r="71" spans="1:14" s="353" customFormat="1" ht="15" hidden="1" customHeight="1">
      <c r="A71" s="1033"/>
      <c r="B71" s="1034"/>
      <c r="C71" s="1048"/>
      <c r="D71" s="1030"/>
      <c r="E71" s="1026"/>
      <c r="F71" s="1027"/>
      <c r="G71" s="412" t="s">
        <v>1</v>
      </c>
      <c r="H71" s="410">
        <f t="shared" si="22"/>
        <v>0</v>
      </c>
      <c r="I71" s="410">
        <f t="shared" si="23"/>
        <v>0</v>
      </c>
      <c r="J71" s="410">
        <f t="shared" ref="J71:K72" si="25">J74+J77</f>
        <v>0</v>
      </c>
      <c r="K71" s="410">
        <f t="shared" si="25"/>
        <v>0</v>
      </c>
      <c r="L71" s="410">
        <f t="shared" si="24"/>
        <v>0</v>
      </c>
      <c r="M71" s="410">
        <f t="shared" ref="M71:N72" si="26">M74+M77</f>
        <v>0</v>
      </c>
      <c r="N71" s="410">
        <f t="shared" si="26"/>
        <v>0</v>
      </c>
    </row>
    <row r="72" spans="1:14" s="353" customFormat="1" ht="15" hidden="1" customHeight="1">
      <c r="A72" s="1033"/>
      <c r="B72" s="1034"/>
      <c r="C72" s="1048"/>
      <c r="D72" s="1030"/>
      <c r="E72" s="1028"/>
      <c r="F72" s="1029"/>
      <c r="G72" s="412" t="s">
        <v>2</v>
      </c>
      <c r="H72" s="410">
        <f t="shared" si="22"/>
        <v>1609000</v>
      </c>
      <c r="I72" s="410">
        <f t="shared" si="23"/>
        <v>1609000</v>
      </c>
      <c r="J72" s="410">
        <f t="shared" si="25"/>
        <v>0</v>
      </c>
      <c r="K72" s="410">
        <f t="shared" si="25"/>
        <v>1609000</v>
      </c>
      <c r="L72" s="410">
        <f t="shared" si="24"/>
        <v>0</v>
      </c>
      <c r="M72" s="410">
        <f t="shared" si="26"/>
        <v>0</v>
      </c>
      <c r="N72" s="410">
        <f t="shared" si="26"/>
        <v>0</v>
      </c>
    </row>
    <row r="73" spans="1:14" s="438" customFormat="1" ht="15" hidden="1" customHeight="1">
      <c r="A73" s="1082"/>
      <c r="B73" s="1083"/>
      <c r="C73" s="1082"/>
      <c r="D73" s="1083"/>
      <c r="E73" s="1046" t="s">
        <v>657</v>
      </c>
      <c r="F73" s="1084"/>
      <c r="G73" s="435" t="s">
        <v>0</v>
      </c>
      <c r="H73" s="436">
        <f t="shared" si="22"/>
        <v>1518707</v>
      </c>
      <c r="I73" s="436">
        <f t="shared" si="23"/>
        <v>1518707</v>
      </c>
      <c r="J73" s="436">
        <v>0</v>
      </c>
      <c r="K73" s="436">
        <v>1518707</v>
      </c>
      <c r="L73" s="437">
        <f>M73+N73</f>
        <v>0</v>
      </c>
      <c r="M73" s="436">
        <v>0</v>
      </c>
      <c r="N73" s="436">
        <v>0</v>
      </c>
    </row>
    <row r="74" spans="1:14" s="438" customFormat="1" ht="15" hidden="1" customHeight="1">
      <c r="A74" s="1082"/>
      <c r="B74" s="1083"/>
      <c r="C74" s="1082"/>
      <c r="D74" s="1030"/>
      <c r="E74" s="1026"/>
      <c r="F74" s="1027"/>
      <c r="G74" s="439" t="s">
        <v>1</v>
      </c>
      <c r="H74" s="436">
        <f t="shared" si="22"/>
        <v>0</v>
      </c>
      <c r="I74" s="436">
        <f t="shared" si="23"/>
        <v>0</v>
      </c>
      <c r="J74" s="436">
        <v>0</v>
      </c>
      <c r="K74" s="436">
        <v>0</v>
      </c>
      <c r="L74" s="437">
        <f t="shared" ref="L74:L75" si="27">M74+N74</f>
        <v>0</v>
      </c>
      <c r="M74" s="436">
        <v>0</v>
      </c>
      <c r="N74" s="436">
        <v>0</v>
      </c>
    </row>
    <row r="75" spans="1:14" s="438" customFormat="1" ht="15" hidden="1" customHeight="1">
      <c r="A75" s="1082"/>
      <c r="B75" s="1083"/>
      <c r="C75" s="1048"/>
      <c r="D75" s="1030"/>
      <c r="E75" s="1028"/>
      <c r="F75" s="1029"/>
      <c r="G75" s="439" t="s">
        <v>2</v>
      </c>
      <c r="H75" s="437">
        <f t="shared" si="22"/>
        <v>1518707</v>
      </c>
      <c r="I75" s="437">
        <f t="shared" si="23"/>
        <v>1518707</v>
      </c>
      <c r="J75" s="437">
        <f>J73+J74</f>
        <v>0</v>
      </c>
      <c r="K75" s="437">
        <f>K73+K74</f>
        <v>1518707</v>
      </c>
      <c r="L75" s="437">
        <f t="shared" si="27"/>
        <v>0</v>
      </c>
      <c r="M75" s="437">
        <f>M73+M74</f>
        <v>0</v>
      </c>
      <c r="N75" s="437">
        <f>N73+N74</f>
        <v>0</v>
      </c>
    </row>
    <row r="76" spans="1:14" s="438" customFormat="1" ht="15" hidden="1" customHeight="1">
      <c r="A76" s="1082"/>
      <c r="B76" s="1083"/>
      <c r="C76" s="1082"/>
      <c r="D76" s="1083"/>
      <c r="E76" s="1046" t="s">
        <v>658</v>
      </c>
      <c r="F76" s="1084"/>
      <c r="G76" s="435" t="s">
        <v>0</v>
      </c>
      <c r="H76" s="437">
        <f t="shared" si="22"/>
        <v>90293</v>
      </c>
      <c r="I76" s="437">
        <f t="shared" si="23"/>
        <v>90293</v>
      </c>
      <c r="J76" s="437">
        <v>0</v>
      </c>
      <c r="K76" s="437">
        <v>90293</v>
      </c>
      <c r="L76" s="437">
        <f>M76+N76</f>
        <v>0</v>
      </c>
      <c r="M76" s="437">
        <v>0</v>
      </c>
      <c r="N76" s="437">
        <v>0</v>
      </c>
    </row>
    <row r="77" spans="1:14" s="438" customFormat="1" ht="15" hidden="1" customHeight="1">
      <c r="A77" s="1082"/>
      <c r="B77" s="1083"/>
      <c r="C77" s="1082"/>
      <c r="D77" s="1030"/>
      <c r="E77" s="1026"/>
      <c r="F77" s="1027"/>
      <c r="G77" s="439" t="s">
        <v>1</v>
      </c>
      <c r="H77" s="437">
        <f t="shared" si="22"/>
        <v>0</v>
      </c>
      <c r="I77" s="437">
        <f t="shared" si="23"/>
        <v>0</v>
      </c>
      <c r="J77" s="437">
        <v>0</v>
      </c>
      <c r="K77" s="437">
        <v>0</v>
      </c>
      <c r="L77" s="437">
        <f t="shared" ref="L77:L117" si="28">M77+N77</f>
        <v>0</v>
      </c>
      <c r="M77" s="437">
        <v>0</v>
      </c>
      <c r="N77" s="437">
        <v>0</v>
      </c>
    </row>
    <row r="78" spans="1:14" s="438" customFormat="1" ht="15" hidden="1" customHeight="1">
      <c r="A78" s="1082"/>
      <c r="B78" s="1083"/>
      <c r="C78" s="1048"/>
      <c r="D78" s="1030"/>
      <c r="E78" s="1028"/>
      <c r="F78" s="1029"/>
      <c r="G78" s="439" t="s">
        <v>2</v>
      </c>
      <c r="H78" s="437">
        <f t="shared" si="22"/>
        <v>90293</v>
      </c>
      <c r="I78" s="437">
        <f t="shared" si="23"/>
        <v>90293</v>
      </c>
      <c r="J78" s="437">
        <f>J76+J77</f>
        <v>0</v>
      </c>
      <c r="K78" s="437">
        <f>K76+K77</f>
        <v>90293</v>
      </c>
      <c r="L78" s="437">
        <f t="shared" si="28"/>
        <v>0</v>
      </c>
      <c r="M78" s="437">
        <f>M76+M77</f>
        <v>0</v>
      </c>
      <c r="N78" s="437">
        <f>N76+N77</f>
        <v>0</v>
      </c>
    </row>
    <row r="79" spans="1:14" s="353" customFormat="1" ht="14.1" customHeight="1">
      <c r="A79" s="1033"/>
      <c r="B79" s="1034"/>
      <c r="C79" s="1033"/>
      <c r="D79" s="1034"/>
      <c r="E79" s="1024" t="s">
        <v>659</v>
      </c>
      <c r="F79" s="1025"/>
      <c r="G79" s="409" t="s">
        <v>0</v>
      </c>
      <c r="H79" s="410">
        <f t="shared" si="22"/>
        <v>2547000</v>
      </c>
      <c r="I79" s="410">
        <f t="shared" si="23"/>
        <v>2547000</v>
      </c>
      <c r="J79" s="410">
        <v>0</v>
      </c>
      <c r="K79" s="410">
        <v>2547000</v>
      </c>
      <c r="L79" s="410">
        <f t="shared" si="28"/>
        <v>0</v>
      </c>
      <c r="M79" s="410">
        <v>0</v>
      </c>
      <c r="N79" s="410">
        <v>0</v>
      </c>
    </row>
    <row r="80" spans="1:14" s="353" customFormat="1" ht="14.1" customHeight="1">
      <c r="A80" s="1033"/>
      <c r="B80" s="1034"/>
      <c r="C80" s="1033"/>
      <c r="D80" s="1030"/>
      <c r="E80" s="1026"/>
      <c r="F80" s="1027"/>
      <c r="G80" s="412" t="s">
        <v>1</v>
      </c>
      <c r="H80" s="410">
        <f t="shared" si="22"/>
        <v>7914</v>
      </c>
      <c r="I80" s="410">
        <f t="shared" si="23"/>
        <v>7914</v>
      </c>
      <c r="J80" s="410">
        <v>0</v>
      </c>
      <c r="K80" s="410">
        <v>7914</v>
      </c>
      <c r="L80" s="410">
        <f t="shared" si="28"/>
        <v>0</v>
      </c>
      <c r="M80" s="410">
        <v>0</v>
      </c>
      <c r="N80" s="410">
        <v>0</v>
      </c>
    </row>
    <row r="81" spans="1:14" s="353" customFormat="1" ht="14.1" customHeight="1">
      <c r="A81" s="1033"/>
      <c r="B81" s="1034"/>
      <c r="C81" s="1086"/>
      <c r="D81" s="1032"/>
      <c r="E81" s="1028"/>
      <c r="F81" s="1029"/>
      <c r="G81" s="412" t="s">
        <v>2</v>
      </c>
      <c r="H81" s="410">
        <f t="shared" si="22"/>
        <v>2554914</v>
      </c>
      <c r="I81" s="410">
        <f t="shared" si="23"/>
        <v>2554914</v>
      </c>
      <c r="J81" s="410">
        <f>J79+J80</f>
        <v>0</v>
      </c>
      <c r="K81" s="410">
        <f>K79+K80</f>
        <v>2554914</v>
      </c>
      <c r="L81" s="410">
        <f t="shared" si="28"/>
        <v>0</v>
      </c>
      <c r="M81" s="410">
        <f>M79+M80</f>
        <v>0</v>
      </c>
      <c r="N81" s="410">
        <f>N79+N80</f>
        <v>0</v>
      </c>
    </row>
    <row r="82" spans="1:14" s="353" customFormat="1" ht="14.1" customHeight="1">
      <c r="A82" s="1033"/>
      <c r="B82" s="1034"/>
      <c r="C82" s="1035" t="s">
        <v>425</v>
      </c>
      <c r="D82" s="1036"/>
      <c r="E82" s="1024" t="s">
        <v>660</v>
      </c>
      <c r="F82" s="1025"/>
      <c r="G82" s="409" t="s">
        <v>0</v>
      </c>
      <c r="H82" s="410">
        <f t="shared" si="22"/>
        <v>2339000</v>
      </c>
      <c r="I82" s="410">
        <f t="shared" si="23"/>
        <v>2339000</v>
      </c>
      <c r="J82" s="410">
        <v>0</v>
      </c>
      <c r="K82" s="410">
        <v>2339000</v>
      </c>
      <c r="L82" s="410">
        <f t="shared" si="28"/>
        <v>0</v>
      </c>
      <c r="M82" s="410">
        <v>0</v>
      </c>
      <c r="N82" s="410">
        <v>0</v>
      </c>
    </row>
    <row r="83" spans="1:14" s="353" customFormat="1" ht="14.1" customHeight="1">
      <c r="A83" s="1033"/>
      <c r="B83" s="1034"/>
      <c r="C83" s="1033"/>
      <c r="D83" s="1030"/>
      <c r="E83" s="1026"/>
      <c r="F83" s="1027"/>
      <c r="G83" s="412" t="s">
        <v>1</v>
      </c>
      <c r="H83" s="410">
        <f t="shared" si="22"/>
        <v>17422</v>
      </c>
      <c r="I83" s="410">
        <f t="shared" si="23"/>
        <v>17422</v>
      </c>
      <c r="J83" s="410">
        <v>0</v>
      </c>
      <c r="K83" s="410">
        <v>17422</v>
      </c>
      <c r="L83" s="410">
        <f t="shared" si="28"/>
        <v>0</v>
      </c>
      <c r="M83" s="410">
        <v>0</v>
      </c>
      <c r="N83" s="410">
        <v>0</v>
      </c>
    </row>
    <row r="84" spans="1:14" s="353" customFormat="1" ht="14.1" customHeight="1">
      <c r="A84" s="1033"/>
      <c r="B84" s="1034"/>
      <c r="C84" s="1048"/>
      <c r="D84" s="1030"/>
      <c r="E84" s="1028"/>
      <c r="F84" s="1029"/>
      <c r="G84" s="412" t="s">
        <v>2</v>
      </c>
      <c r="H84" s="410">
        <f t="shared" si="22"/>
        <v>2356422</v>
      </c>
      <c r="I84" s="410">
        <f t="shared" si="23"/>
        <v>2356422</v>
      </c>
      <c r="J84" s="410">
        <f>J82+J83</f>
        <v>0</v>
      </c>
      <c r="K84" s="410">
        <f>K82+K83</f>
        <v>2356422</v>
      </c>
      <c r="L84" s="410">
        <f t="shared" si="28"/>
        <v>0</v>
      </c>
      <c r="M84" s="410">
        <f>M82+M83</f>
        <v>0</v>
      </c>
      <c r="N84" s="410">
        <f>N82+N83</f>
        <v>0</v>
      </c>
    </row>
    <row r="85" spans="1:14" s="353" customFormat="1" ht="15" hidden="1" customHeight="1">
      <c r="A85" s="1033"/>
      <c r="B85" s="1034"/>
      <c r="C85" s="1033"/>
      <c r="D85" s="1034"/>
      <c r="E85" s="1024" t="s">
        <v>661</v>
      </c>
      <c r="F85" s="1025"/>
      <c r="G85" s="409" t="s">
        <v>0</v>
      </c>
      <c r="H85" s="410">
        <f t="shared" si="22"/>
        <v>2744000</v>
      </c>
      <c r="I85" s="410">
        <f t="shared" si="23"/>
        <v>2744000</v>
      </c>
      <c r="J85" s="410">
        <v>0</v>
      </c>
      <c r="K85" s="410">
        <v>2744000</v>
      </c>
      <c r="L85" s="410">
        <f t="shared" si="28"/>
        <v>0</v>
      </c>
      <c r="M85" s="410">
        <v>0</v>
      </c>
      <c r="N85" s="410">
        <v>0</v>
      </c>
    </row>
    <row r="86" spans="1:14" s="353" customFormat="1" ht="15" hidden="1" customHeight="1">
      <c r="A86" s="1033"/>
      <c r="B86" s="1034"/>
      <c r="C86" s="1033"/>
      <c r="D86" s="1030"/>
      <c r="E86" s="1026"/>
      <c r="F86" s="1027"/>
      <c r="G86" s="412" t="s">
        <v>1</v>
      </c>
      <c r="H86" s="410">
        <f t="shared" si="22"/>
        <v>0</v>
      </c>
      <c r="I86" s="410">
        <f t="shared" si="23"/>
        <v>0</v>
      </c>
      <c r="J86" s="410">
        <v>0</v>
      </c>
      <c r="K86" s="410">
        <v>0</v>
      </c>
      <c r="L86" s="410">
        <f t="shared" si="28"/>
        <v>0</v>
      </c>
      <c r="M86" s="410">
        <v>0</v>
      </c>
      <c r="N86" s="410">
        <v>0</v>
      </c>
    </row>
    <row r="87" spans="1:14" s="353" customFormat="1" ht="15" hidden="1" customHeight="1">
      <c r="A87" s="1033"/>
      <c r="B87" s="1034"/>
      <c r="C87" s="1039"/>
      <c r="D87" s="1032"/>
      <c r="E87" s="1028"/>
      <c r="F87" s="1029"/>
      <c r="G87" s="412" t="s">
        <v>2</v>
      </c>
      <c r="H87" s="410">
        <f t="shared" si="22"/>
        <v>2744000</v>
      </c>
      <c r="I87" s="410">
        <f t="shared" si="23"/>
        <v>2744000</v>
      </c>
      <c r="J87" s="410">
        <f>J85+J86</f>
        <v>0</v>
      </c>
      <c r="K87" s="410">
        <f>K85+K86</f>
        <v>2744000</v>
      </c>
      <c r="L87" s="410">
        <f t="shared" si="28"/>
        <v>0</v>
      </c>
      <c r="M87" s="410">
        <f>M85+M86</f>
        <v>0</v>
      </c>
      <c r="N87" s="410">
        <f>N85+N86</f>
        <v>0</v>
      </c>
    </row>
    <row r="88" spans="1:14" s="353" customFormat="1" ht="13.7" hidden="1" customHeight="1">
      <c r="A88" s="1033"/>
      <c r="B88" s="1034"/>
      <c r="C88" s="1035" t="s">
        <v>662</v>
      </c>
      <c r="D88" s="1036"/>
      <c r="E88" s="1024" t="s">
        <v>663</v>
      </c>
      <c r="F88" s="1025"/>
      <c r="G88" s="409" t="s">
        <v>0</v>
      </c>
      <c r="H88" s="410">
        <f t="shared" si="22"/>
        <v>2000000</v>
      </c>
      <c r="I88" s="410">
        <f t="shared" si="23"/>
        <v>2000000</v>
      </c>
      <c r="J88" s="410">
        <v>0</v>
      </c>
      <c r="K88" s="410">
        <v>2000000</v>
      </c>
      <c r="L88" s="410">
        <f t="shared" si="28"/>
        <v>0</v>
      </c>
      <c r="M88" s="410">
        <v>0</v>
      </c>
      <c r="N88" s="410">
        <v>0</v>
      </c>
    </row>
    <row r="89" spans="1:14" s="353" customFormat="1" ht="13.7" hidden="1" customHeight="1">
      <c r="A89" s="1033"/>
      <c r="B89" s="1034"/>
      <c r="C89" s="1033"/>
      <c r="D89" s="1073"/>
      <c r="E89" s="1026"/>
      <c r="F89" s="1027"/>
      <c r="G89" s="412" t="s">
        <v>1</v>
      </c>
      <c r="H89" s="410">
        <f t="shared" si="22"/>
        <v>0</v>
      </c>
      <c r="I89" s="410">
        <f t="shared" si="23"/>
        <v>0</v>
      </c>
      <c r="J89" s="410">
        <v>0</v>
      </c>
      <c r="K89" s="410">
        <v>0</v>
      </c>
      <c r="L89" s="410">
        <f t="shared" si="28"/>
        <v>0</v>
      </c>
      <c r="M89" s="410">
        <v>0</v>
      </c>
      <c r="N89" s="410">
        <v>0</v>
      </c>
    </row>
    <row r="90" spans="1:14" s="353" customFormat="1" ht="13.7" hidden="1" customHeight="1">
      <c r="A90" s="1033"/>
      <c r="B90" s="1034"/>
      <c r="C90" s="1039"/>
      <c r="D90" s="1032"/>
      <c r="E90" s="1028"/>
      <c r="F90" s="1029"/>
      <c r="G90" s="412" t="s">
        <v>2</v>
      </c>
      <c r="H90" s="410">
        <f t="shared" si="22"/>
        <v>2000000</v>
      </c>
      <c r="I90" s="410">
        <f t="shared" si="23"/>
        <v>2000000</v>
      </c>
      <c r="J90" s="410">
        <f>J88+J89</f>
        <v>0</v>
      </c>
      <c r="K90" s="410">
        <f>K88+K89</f>
        <v>2000000</v>
      </c>
      <c r="L90" s="410">
        <f t="shared" si="28"/>
        <v>0</v>
      </c>
      <c r="M90" s="410">
        <f>M88+M89</f>
        <v>0</v>
      </c>
      <c r="N90" s="410">
        <f>N88+N89</f>
        <v>0</v>
      </c>
    </row>
    <row r="91" spans="1:14" s="434" customFormat="1" ht="14.1" customHeight="1">
      <c r="A91" s="1022"/>
      <c r="B91" s="1023"/>
      <c r="C91" s="1037" t="s">
        <v>428</v>
      </c>
      <c r="D91" s="1038"/>
      <c r="E91" s="1024" t="s">
        <v>664</v>
      </c>
      <c r="F91" s="1025"/>
      <c r="G91" s="409" t="s">
        <v>0</v>
      </c>
      <c r="H91" s="410">
        <f t="shared" si="22"/>
        <v>18449498</v>
      </c>
      <c r="I91" s="410">
        <f t="shared" si="23"/>
        <v>18449498</v>
      </c>
      <c r="J91" s="410">
        <f>J94+J97</f>
        <v>0</v>
      </c>
      <c r="K91" s="410">
        <f>K94+K97</f>
        <v>18449498</v>
      </c>
      <c r="L91" s="410">
        <f t="shared" si="28"/>
        <v>0</v>
      </c>
      <c r="M91" s="410">
        <f>M94+M97</f>
        <v>0</v>
      </c>
      <c r="N91" s="410">
        <f>N94+N97</f>
        <v>0</v>
      </c>
    </row>
    <row r="92" spans="1:14" s="434" customFormat="1" ht="14.1" customHeight="1">
      <c r="A92" s="1022"/>
      <c r="B92" s="1023"/>
      <c r="C92" s="1022"/>
      <c r="D92" s="1030"/>
      <c r="E92" s="1026"/>
      <c r="F92" s="1027"/>
      <c r="G92" s="412" t="s">
        <v>1</v>
      </c>
      <c r="H92" s="410">
        <f t="shared" si="22"/>
        <v>356233</v>
      </c>
      <c r="I92" s="410">
        <f t="shared" si="23"/>
        <v>356233</v>
      </c>
      <c r="J92" s="410">
        <f t="shared" ref="J92:K93" si="29">J95+J98</f>
        <v>0</v>
      </c>
      <c r="K92" s="410">
        <f t="shared" si="29"/>
        <v>356233</v>
      </c>
      <c r="L92" s="410">
        <f t="shared" si="28"/>
        <v>0</v>
      </c>
      <c r="M92" s="410">
        <f t="shared" ref="M92:N93" si="30">M95+M98</f>
        <v>0</v>
      </c>
      <c r="N92" s="410">
        <f t="shared" si="30"/>
        <v>0</v>
      </c>
    </row>
    <row r="93" spans="1:14" s="434" customFormat="1" ht="14.1" customHeight="1">
      <c r="A93" s="1022"/>
      <c r="B93" s="1023"/>
      <c r="C93" s="1022"/>
      <c r="D93" s="1030"/>
      <c r="E93" s="1028"/>
      <c r="F93" s="1029"/>
      <c r="G93" s="412" t="s">
        <v>2</v>
      </c>
      <c r="H93" s="410">
        <f t="shared" si="22"/>
        <v>18805731</v>
      </c>
      <c r="I93" s="410">
        <f t="shared" si="23"/>
        <v>18805731</v>
      </c>
      <c r="J93" s="410">
        <f t="shared" si="29"/>
        <v>0</v>
      </c>
      <c r="K93" s="410">
        <f t="shared" si="29"/>
        <v>18805731</v>
      </c>
      <c r="L93" s="410">
        <f t="shared" si="28"/>
        <v>0</v>
      </c>
      <c r="M93" s="410">
        <f t="shared" si="30"/>
        <v>0</v>
      </c>
      <c r="N93" s="410">
        <f t="shared" si="30"/>
        <v>0</v>
      </c>
    </row>
    <row r="94" spans="1:14" s="438" customFormat="1" ht="14.1" customHeight="1">
      <c r="A94" s="1082"/>
      <c r="B94" s="1083"/>
      <c r="C94" s="1082"/>
      <c r="D94" s="1083"/>
      <c r="E94" s="1046" t="s">
        <v>657</v>
      </c>
      <c r="F94" s="1084"/>
      <c r="G94" s="435" t="s">
        <v>0</v>
      </c>
      <c r="H94" s="436">
        <f t="shared" si="22"/>
        <v>15643047</v>
      </c>
      <c r="I94" s="436">
        <f t="shared" si="23"/>
        <v>15643047</v>
      </c>
      <c r="J94" s="436">
        <v>0</v>
      </c>
      <c r="K94" s="436">
        <v>15643047</v>
      </c>
      <c r="L94" s="436">
        <f t="shared" si="28"/>
        <v>0</v>
      </c>
      <c r="M94" s="436">
        <v>0</v>
      </c>
      <c r="N94" s="436">
        <v>0</v>
      </c>
    </row>
    <row r="95" spans="1:14" s="438" customFormat="1" ht="14.1" customHeight="1">
      <c r="A95" s="1082"/>
      <c r="B95" s="1083"/>
      <c r="C95" s="1082"/>
      <c r="D95" s="1030"/>
      <c r="E95" s="1026"/>
      <c r="F95" s="1027"/>
      <c r="G95" s="439" t="s">
        <v>1</v>
      </c>
      <c r="H95" s="436">
        <f t="shared" si="22"/>
        <v>356233</v>
      </c>
      <c r="I95" s="436">
        <f t="shared" si="23"/>
        <v>356233</v>
      </c>
      <c r="J95" s="436">
        <v>0</v>
      </c>
      <c r="K95" s="436">
        <v>356233</v>
      </c>
      <c r="L95" s="436">
        <f t="shared" si="28"/>
        <v>0</v>
      </c>
      <c r="M95" s="436">
        <v>0</v>
      </c>
      <c r="N95" s="436">
        <v>0</v>
      </c>
    </row>
    <row r="96" spans="1:14" s="438" customFormat="1" ht="14.1" customHeight="1">
      <c r="A96" s="1082"/>
      <c r="B96" s="1083"/>
      <c r="C96" s="1082"/>
      <c r="D96" s="1030"/>
      <c r="E96" s="1028"/>
      <c r="F96" s="1029"/>
      <c r="G96" s="439" t="s">
        <v>2</v>
      </c>
      <c r="H96" s="437">
        <f t="shared" si="22"/>
        <v>15999280</v>
      </c>
      <c r="I96" s="437">
        <f t="shared" si="23"/>
        <v>15999280</v>
      </c>
      <c r="J96" s="437">
        <f>J94+J95</f>
        <v>0</v>
      </c>
      <c r="K96" s="437">
        <f>K94+K95</f>
        <v>15999280</v>
      </c>
      <c r="L96" s="437">
        <f t="shared" si="28"/>
        <v>0</v>
      </c>
      <c r="M96" s="437">
        <f>M94+M95</f>
        <v>0</v>
      </c>
      <c r="N96" s="437">
        <f>N94+N95</f>
        <v>0</v>
      </c>
    </row>
    <row r="97" spans="1:14" s="438" customFormat="1" ht="15" hidden="1" customHeight="1">
      <c r="A97" s="1082"/>
      <c r="B97" s="1083"/>
      <c r="C97" s="1082"/>
      <c r="D97" s="1083"/>
      <c r="E97" s="1046" t="s">
        <v>665</v>
      </c>
      <c r="F97" s="1084"/>
      <c r="G97" s="435" t="s">
        <v>0</v>
      </c>
      <c r="H97" s="436">
        <f t="shared" si="22"/>
        <v>2806451</v>
      </c>
      <c r="I97" s="436">
        <f t="shared" si="23"/>
        <v>2806451</v>
      </c>
      <c r="J97" s="436">
        <v>0</v>
      </c>
      <c r="K97" s="436">
        <v>2806451</v>
      </c>
      <c r="L97" s="436">
        <f t="shared" si="28"/>
        <v>0</v>
      </c>
      <c r="M97" s="436">
        <v>0</v>
      </c>
      <c r="N97" s="436">
        <v>0</v>
      </c>
    </row>
    <row r="98" spans="1:14" s="438" customFormat="1" ht="15" hidden="1" customHeight="1">
      <c r="A98" s="1082"/>
      <c r="B98" s="1083"/>
      <c r="C98" s="1082"/>
      <c r="D98" s="1030"/>
      <c r="E98" s="1026"/>
      <c r="F98" s="1027"/>
      <c r="G98" s="439" t="s">
        <v>1</v>
      </c>
      <c r="H98" s="436">
        <f t="shared" si="22"/>
        <v>0</v>
      </c>
      <c r="I98" s="436">
        <f t="shared" si="23"/>
        <v>0</v>
      </c>
      <c r="J98" s="436">
        <v>0</v>
      </c>
      <c r="K98" s="436">
        <v>0</v>
      </c>
      <c r="L98" s="436">
        <f t="shared" si="28"/>
        <v>0</v>
      </c>
      <c r="M98" s="436">
        <v>0</v>
      </c>
      <c r="N98" s="436">
        <v>0</v>
      </c>
    </row>
    <row r="99" spans="1:14" s="438" customFormat="1" ht="15" hidden="1" customHeight="1">
      <c r="A99" s="1082"/>
      <c r="B99" s="1083"/>
      <c r="C99" s="1082"/>
      <c r="D99" s="1030"/>
      <c r="E99" s="1028"/>
      <c r="F99" s="1029"/>
      <c r="G99" s="439" t="s">
        <v>2</v>
      </c>
      <c r="H99" s="437">
        <f t="shared" si="22"/>
        <v>2806451</v>
      </c>
      <c r="I99" s="437">
        <f t="shared" si="23"/>
        <v>2806451</v>
      </c>
      <c r="J99" s="437">
        <f>J97+J98</f>
        <v>0</v>
      </c>
      <c r="K99" s="437">
        <f>K97+K98</f>
        <v>2806451</v>
      </c>
      <c r="L99" s="437">
        <f t="shared" si="28"/>
        <v>0</v>
      </c>
      <c r="M99" s="437">
        <f>M97+M98</f>
        <v>0</v>
      </c>
      <c r="N99" s="437">
        <f>N97+N98</f>
        <v>0</v>
      </c>
    </row>
    <row r="100" spans="1:14" s="434" customFormat="1" ht="13.7" hidden="1" customHeight="1">
      <c r="A100" s="1022"/>
      <c r="B100" s="1023"/>
      <c r="C100" s="1022"/>
      <c r="D100" s="1023"/>
      <c r="E100" s="1024" t="s">
        <v>666</v>
      </c>
      <c r="F100" s="1025"/>
      <c r="G100" s="409" t="s">
        <v>0</v>
      </c>
      <c r="H100" s="410">
        <f t="shared" si="22"/>
        <v>19152000</v>
      </c>
      <c r="I100" s="410">
        <f t="shared" si="23"/>
        <v>19152000</v>
      </c>
      <c r="J100" s="410">
        <f>J103+J106</f>
        <v>0</v>
      </c>
      <c r="K100" s="410">
        <f>K103+K106</f>
        <v>19152000</v>
      </c>
      <c r="L100" s="410">
        <f t="shared" si="28"/>
        <v>0</v>
      </c>
      <c r="M100" s="410">
        <f>M103+M106</f>
        <v>0</v>
      </c>
      <c r="N100" s="410">
        <f>N103+N106</f>
        <v>0</v>
      </c>
    </row>
    <row r="101" spans="1:14" s="434" customFormat="1" ht="13.7" hidden="1" customHeight="1">
      <c r="A101" s="1022"/>
      <c r="B101" s="1023"/>
      <c r="C101" s="1022"/>
      <c r="D101" s="1030"/>
      <c r="E101" s="1026"/>
      <c r="F101" s="1027"/>
      <c r="G101" s="412" t="s">
        <v>1</v>
      </c>
      <c r="H101" s="410">
        <f t="shared" si="22"/>
        <v>0</v>
      </c>
      <c r="I101" s="410">
        <f t="shared" si="23"/>
        <v>0</v>
      </c>
      <c r="J101" s="410">
        <f t="shared" ref="J101:K102" si="31">J104+J107</f>
        <v>0</v>
      </c>
      <c r="K101" s="410">
        <f t="shared" si="31"/>
        <v>0</v>
      </c>
      <c r="L101" s="410">
        <f t="shared" si="28"/>
        <v>0</v>
      </c>
      <c r="M101" s="410">
        <f t="shared" ref="M101:N102" si="32">M104+M107</f>
        <v>0</v>
      </c>
      <c r="N101" s="410">
        <f t="shared" si="32"/>
        <v>0</v>
      </c>
    </row>
    <row r="102" spans="1:14" s="434" customFormat="1" ht="13.7" hidden="1" customHeight="1">
      <c r="A102" s="1022"/>
      <c r="B102" s="1023"/>
      <c r="C102" s="1022"/>
      <c r="D102" s="1030"/>
      <c r="E102" s="1028"/>
      <c r="F102" s="1029"/>
      <c r="G102" s="412" t="s">
        <v>2</v>
      </c>
      <c r="H102" s="410">
        <f t="shared" si="22"/>
        <v>19152000</v>
      </c>
      <c r="I102" s="410">
        <f t="shared" si="23"/>
        <v>19152000</v>
      </c>
      <c r="J102" s="410">
        <f t="shared" si="31"/>
        <v>0</v>
      </c>
      <c r="K102" s="410">
        <f t="shared" si="31"/>
        <v>19152000</v>
      </c>
      <c r="L102" s="410">
        <f t="shared" si="28"/>
        <v>0</v>
      </c>
      <c r="M102" s="410">
        <f t="shared" si="32"/>
        <v>0</v>
      </c>
      <c r="N102" s="410">
        <f t="shared" si="32"/>
        <v>0</v>
      </c>
    </row>
    <row r="103" spans="1:14" s="438" customFormat="1" ht="15" hidden="1" customHeight="1">
      <c r="A103" s="1082"/>
      <c r="B103" s="1083"/>
      <c r="C103" s="1082"/>
      <c r="D103" s="1083"/>
      <c r="E103" s="1046" t="s">
        <v>657</v>
      </c>
      <c r="F103" s="1084"/>
      <c r="G103" s="435" t="s">
        <v>0</v>
      </c>
      <c r="H103" s="436">
        <f t="shared" si="22"/>
        <v>17052000</v>
      </c>
      <c r="I103" s="436">
        <f t="shared" si="23"/>
        <v>17052000</v>
      </c>
      <c r="J103" s="436">
        <v>0</v>
      </c>
      <c r="K103" s="436">
        <v>17052000</v>
      </c>
      <c r="L103" s="436">
        <f t="shared" si="28"/>
        <v>0</v>
      </c>
      <c r="M103" s="436">
        <v>0</v>
      </c>
      <c r="N103" s="436">
        <v>0</v>
      </c>
    </row>
    <row r="104" spans="1:14" s="438" customFormat="1" ht="15" hidden="1" customHeight="1">
      <c r="A104" s="1082"/>
      <c r="B104" s="1083"/>
      <c r="C104" s="1082"/>
      <c r="D104" s="1030"/>
      <c r="E104" s="1026"/>
      <c r="F104" s="1027"/>
      <c r="G104" s="439" t="s">
        <v>1</v>
      </c>
      <c r="H104" s="436">
        <f t="shared" si="22"/>
        <v>0</v>
      </c>
      <c r="I104" s="436">
        <f t="shared" si="23"/>
        <v>0</v>
      </c>
      <c r="J104" s="436">
        <v>0</v>
      </c>
      <c r="K104" s="436">
        <v>0</v>
      </c>
      <c r="L104" s="436">
        <f t="shared" si="28"/>
        <v>0</v>
      </c>
      <c r="M104" s="436">
        <v>0</v>
      </c>
      <c r="N104" s="436">
        <v>0</v>
      </c>
    </row>
    <row r="105" spans="1:14" s="438" customFormat="1" ht="15" hidden="1" customHeight="1">
      <c r="A105" s="1082"/>
      <c r="B105" s="1083"/>
      <c r="C105" s="1082"/>
      <c r="D105" s="1030"/>
      <c r="E105" s="1028"/>
      <c r="F105" s="1029"/>
      <c r="G105" s="439" t="s">
        <v>2</v>
      </c>
      <c r="H105" s="437">
        <f t="shared" si="22"/>
        <v>17052000</v>
      </c>
      <c r="I105" s="437">
        <f t="shared" si="23"/>
        <v>17052000</v>
      </c>
      <c r="J105" s="437">
        <f>J103+J104</f>
        <v>0</v>
      </c>
      <c r="K105" s="437">
        <f>K103+K104</f>
        <v>17052000</v>
      </c>
      <c r="L105" s="437">
        <f t="shared" si="28"/>
        <v>0</v>
      </c>
      <c r="M105" s="437">
        <f>M103+M104</f>
        <v>0</v>
      </c>
      <c r="N105" s="437">
        <f>N103+N104</f>
        <v>0</v>
      </c>
    </row>
    <row r="106" spans="1:14" s="438" customFormat="1" ht="13.7" hidden="1" customHeight="1">
      <c r="A106" s="1082"/>
      <c r="B106" s="1083"/>
      <c r="C106" s="1082"/>
      <c r="D106" s="1083"/>
      <c r="E106" s="1046" t="s">
        <v>667</v>
      </c>
      <c r="F106" s="1084"/>
      <c r="G106" s="435" t="s">
        <v>0</v>
      </c>
      <c r="H106" s="436">
        <f t="shared" si="22"/>
        <v>2100000</v>
      </c>
      <c r="I106" s="436">
        <f t="shared" si="23"/>
        <v>2100000</v>
      </c>
      <c r="J106" s="436">
        <v>0</v>
      </c>
      <c r="K106" s="436">
        <v>2100000</v>
      </c>
      <c r="L106" s="436">
        <f t="shared" si="28"/>
        <v>0</v>
      </c>
      <c r="M106" s="436">
        <v>0</v>
      </c>
      <c r="N106" s="436">
        <v>0</v>
      </c>
    </row>
    <row r="107" spans="1:14" s="438" customFormat="1" ht="13.7" hidden="1" customHeight="1">
      <c r="A107" s="1082"/>
      <c r="B107" s="1083"/>
      <c r="C107" s="1082"/>
      <c r="D107" s="1030"/>
      <c r="E107" s="1026"/>
      <c r="F107" s="1027"/>
      <c r="G107" s="439" t="s">
        <v>1</v>
      </c>
      <c r="H107" s="436">
        <f t="shared" si="22"/>
        <v>0</v>
      </c>
      <c r="I107" s="436">
        <f t="shared" si="23"/>
        <v>0</v>
      </c>
      <c r="J107" s="436">
        <v>0</v>
      </c>
      <c r="K107" s="436">
        <v>0</v>
      </c>
      <c r="L107" s="436">
        <f t="shared" si="28"/>
        <v>0</v>
      </c>
      <c r="M107" s="436">
        <v>0</v>
      </c>
      <c r="N107" s="436">
        <v>0</v>
      </c>
    </row>
    <row r="108" spans="1:14" s="438" customFormat="1" ht="13.7" hidden="1" customHeight="1">
      <c r="A108" s="1082"/>
      <c r="B108" s="1083"/>
      <c r="C108" s="1085"/>
      <c r="D108" s="1032"/>
      <c r="E108" s="1028"/>
      <c r="F108" s="1029"/>
      <c r="G108" s="439" t="s">
        <v>2</v>
      </c>
      <c r="H108" s="437">
        <f t="shared" si="22"/>
        <v>2100000</v>
      </c>
      <c r="I108" s="437">
        <f t="shared" si="23"/>
        <v>2100000</v>
      </c>
      <c r="J108" s="437">
        <f>J106+J107</f>
        <v>0</v>
      </c>
      <c r="K108" s="437">
        <f>K106+K107</f>
        <v>2100000</v>
      </c>
      <c r="L108" s="437">
        <f t="shared" si="28"/>
        <v>0</v>
      </c>
      <c r="M108" s="437">
        <f>M106+M107</f>
        <v>0</v>
      </c>
      <c r="N108" s="437">
        <f>N106+N107</f>
        <v>0</v>
      </c>
    </row>
    <row r="109" spans="1:14" s="353" customFormat="1" ht="14.1" customHeight="1">
      <c r="A109" s="1033"/>
      <c r="B109" s="1034"/>
      <c r="C109" s="1035" t="s">
        <v>436</v>
      </c>
      <c r="D109" s="1036"/>
      <c r="E109" s="1024" t="s">
        <v>668</v>
      </c>
      <c r="F109" s="1025"/>
      <c r="G109" s="409" t="s">
        <v>0</v>
      </c>
      <c r="H109" s="410">
        <f t="shared" si="22"/>
        <v>11385000</v>
      </c>
      <c r="I109" s="410">
        <f t="shared" si="23"/>
        <v>11385000</v>
      </c>
      <c r="J109" s="410">
        <v>0</v>
      </c>
      <c r="K109" s="410">
        <v>11385000</v>
      </c>
      <c r="L109" s="410">
        <f t="shared" si="28"/>
        <v>0</v>
      </c>
      <c r="M109" s="410">
        <v>0</v>
      </c>
      <c r="N109" s="410">
        <v>0</v>
      </c>
    </row>
    <row r="110" spans="1:14" s="353" customFormat="1" ht="14.1" customHeight="1">
      <c r="A110" s="1033"/>
      <c r="B110" s="1034"/>
      <c r="C110" s="1033"/>
      <c r="D110" s="1030"/>
      <c r="E110" s="1026"/>
      <c r="F110" s="1027"/>
      <c r="G110" s="412" t="s">
        <v>1</v>
      </c>
      <c r="H110" s="410">
        <f t="shared" si="22"/>
        <v>69219</v>
      </c>
      <c r="I110" s="410">
        <f t="shared" si="23"/>
        <v>69219</v>
      </c>
      <c r="J110" s="410">
        <v>0</v>
      </c>
      <c r="K110" s="410">
        <v>69219</v>
      </c>
      <c r="L110" s="410">
        <f t="shared" si="28"/>
        <v>0</v>
      </c>
      <c r="M110" s="410">
        <v>0</v>
      </c>
      <c r="N110" s="410">
        <v>0</v>
      </c>
    </row>
    <row r="111" spans="1:14" s="353" customFormat="1" ht="14.1" customHeight="1">
      <c r="A111" s="1039"/>
      <c r="B111" s="1081"/>
      <c r="C111" s="1039"/>
      <c r="D111" s="1032"/>
      <c r="E111" s="1028"/>
      <c r="F111" s="1029"/>
      <c r="G111" s="412" t="s">
        <v>2</v>
      </c>
      <c r="H111" s="410">
        <f t="shared" si="22"/>
        <v>11454219</v>
      </c>
      <c r="I111" s="410">
        <f t="shared" si="23"/>
        <v>11454219</v>
      </c>
      <c r="J111" s="410">
        <f>J109+J110</f>
        <v>0</v>
      </c>
      <c r="K111" s="410">
        <f>K109+K110</f>
        <v>11454219</v>
      </c>
      <c r="L111" s="410">
        <f t="shared" si="28"/>
        <v>0</v>
      </c>
      <c r="M111" s="410">
        <f>M109+M110</f>
        <v>0</v>
      </c>
      <c r="N111" s="410">
        <f>N109+N110</f>
        <v>0</v>
      </c>
    </row>
    <row r="112" spans="1:14" s="353" customFormat="1" ht="14.1" customHeight="1">
      <c r="A112" s="1035"/>
      <c r="B112" s="1036"/>
      <c r="C112" s="1035"/>
      <c r="D112" s="1036"/>
      <c r="E112" s="1024" t="s">
        <v>669</v>
      </c>
      <c r="F112" s="1025"/>
      <c r="G112" s="409" t="s">
        <v>0</v>
      </c>
      <c r="H112" s="410">
        <f t="shared" si="22"/>
        <v>9851000</v>
      </c>
      <c r="I112" s="410">
        <f t="shared" si="23"/>
        <v>9851000</v>
      </c>
      <c r="J112" s="410">
        <v>0</v>
      </c>
      <c r="K112" s="410">
        <v>9851000</v>
      </c>
      <c r="L112" s="410">
        <f t="shared" si="28"/>
        <v>0</v>
      </c>
      <c r="M112" s="410">
        <v>0</v>
      </c>
      <c r="N112" s="410">
        <v>0</v>
      </c>
    </row>
    <row r="113" spans="1:14" s="353" customFormat="1" ht="14.1" customHeight="1">
      <c r="A113" s="1033"/>
      <c r="B113" s="1034"/>
      <c r="C113" s="1033"/>
      <c r="D113" s="1030"/>
      <c r="E113" s="1026"/>
      <c r="F113" s="1027"/>
      <c r="G113" s="412" t="s">
        <v>1</v>
      </c>
      <c r="H113" s="410">
        <f t="shared" si="22"/>
        <v>208842</v>
      </c>
      <c r="I113" s="410">
        <f t="shared" si="23"/>
        <v>208842</v>
      </c>
      <c r="J113" s="410">
        <v>0</v>
      </c>
      <c r="K113" s="410">
        <v>208842</v>
      </c>
      <c r="L113" s="410">
        <f t="shared" si="28"/>
        <v>0</v>
      </c>
      <c r="M113" s="410">
        <v>0</v>
      </c>
      <c r="N113" s="410">
        <v>0</v>
      </c>
    </row>
    <row r="114" spans="1:14" s="353" customFormat="1" ht="14.1" customHeight="1">
      <c r="A114" s="1033"/>
      <c r="B114" s="1034"/>
      <c r="C114" s="1033"/>
      <c r="D114" s="1030"/>
      <c r="E114" s="1028"/>
      <c r="F114" s="1029"/>
      <c r="G114" s="412" t="s">
        <v>2</v>
      </c>
      <c r="H114" s="410">
        <f t="shared" si="22"/>
        <v>10059842</v>
      </c>
      <c r="I114" s="410">
        <f t="shared" si="23"/>
        <v>10059842</v>
      </c>
      <c r="J114" s="410">
        <f>J112+J113</f>
        <v>0</v>
      </c>
      <c r="K114" s="410">
        <f>K112+K113</f>
        <v>10059842</v>
      </c>
      <c r="L114" s="410">
        <f t="shared" si="28"/>
        <v>0</v>
      </c>
      <c r="M114" s="410">
        <f>M112+M113</f>
        <v>0</v>
      </c>
      <c r="N114" s="410">
        <f>N112+N113</f>
        <v>0</v>
      </c>
    </row>
    <row r="115" spans="1:14" s="353" customFormat="1" ht="15" hidden="1" customHeight="1">
      <c r="A115" s="1033"/>
      <c r="B115" s="1034"/>
      <c r="C115" s="1033"/>
      <c r="D115" s="1034"/>
      <c r="E115" s="1024" t="s">
        <v>670</v>
      </c>
      <c r="F115" s="1025"/>
      <c r="G115" s="409" t="s">
        <v>0</v>
      </c>
      <c r="H115" s="410">
        <f t="shared" si="22"/>
        <v>5600000</v>
      </c>
      <c r="I115" s="410">
        <f t="shared" si="23"/>
        <v>5600000</v>
      </c>
      <c r="J115" s="410">
        <v>0</v>
      </c>
      <c r="K115" s="410">
        <v>5600000</v>
      </c>
      <c r="L115" s="410">
        <f t="shared" si="28"/>
        <v>0</v>
      </c>
      <c r="M115" s="410">
        <v>0</v>
      </c>
      <c r="N115" s="410">
        <v>0</v>
      </c>
    </row>
    <row r="116" spans="1:14" s="353" customFormat="1" ht="15" hidden="1" customHeight="1">
      <c r="A116" s="1033"/>
      <c r="B116" s="1034"/>
      <c r="C116" s="1033"/>
      <c r="D116" s="1030"/>
      <c r="E116" s="1026"/>
      <c r="F116" s="1027"/>
      <c r="G116" s="412" t="s">
        <v>1</v>
      </c>
      <c r="H116" s="410">
        <f t="shared" ref="H116:H117" si="33">I116+L116</f>
        <v>0</v>
      </c>
      <c r="I116" s="410">
        <f t="shared" ref="I116:I117" si="34">J116+K116</f>
        <v>0</v>
      </c>
      <c r="J116" s="410">
        <v>0</v>
      </c>
      <c r="K116" s="410">
        <v>0</v>
      </c>
      <c r="L116" s="410">
        <f t="shared" si="28"/>
        <v>0</v>
      </c>
      <c r="M116" s="410">
        <v>0</v>
      </c>
      <c r="N116" s="410">
        <v>0</v>
      </c>
    </row>
    <row r="117" spans="1:14" s="353" customFormat="1" ht="15" hidden="1" customHeight="1">
      <c r="A117" s="1033"/>
      <c r="B117" s="1034"/>
      <c r="C117" s="1039"/>
      <c r="D117" s="1032"/>
      <c r="E117" s="1028"/>
      <c r="F117" s="1029"/>
      <c r="G117" s="440" t="s">
        <v>2</v>
      </c>
      <c r="H117" s="410">
        <f t="shared" si="33"/>
        <v>5600000</v>
      </c>
      <c r="I117" s="410">
        <f t="shared" si="34"/>
        <v>5600000</v>
      </c>
      <c r="J117" s="410">
        <f>J115+J116</f>
        <v>0</v>
      </c>
      <c r="K117" s="410">
        <f>K115+K116</f>
        <v>5600000</v>
      </c>
      <c r="L117" s="410">
        <f t="shared" si="28"/>
        <v>0</v>
      </c>
      <c r="M117" s="410">
        <f>M115+M116</f>
        <v>0</v>
      </c>
      <c r="N117" s="410">
        <f>N115+N116</f>
        <v>0</v>
      </c>
    </row>
    <row r="118" spans="1:14" s="392" customFormat="1" ht="5.0999999999999996" customHeight="1">
      <c r="A118" s="414"/>
      <c r="B118" s="415"/>
      <c r="C118" s="415"/>
      <c r="D118" s="415"/>
      <c r="E118" s="416"/>
      <c r="F118" s="417"/>
      <c r="G118" s="416"/>
      <c r="H118" s="418"/>
      <c r="I118" s="419"/>
      <c r="J118" s="419"/>
      <c r="K118" s="419"/>
      <c r="L118" s="419"/>
      <c r="M118" s="419"/>
      <c r="N118" s="420"/>
    </row>
    <row r="119" spans="1:14" s="400" customFormat="1" ht="14.1" customHeight="1">
      <c r="A119" s="1074" t="s">
        <v>671</v>
      </c>
      <c r="B119" s="1075"/>
      <c r="C119" s="1075"/>
      <c r="D119" s="1075"/>
      <c r="E119" s="1075"/>
      <c r="F119" s="1076"/>
      <c r="G119" s="398" t="s">
        <v>0</v>
      </c>
      <c r="H119" s="421">
        <f>I119+L119</f>
        <v>400238772.39999998</v>
      </c>
      <c r="I119" s="421">
        <f>J119+K119</f>
        <v>287766884</v>
      </c>
      <c r="J119" s="421">
        <f t="shared" ref="J119:K121" si="35">J123+J140+J247</f>
        <v>242983577</v>
      </c>
      <c r="K119" s="421">
        <f t="shared" si="35"/>
        <v>44783307</v>
      </c>
      <c r="L119" s="421">
        <f>M119+N119</f>
        <v>112471888.40000001</v>
      </c>
      <c r="M119" s="421">
        <f t="shared" ref="M119:N121" si="36">M123+M140+M247</f>
        <v>4403669</v>
      </c>
      <c r="N119" s="421">
        <f t="shared" si="36"/>
        <v>108068219.40000001</v>
      </c>
    </row>
    <row r="120" spans="1:14" s="400" customFormat="1" ht="14.1" customHeight="1">
      <c r="A120" s="1052"/>
      <c r="B120" s="1053"/>
      <c r="C120" s="1053"/>
      <c r="D120" s="1053"/>
      <c r="E120" s="1053"/>
      <c r="F120" s="1054"/>
      <c r="G120" s="401" t="s">
        <v>1</v>
      </c>
      <c r="H120" s="421">
        <f>I120+L120</f>
        <v>17334447</v>
      </c>
      <c r="I120" s="421">
        <f t="shared" ref="I120:I121" si="37">J120+K120</f>
        <v>16850715</v>
      </c>
      <c r="J120" s="421">
        <f t="shared" si="35"/>
        <v>14733261</v>
      </c>
      <c r="K120" s="421">
        <f t="shared" si="35"/>
        <v>2117454</v>
      </c>
      <c r="L120" s="421">
        <f t="shared" ref="L120:L121" si="38">M120+N120</f>
        <v>483732</v>
      </c>
      <c r="M120" s="421">
        <f t="shared" si="36"/>
        <v>-46887</v>
      </c>
      <c r="N120" s="421">
        <f t="shared" si="36"/>
        <v>530619</v>
      </c>
    </row>
    <row r="121" spans="1:14" s="400" customFormat="1" ht="14.1" customHeight="1">
      <c r="A121" s="1055"/>
      <c r="B121" s="1056"/>
      <c r="C121" s="1056"/>
      <c r="D121" s="1056"/>
      <c r="E121" s="1056"/>
      <c r="F121" s="1057"/>
      <c r="G121" s="402" t="s">
        <v>2</v>
      </c>
      <c r="H121" s="421">
        <f>I121+L121</f>
        <v>417573219.39999998</v>
      </c>
      <c r="I121" s="421">
        <f t="shared" si="37"/>
        <v>304617599</v>
      </c>
      <c r="J121" s="421">
        <f t="shared" si="35"/>
        <v>257716838</v>
      </c>
      <c r="K121" s="421">
        <f t="shared" si="35"/>
        <v>46900761</v>
      </c>
      <c r="L121" s="421">
        <f t="shared" si="38"/>
        <v>112955620.40000001</v>
      </c>
      <c r="M121" s="421">
        <f t="shared" si="36"/>
        <v>4356782</v>
      </c>
      <c r="N121" s="421">
        <f t="shared" si="36"/>
        <v>108598838.40000001</v>
      </c>
    </row>
    <row r="122" spans="1:14" s="433" customFormat="1" ht="5.0999999999999996" hidden="1" customHeight="1">
      <c r="A122" s="427"/>
      <c r="B122" s="428"/>
      <c r="C122" s="428"/>
      <c r="D122" s="428"/>
      <c r="E122" s="428"/>
      <c r="F122" s="428"/>
      <c r="G122" s="429"/>
      <c r="H122" s="430"/>
      <c r="I122" s="431"/>
      <c r="J122" s="431"/>
      <c r="K122" s="431"/>
      <c r="L122" s="431"/>
      <c r="M122" s="431"/>
      <c r="N122" s="432"/>
    </row>
    <row r="123" spans="1:14" s="443" customFormat="1" ht="14.1" hidden="1" customHeight="1">
      <c r="A123" s="1077" t="s">
        <v>672</v>
      </c>
      <c r="B123" s="1078"/>
      <c r="C123" s="1078"/>
      <c r="D123" s="1078"/>
      <c r="E123" s="1078"/>
      <c r="F123" s="1079"/>
      <c r="G123" s="441" t="s">
        <v>0</v>
      </c>
      <c r="H123" s="442">
        <f>I123+L123</f>
        <v>1256953</v>
      </c>
      <c r="I123" s="442">
        <f>J123+K123</f>
        <v>1220520</v>
      </c>
      <c r="J123" s="442">
        <f>J127+J130+J133+J136</f>
        <v>933797</v>
      </c>
      <c r="K123" s="442">
        <f>K127+K130+K133+K136</f>
        <v>286723</v>
      </c>
      <c r="L123" s="442">
        <f>M123+N123</f>
        <v>36433</v>
      </c>
      <c r="M123" s="442">
        <f>M127+M130+M133+M136</f>
        <v>0</v>
      </c>
      <c r="N123" s="442">
        <f>N127+N130+N133+N136</f>
        <v>36433</v>
      </c>
    </row>
    <row r="124" spans="1:14" s="443" customFormat="1" ht="14.1" hidden="1" customHeight="1">
      <c r="A124" s="1052"/>
      <c r="B124" s="1053"/>
      <c r="C124" s="1053"/>
      <c r="D124" s="1053"/>
      <c r="E124" s="1053"/>
      <c r="F124" s="1054"/>
      <c r="G124" s="441" t="s">
        <v>1</v>
      </c>
      <c r="H124" s="442">
        <f t="shared" ref="H124:H125" si="39">I124+L124</f>
        <v>0</v>
      </c>
      <c r="I124" s="442">
        <f t="shared" ref="I124:I125" si="40">J124+K124</f>
        <v>0</v>
      </c>
      <c r="J124" s="442">
        <f t="shared" ref="J124:K125" si="41">J128+J131+J134+J137</f>
        <v>0</v>
      </c>
      <c r="K124" s="442">
        <f t="shared" si="41"/>
        <v>0</v>
      </c>
      <c r="L124" s="442">
        <f>M124+N124</f>
        <v>0</v>
      </c>
      <c r="M124" s="442">
        <f t="shared" ref="M124:N125" si="42">M128+M131+M134+M137</f>
        <v>0</v>
      </c>
      <c r="N124" s="442">
        <f t="shared" si="42"/>
        <v>0</v>
      </c>
    </row>
    <row r="125" spans="1:14" s="443" customFormat="1" ht="14.1" hidden="1" customHeight="1">
      <c r="A125" s="1055"/>
      <c r="B125" s="1056"/>
      <c r="C125" s="1056"/>
      <c r="D125" s="1056"/>
      <c r="E125" s="1056"/>
      <c r="F125" s="1057"/>
      <c r="G125" s="441" t="s">
        <v>2</v>
      </c>
      <c r="H125" s="442">
        <f t="shared" si="39"/>
        <v>1256953</v>
      </c>
      <c r="I125" s="442">
        <f t="shared" si="40"/>
        <v>1220520</v>
      </c>
      <c r="J125" s="442">
        <f t="shared" si="41"/>
        <v>933797</v>
      </c>
      <c r="K125" s="442">
        <f t="shared" si="41"/>
        <v>286723</v>
      </c>
      <c r="L125" s="442">
        <f t="shared" ref="L125" si="43">M125+N125</f>
        <v>36433</v>
      </c>
      <c r="M125" s="442">
        <f t="shared" si="42"/>
        <v>0</v>
      </c>
      <c r="N125" s="442">
        <f t="shared" si="42"/>
        <v>36433</v>
      </c>
    </row>
    <row r="126" spans="1:14" s="433" customFormat="1" ht="5.0999999999999996" hidden="1" customHeight="1">
      <c r="A126" s="427"/>
      <c r="B126" s="428"/>
      <c r="C126" s="428"/>
      <c r="D126" s="428"/>
      <c r="E126" s="428"/>
      <c r="F126" s="428"/>
      <c r="G126" s="429"/>
      <c r="H126" s="430"/>
      <c r="I126" s="431"/>
      <c r="J126" s="431"/>
      <c r="K126" s="431"/>
      <c r="L126" s="431"/>
      <c r="M126" s="431"/>
      <c r="N126" s="432"/>
    </row>
    <row r="127" spans="1:14" s="353" customFormat="1" ht="13.7" hidden="1" customHeight="1">
      <c r="A127" s="1035" t="s">
        <v>61</v>
      </c>
      <c r="B127" s="1036"/>
      <c r="C127" s="1035" t="s">
        <v>389</v>
      </c>
      <c r="D127" s="1036"/>
      <c r="E127" s="444" t="s">
        <v>673</v>
      </c>
      <c r="F127" s="1058" t="s">
        <v>674</v>
      </c>
      <c r="G127" s="445" t="s">
        <v>0</v>
      </c>
      <c r="H127" s="446">
        <f t="shared" ref="H127:H131" si="44">I127+L127</f>
        <v>476608</v>
      </c>
      <c r="I127" s="446">
        <f t="shared" ref="I127:I138" si="45">J127+K127</f>
        <v>476608</v>
      </c>
      <c r="J127" s="446">
        <v>476244</v>
      </c>
      <c r="K127" s="446">
        <v>364</v>
      </c>
      <c r="L127" s="446">
        <f t="shared" ref="L127:L138" si="46">M127+N127</f>
        <v>0</v>
      </c>
      <c r="M127" s="446">
        <v>0</v>
      </c>
      <c r="N127" s="446">
        <v>0</v>
      </c>
    </row>
    <row r="128" spans="1:14" s="353" customFormat="1" ht="13.7" hidden="1" customHeight="1">
      <c r="A128" s="1033"/>
      <c r="B128" s="1073"/>
      <c r="C128" s="1033"/>
      <c r="D128" s="1073"/>
      <c r="E128" s="447"/>
      <c r="F128" s="1059"/>
      <c r="G128" s="445" t="s">
        <v>1</v>
      </c>
      <c r="H128" s="446">
        <f t="shared" si="44"/>
        <v>0</v>
      </c>
      <c r="I128" s="446">
        <f t="shared" si="45"/>
        <v>0</v>
      </c>
      <c r="J128" s="446">
        <v>0</v>
      </c>
      <c r="K128" s="446">
        <v>0</v>
      </c>
      <c r="L128" s="446">
        <f t="shared" si="46"/>
        <v>0</v>
      </c>
      <c r="M128" s="446">
        <v>0</v>
      </c>
      <c r="N128" s="446">
        <v>0</v>
      </c>
    </row>
    <row r="129" spans="1:14" s="353" customFormat="1" ht="13.7" hidden="1" customHeight="1">
      <c r="A129" s="1033"/>
      <c r="B129" s="1073"/>
      <c r="C129" s="1039"/>
      <c r="D129" s="1080"/>
      <c r="E129" s="447"/>
      <c r="F129" s="1060"/>
      <c r="G129" s="445" t="s">
        <v>2</v>
      </c>
      <c r="H129" s="410">
        <f t="shared" si="44"/>
        <v>476608</v>
      </c>
      <c r="I129" s="410">
        <f t="shared" si="45"/>
        <v>476608</v>
      </c>
      <c r="J129" s="410">
        <f>J127+J128</f>
        <v>476244</v>
      </c>
      <c r="K129" s="410">
        <f>K127+K128</f>
        <v>364</v>
      </c>
      <c r="L129" s="410">
        <f t="shared" si="46"/>
        <v>0</v>
      </c>
      <c r="M129" s="410">
        <f>M127+M128</f>
        <v>0</v>
      </c>
      <c r="N129" s="410">
        <f>N127+N128</f>
        <v>0</v>
      </c>
    </row>
    <row r="130" spans="1:14" s="434" customFormat="1" ht="13.7" hidden="1" customHeight="1">
      <c r="A130" s="1022"/>
      <c r="B130" s="1023"/>
      <c r="C130" s="1037" t="s">
        <v>675</v>
      </c>
      <c r="D130" s="1038"/>
      <c r="E130" s="448" t="s">
        <v>673</v>
      </c>
      <c r="F130" s="1058" t="s">
        <v>676</v>
      </c>
      <c r="G130" s="409" t="s">
        <v>0</v>
      </c>
      <c r="H130" s="446">
        <f t="shared" si="44"/>
        <v>743912</v>
      </c>
      <c r="I130" s="446">
        <f t="shared" si="45"/>
        <v>743912</v>
      </c>
      <c r="J130" s="446">
        <v>457553</v>
      </c>
      <c r="K130" s="446">
        <v>286359</v>
      </c>
      <c r="L130" s="446">
        <f t="shared" si="46"/>
        <v>0</v>
      </c>
      <c r="M130" s="446">
        <v>0</v>
      </c>
      <c r="N130" s="446">
        <v>0</v>
      </c>
    </row>
    <row r="131" spans="1:14" s="434" customFormat="1" ht="13.7" hidden="1" customHeight="1">
      <c r="A131" s="1022"/>
      <c r="B131" s="1030"/>
      <c r="C131" s="1022"/>
      <c r="D131" s="1030"/>
      <c r="E131" s="449"/>
      <c r="F131" s="1059"/>
      <c r="G131" s="412" t="s">
        <v>1</v>
      </c>
      <c r="H131" s="446">
        <f t="shared" si="44"/>
        <v>0</v>
      </c>
      <c r="I131" s="446">
        <f t="shared" si="45"/>
        <v>0</v>
      </c>
      <c r="J131" s="446">
        <v>0</v>
      </c>
      <c r="K131" s="446">
        <v>0</v>
      </c>
      <c r="L131" s="446">
        <f t="shared" si="46"/>
        <v>0</v>
      </c>
      <c r="M131" s="446">
        <v>0</v>
      </c>
      <c r="N131" s="446">
        <v>0</v>
      </c>
    </row>
    <row r="132" spans="1:14" s="434" customFormat="1" ht="13.7" hidden="1" customHeight="1">
      <c r="A132" s="1031"/>
      <c r="B132" s="1032"/>
      <c r="C132" s="1031"/>
      <c r="D132" s="1032"/>
      <c r="E132" s="450"/>
      <c r="F132" s="1060"/>
      <c r="G132" s="412" t="s">
        <v>2</v>
      </c>
      <c r="H132" s="410">
        <f>I132+L132</f>
        <v>743912</v>
      </c>
      <c r="I132" s="410">
        <f t="shared" si="45"/>
        <v>743912</v>
      </c>
      <c r="J132" s="410">
        <f>J130+J131</f>
        <v>457553</v>
      </c>
      <c r="K132" s="410">
        <f>K130+K131</f>
        <v>286359</v>
      </c>
      <c r="L132" s="410">
        <f t="shared" si="46"/>
        <v>0</v>
      </c>
      <c r="M132" s="410">
        <f>M130+M131</f>
        <v>0</v>
      </c>
      <c r="N132" s="410">
        <f>N130+N131</f>
        <v>0</v>
      </c>
    </row>
    <row r="133" spans="1:14" s="353" customFormat="1" ht="14.1" hidden="1" customHeight="1">
      <c r="A133" s="1035" t="s">
        <v>25</v>
      </c>
      <c r="B133" s="1036"/>
      <c r="C133" s="1035" t="s">
        <v>255</v>
      </c>
      <c r="D133" s="1036"/>
      <c r="E133" s="451" t="s">
        <v>677</v>
      </c>
      <c r="F133" s="1058" t="s">
        <v>678</v>
      </c>
      <c r="G133" s="452" t="s">
        <v>0</v>
      </c>
      <c r="H133" s="446">
        <f t="shared" ref="H133:H138" si="47">I133+L133</f>
        <v>26985</v>
      </c>
      <c r="I133" s="446">
        <f t="shared" si="45"/>
        <v>0</v>
      </c>
      <c r="J133" s="446">
        <v>0</v>
      </c>
      <c r="K133" s="446">
        <v>0</v>
      </c>
      <c r="L133" s="446">
        <f t="shared" si="46"/>
        <v>26985</v>
      </c>
      <c r="M133" s="446">
        <v>0</v>
      </c>
      <c r="N133" s="446">
        <v>26985</v>
      </c>
    </row>
    <row r="134" spans="1:14" s="353" customFormat="1" ht="14.1" hidden="1" customHeight="1">
      <c r="A134" s="1033"/>
      <c r="B134" s="1073"/>
      <c r="C134" s="1033"/>
      <c r="D134" s="1073"/>
      <c r="E134" s="447"/>
      <c r="F134" s="1059"/>
      <c r="G134" s="452" t="s">
        <v>1</v>
      </c>
      <c r="H134" s="446">
        <f t="shared" si="47"/>
        <v>0</v>
      </c>
      <c r="I134" s="446">
        <f t="shared" si="45"/>
        <v>0</v>
      </c>
      <c r="J134" s="446">
        <v>0</v>
      </c>
      <c r="K134" s="446">
        <v>0</v>
      </c>
      <c r="L134" s="446">
        <f t="shared" si="46"/>
        <v>0</v>
      </c>
      <c r="M134" s="446">
        <v>0</v>
      </c>
      <c r="N134" s="446">
        <v>0</v>
      </c>
    </row>
    <row r="135" spans="1:14" s="353" customFormat="1" ht="14.1" hidden="1" customHeight="1">
      <c r="A135" s="1033"/>
      <c r="B135" s="1073"/>
      <c r="C135" s="1033"/>
      <c r="D135" s="1073"/>
      <c r="E135" s="447"/>
      <c r="F135" s="1060"/>
      <c r="G135" s="452" t="s">
        <v>2</v>
      </c>
      <c r="H135" s="410">
        <f t="shared" si="47"/>
        <v>26985</v>
      </c>
      <c r="I135" s="410">
        <f t="shared" si="45"/>
        <v>0</v>
      </c>
      <c r="J135" s="410">
        <f>J133+J134</f>
        <v>0</v>
      </c>
      <c r="K135" s="410">
        <f>K133+K134</f>
        <v>0</v>
      </c>
      <c r="L135" s="410">
        <f t="shared" si="46"/>
        <v>26985</v>
      </c>
      <c r="M135" s="410">
        <f>M133+M134</f>
        <v>0</v>
      </c>
      <c r="N135" s="410">
        <f>N133+N134</f>
        <v>26985</v>
      </c>
    </row>
    <row r="136" spans="1:14" s="353" customFormat="1" ht="14.1" hidden="1" customHeight="1">
      <c r="A136" s="1033"/>
      <c r="B136" s="1034"/>
      <c r="C136" s="1035" t="s">
        <v>679</v>
      </c>
      <c r="D136" s="1036"/>
      <c r="E136" s="444" t="s">
        <v>680</v>
      </c>
      <c r="F136" s="1058" t="s">
        <v>681</v>
      </c>
      <c r="G136" s="452" t="s">
        <v>0</v>
      </c>
      <c r="H136" s="446">
        <f t="shared" si="47"/>
        <v>9448</v>
      </c>
      <c r="I136" s="446">
        <f t="shared" si="45"/>
        <v>0</v>
      </c>
      <c r="J136" s="446">
        <v>0</v>
      </c>
      <c r="K136" s="446">
        <v>0</v>
      </c>
      <c r="L136" s="446">
        <f t="shared" si="46"/>
        <v>9448</v>
      </c>
      <c r="M136" s="446">
        <v>0</v>
      </c>
      <c r="N136" s="446">
        <v>9448</v>
      </c>
    </row>
    <row r="137" spans="1:14" s="353" customFormat="1" ht="14.1" hidden="1" customHeight="1">
      <c r="A137" s="1033"/>
      <c r="B137" s="1073"/>
      <c r="C137" s="1033"/>
      <c r="D137" s="1073"/>
      <c r="E137" s="453"/>
      <c r="F137" s="1059"/>
      <c r="G137" s="452" t="s">
        <v>1</v>
      </c>
      <c r="H137" s="446">
        <f t="shared" si="47"/>
        <v>0</v>
      </c>
      <c r="I137" s="446">
        <f t="shared" si="45"/>
        <v>0</v>
      </c>
      <c r="J137" s="446">
        <v>0</v>
      </c>
      <c r="K137" s="446">
        <v>0</v>
      </c>
      <c r="L137" s="446">
        <f t="shared" si="46"/>
        <v>0</v>
      </c>
      <c r="M137" s="446">
        <v>0</v>
      </c>
      <c r="N137" s="446">
        <v>0</v>
      </c>
    </row>
    <row r="138" spans="1:14" s="353" customFormat="1" ht="14.1" hidden="1" customHeight="1">
      <c r="A138" s="1033"/>
      <c r="B138" s="1073"/>
      <c r="C138" s="1033"/>
      <c r="D138" s="1073"/>
      <c r="E138" s="454"/>
      <c r="F138" s="1060"/>
      <c r="G138" s="452" t="s">
        <v>2</v>
      </c>
      <c r="H138" s="410">
        <f t="shared" si="47"/>
        <v>9448</v>
      </c>
      <c r="I138" s="410">
        <f t="shared" si="45"/>
        <v>0</v>
      </c>
      <c r="J138" s="410">
        <f>J136+J137</f>
        <v>0</v>
      </c>
      <c r="K138" s="410">
        <f>K136+K137</f>
        <v>0</v>
      </c>
      <c r="L138" s="410">
        <f t="shared" si="46"/>
        <v>9448</v>
      </c>
      <c r="M138" s="410">
        <f>M136+M137</f>
        <v>0</v>
      </c>
      <c r="N138" s="410">
        <f>N136+N137</f>
        <v>9448</v>
      </c>
    </row>
    <row r="139" spans="1:14" s="433" customFormat="1" ht="5.0999999999999996" customHeight="1">
      <c r="A139" s="427"/>
      <c r="B139" s="428"/>
      <c r="C139" s="428"/>
      <c r="D139" s="428"/>
      <c r="E139" s="428"/>
      <c r="F139" s="428"/>
      <c r="G139" s="429"/>
      <c r="H139" s="430"/>
      <c r="I139" s="431"/>
      <c r="J139" s="431"/>
      <c r="K139" s="431"/>
      <c r="L139" s="431"/>
      <c r="M139" s="431"/>
      <c r="N139" s="432"/>
    </row>
    <row r="140" spans="1:14" s="424" customFormat="1" ht="14.1" customHeight="1">
      <c r="A140" s="1064" t="s">
        <v>682</v>
      </c>
      <c r="B140" s="1065"/>
      <c r="C140" s="1065"/>
      <c r="D140" s="1065"/>
      <c r="E140" s="1065"/>
      <c r="F140" s="1066"/>
      <c r="G140" s="455" t="s">
        <v>0</v>
      </c>
      <c r="H140" s="423">
        <f>I140+L140</f>
        <v>75105268</v>
      </c>
      <c r="I140" s="423">
        <f>J140+K140</f>
        <v>51205403</v>
      </c>
      <c r="J140" s="423">
        <f>J144+J147+J150+J153+J156+J159+J162+J165+J168+J171+J174+J177+J180+J183+J186+J189+J192+J195+J198+J201+J204+J207+J210+J213+J216+J219+J222+J225+J228+J231+J234+J237+J240+J243</f>
        <v>24424484</v>
      </c>
      <c r="K140" s="423">
        <f>K144+K147+K150+K153+K156+K159+K162+K165+K168+K171+K174+K177+K180+K183+K186+K189+K192+K195+K198+K201+K204+K207+K210+K213+K216+K219+K222+K225+K228+K231+K234+K237+K240+K243</f>
        <v>26780919</v>
      </c>
      <c r="L140" s="423">
        <f>M140+N140</f>
        <v>23899865</v>
      </c>
      <c r="M140" s="423">
        <f>M144+M147+M150+M153+M156+M159+M162+M165+M168+M171+M174+M177+M180+M183+M186+M189+M192+M195+M198+M201+M204+M207+M210+M213+M216+M219+M222+M225+M228+M231+M234+M237+M240+M243</f>
        <v>4103669</v>
      </c>
      <c r="N140" s="423">
        <f>N144+N147+N150+N153+N156+N159+N162+N165+N168+N171+N174+N177+N180+N183+N186+N189+N192+N195+N198+N201+N204+N207+N210+N213+N216+N219+N222+N225+N228+N231+N234+N237+N240+N243</f>
        <v>19796196</v>
      </c>
    </row>
    <row r="141" spans="1:14" s="424" customFormat="1" ht="14.1" customHeight="1">
      <c r="A141" s="1067"/>
      <c r="B141" s="1068"/>
      <c r="C141" s="1068"/>
      <c r="D141" s="1068"/>
      <c r="E141" s="1068"/>
      <c r="F141" s="1069"/>
      <c r="G141" s="456" t="s">
        <v>1</v>
      </c>
      <c r="H141" s="423">
        <f t="shared" ref="H141:H142" si="48">I141+L141</f>
        <v>-983159</v>
      </c>
      <c r="I141" s="423">
        <f t="shared" ref="I141:I142" si="49">J141+K141</f>
        <v>-1091891</v>
      </c>
      <c r="J141" s="423">
        <f t="shared" ref="J141:K142" si="50">J145+J148+J151+J154+J157+J160+J163+J166+J169+J172+J175+J178+J181+J184+J187+J190+J193+J196+J199+J202+J205+J208+J211+J214+J217+J220+J223+J226+J229+J232+J235+J238+J241+J244</f>
        <v>-1862778</v>
      </c>
      <c r="K141" s="423">
        <f t="shared" si="50"/>
        <v>770887</v>
      </c>
      <c r="L141" s="423">
        <f t="shared" ref="L141:L142" si="51">M141+N141</f>
        <v>108732</v>
      </c>
      <c r="M141" s="423">
        <f t="shared" ref="M141:N142" si="52">M145+M148+M151+M154+M157+M160+M163+M166+M169+M172+M175+M178+M181+M184+M187+M190+M193+M196+M199+M202+M205+M208+M211+M214+M217+M220+M223+M226+M229+M232+M235+M238+M241+M244</f>
        <v>-46887</v>
      </c>
      <c r="N141" s="423">
        <f t="shared" si="52"/>
        <v>155619</v>
      </c>
    </row>
    <row r="142" spans="1:14" s="424" customFormat="1" ht="14.1" customHeight="1">
      <c r="A142" s="1070"/>
      <c r="B142" s="1071"/>
      <c r="C142" s="1071"/>
      <c r="D142" s="1071"/>
      <c r="E142" s="1071"/>
      <c r="F142" s="1072"/>
      <c r="G142" s="457" t="s">
        <v>2</v>
      </c>
      <c r="H142" s="423">
        <f t="shared" si="48"/>
        <v>74122109</v>
      </c>
      <c r="I142" s="423">
        <f t="shared" si="49"/>
        <v>50113512</v>
      </c>
      <c r="J142" s="423">
        <f t="shared" si="50"/>
        <v>22561706</v>
      </c>
      <c r="K142" s="423">
        <f t="shared" si="50"/>
        <v>27551806</v>
      </c>
      <c r="L142" s="423">
        <f t="shared" si="51"/>
        <v>24008597</v>
      </c>
      <c r="M142" s="423">
        <f t="shared" si="52"/>
        <v>4056782</v>
      </c>
      <c r="N142" s="423">
        <f t="shared" si="52"/>
        <v>19951815</v>
      </c>
    </row>
    <row r="143" spans="1:14" s="392" customFormat="1" ht="5.0999999999999996" customHeight="1">
      <c r="A143" s="458"/>
      <c r="B143" s="459"/>
      <c r="C143" s="459"/>
      <c r="D143" s="459"/>
      <c r="E143" s="460"/>
      <c r="F143" s="460"/>
      <c r="G143" s="460"/>
      <c r="H143" s="461"/>
      <c r="I143" s="462"/>
      <c r="J143" s="462"/>
      <c r="K143" s="462"/>
      <c r="L143" s="462"/>
      <c r="M143" s="462"/>
      <c r="N143" s="463"/>
    </row>
    <row r="144" spans="1:14" s="353" customFormat="1" ht="15" hidden="1" customHeight="1">
      <c r="A144" s="1035" t="s">
        <v>81</v>
      </c>
      <c r="B144" s="1036"/>
      <c r="C144" s="1035" t="s">
        <v>165</v>
      </c>
      <c r="D144" s="1036"/>
      <c r="E144" s="451" t="s">
        <v>683</v>
      </c>
      <c r="F144" s="1058" t="s">
        <v>684</v>
      </c>
      <c r="G144" s="444" t="s">
        <v>0</v>
      </c>
      <c r="H144" s="410">
        <f t="shared" ref="H144:H231" si="53">I144+L144</f>
        <v>1636440</v>
      </c>
      <c r="I144" s="410">
        <v>0</v>
      </c>
      <c r="J144" s="410">
        <v>0</v>
      </c>
      <c r="K144" s="410">
        <v>0</v>
      </c>
      <c r="L144" s="410">
        <f t="shared" ref="L144:L231" si="54">M144+N144</f>
        <v>1636440</v>
      </c>
      <c r="M144" s="410">
        <v>0</v>
      </c>
      <c r="N144" s="410">
        <v>1636440</v>
      </c>
    </row>
    <row r="145" spans="1:14" s="353" customFormat="1" ht="15" hidden="1" customHeight="1">
      <c r="A145" s="1033"/>
      <c r="B145" s="1030"/>
      <c r="C145" s="1033"/>
      <c r="D145" s="1030"/>
      <c r="E145" s="464"/>
      <c r="F145" s="1059"/>
      <c r="G145" s="412" t="s">
        <v>1</v>
      </c>
      <c r="H145" s="410">
        <f t="shared" si="53"/>
        <v>0</v>
      </c>
      <c r="I145" s="410">
        <v>0</v>
      </c>
      <c r="J145" s="410">
        <v>0</v>
      </c>
      <c r="K145" s="410">
        <v>0</v>
      </c>
      <c r="L145" s="410">
        <f t="shared" si="54"/>
        <v>0</v>
      </c>
      <c r="M145" s="410">
        <v>0</v>
      </c>
      <c r="N145" s="410">
        <v>0</v>
      </c>
    </row>
    <row r="146" spans="1:14" s="353" customFormat="1" ht="15" hidden="1" customHeight="1">
      <c r="A146" s="1033"/>
      <c r="B146" s="1030"/>
      <c r="C146" s="1039"/>
      <c r="D146" s="1032"/>
      <c r="E146" s="465"/>
      <c r="F146" s="1060"/>
      <c r="G146" s="412" t="s">
        <v>2</v>
      </c>
      <c r="H146" s="410">
        <f t="shared" si="53"/>
        <v>1636440</v>
      </c>
      <c r="I146" s="410">
        <f t="shared" ref="I146:I224" si="55">J146+K146</f>
        <v>0</v>
      </c>
      <c r="J146" s="410">
        <f>J144+J145</f>
        <v>0</v>
      </c>
      <c r="K146" s="410">
        <f>K144+K145</f>
        <v>0</v>
      </c>
      <c r="L146" s="410">
        <f t="shared" si="54"/>
        <v>1636440</v>
      </c>
      <c r="M146" s="410">
        <f>M144+M145</f>
        <v>0</v>
      </c>
      <c r="N146" s="410">
        <f>N144+N145</f>
        <v>1636440</v>
      </c>
    </row>
    <row r="147" spans="1:14" s="434" customFormat="1" ht="14.1" customHeight="1">
      <c r="A147" s="1022" t="s">
        <v>81</v>
      </c>
      <c r="B147" s="1023"/>
      <c r="C147" s="1022" t="s">
        <v>169</v>
      </c>
      <c r="D147" s="1023"/>
      <c r="E147" s="448" t="s">
        <v>685</v>
      </c>
      <c r="F147" s="1058" t="s">
        <v>686</v>
      </c>
      <c r="G147" s="409" t="s">
        <v>0</v>
      </c>
      <c r="H147" s="410">
        <f t="shared" si="53"/>
        <v>0</v>
      </c>
      <c r="I147" s="410">
        <f t="shared" si="55"/>
        <v>0</v>
      </c>
      <c r="J147" s="410">
        <v>0</v>
      </c>
      <c r="K147" s="410">
        <v>0</v>
      </c>
      <c r="L147" s="410">
        <f t="shared" si="54"/>
        <v>0</v>
      </c>
      <c r="M147" s="410">
        <v>0</v>
      </c>
      <c r="N147" s="410">
        <v>0</v>
      </c>
    </row>
    <row r="148" spans="1:14" s="434" customFormat="1" ht="14.1" customHeight="1">
      <c r="A148" s="1022"/>
      <c r="B148" s="1030"/>
      <c r="C148" s="1022"/>
      <c r="D148" s="1030"/>
      <c r="E148" s="466"/>
      <c r="F148" s="1059"/>
      <c r="G148" s="412" t="s">
        <v>1</v>
      </c>
      <c r="H148" s="410">
        <f t="shared" si="53"/>
        <v>263158</v>
      </c>
      <c r="I148" s="410">
        <f t="shared" si="55"/>
        <v>0</v>
      </c>
      <c r="J148" s="410">
        <v>0</v>
      </c>
      <c r="K148" s="410">
        <f>233300-233300</f>
        <v>0</v>
      </c>
      <c r="L148" s="410">
        <f t="shared" si="54"/>
        <v>263158</v>
      </c>
      <c r="M148" s="410">
        <v>0</v>
      </c>
      <c r="N148" s="410">
        <v>263158</v>
      </c>
    </row>
    <row r="149" spans="1:14" s="434" customFormat="1" ht="14.1" customHeight="1">
      <c r="A149" s="1022"/>
      <c r="B149" s="1030"/>
      <c r="C149" s="1022"/>
      <c r="D149" s="1030"/>
      <c r="E149" s="467"/>
      <c r="F149" s="1060"/>
      <c r="G149" s="412" t="s">
        <v>2</v>
      </c>
      <c r="H149" s="410">
        <f t="shared" si="53"/>
        <v>263158</v>
      </c>
      <c r="I149" s="410">
        <f t="shared" si="55"/>
        <v>0</v>
      </c>
      <c r="J149" s="410">
        <f>J147+J148</f>
        <v>0</v>
      </c>
      <c r="K149" s="410">
        <f>K147+K148</f>
        <v>0</v>
      </c>
      <c r="L149" s="410">
        <f t="shared" si="54"/>
        <v>263158</v>
      </c>
      <c r="M149" s="410">
        <f>M147+M148</f>
        <v>0</v>
      </c>
      <c r="N149" s="410">
        <f>N147+N148</f>
        <v>263158</v>
      </c>
    </row>
    <row r="150" spans="1:14" s="434" customFormat="1" ht="14.1" hidden="1" customHeight="1">
      <c r="A150" s="1037" t="s">
        <v>45</v>
      </c>
      <c r="B150" s="1038"/>
      <c r="C150" s="1037" t="s">
        <v>186</v>
      </c>
      <c r="D150" s="1038"/>
      <c r="E150" s="448" t="s">
        <v>687</v>
      </c>
      <c r="F150" s="1058" t="s">
        <v>688</v>
      </c>
      <c r="G150" s="409" t="s">
        <v>0</v>
      </c>
      <c r="H150" s="410">
        <f t="shared" si="53"/>
        <v>0</v>
      </c>
      <c r="I150" s="410">
        <f t="shared" si="55"/>
        <v>0</v>
      </c>
      <c r="J150" s="410">
        <v>0</v>
      </c>
      <c r="K150" s="410">
        <v>0</v>
      </c>
      <c r="L150" s="410">
        <f t="shared" si="54"/>
        <v>0</v>
      </c>
      <c r="M150" s="410">
        <v>0</v>
      </c>
      <c r="N150" s="410">
        <v>0</v>
      </c>
    </row>
    <row r="151" spans="1:14" s="434" customFormat="1" ht="14.1" hidden="1" customHeight="1">
      <c r="A151" s="1022"/>
      <c r="B151" s="1030"/>
      <c r="C151" s="1022"/>
      <c r="D151" s="1030"/>
      <c r="E151" s="466"/>
      <c r="F151" s="1059"/>
      <c r="G151" s="412" t="s">
        <v>1</v>
      </c>
      <c r="H151" s="410">
        <f t="shared" si="53"/>
        <v>0</v>
      </c>
      <c r="I151" s="410">
        <f t="shared" si="55"/>
        <v>0</v>
      </c>
      <c r="J151" s="410">
        <v>0</v>
      </c>
      <c r="K151" s="410">
        <v>0</v>
      </c>
      <c r="L151" s="410">
        <f t="shared" si="54"/>
        <v>0</v>
      </c>
      <c r="M151" s="410">
        <v>0</v>
      </c>
      <c r="N151" s="410">
        <v>0</v>
      </c>
    </row>
    <row r="152" spans="1:14" s="434" customFormat="1" ht="14.1" hidden="1" customHeight="1">
      <c r="A152" s="1031"/>
      <c r="B152" s="1032"/>
      <c r="C152" s="1031"/>
      <c r="D152" s="1032"/>
      <c r="E152" s="466"/>
      <c r="F152" s="1060"/>
      <c r="G152" s="412" t="s">
        <v>2</v>
      </c>
      <c r="H152" s="410">
        <f t="shared" si="53"/>
        <v>0</v>
      </c>
      <c r="I152" s="410">
        <f t="shared" si="55"/>
        <v>0</v>
      </c>
      <c r="J152" s="410">
        <f>J150+J151</f>
        <v>0</v>
      </c>
      <c r="K152" s="410">
        <f>K150+K151</f>
        <v>0</v>
      </c>
      <c r="L152" s="410">
        <f t="shared" si="54"/>
        <v>0</v>
      </c>
      <c r="M152" s="410">
        <f>M150+M151</f>
        <v>0</v>
      </c>
      <c r="N152" s="410">
        <f>N150+N151</f>
        <v>0</v>
      </c>
    </row>
    <row r="153" spans="1:14" s="353" customFormat="1" ht="15" hidden="1" customHeight="1">
      <c r="A153" s="1035" t="s">
        <v>51</v>
      </c>
      <c r="B153" s="1036"/>
      <c r="C153" s="1035" t="s">
        <v>196</v>
      </c>
      <c r="D153" s="1036"/>
      <c r="E153" s="444" t="s">
        <v>689</v>
      </c>
      <c r="F153" s="1058" t="s">
        <v>690</v>
      </c>
      <c r="G153" s="409" t="s">
        <v>0</v>
      </c>
      <c r="H153" s="410">
        <f t="shared" si="53"/>
        <v>2380000</v>
      </c>
      <c r="I153" s="410">
        <f t="shared" si="55"/>
        <v>2380000</v>
      </c>
      <c r="J153" s="410">
        <v>2380000</v>
      </c>
      <c r="K153" s="410">
        <v>0</v>
      </c>
      <c r="L153" s="410">
        <f t="shared" si="54"/>
        <v>0</v>
      </c>
      <c r="M153" s="410">
        <v>0</v>
      </c>
      <c r="N153" s="410">
        <v>0</v>
      </c>
    </row>
    <row r="154" spans="1:14" s="353" customFormat="1" ht="15" hidden="1" customHeight="1">
      <c r="A154" s="1033"/>
      <c r="B154" s="1030"/>
      <c r="C154" s="1033"/>
      <c r="D154" s="1030"/>
      <c r="E154" s="447"/>
      <c r="F154" s="1059"/>
      <c r="G154" s="412" t="s">
        <v>1</v>
      </c>
      <c r="H154" s="410">
        <f t="shared" si="53"/>
        <v>0</v>
      </c>
      <c r="I154" s="410">
        <f t="shared" si="55"/>
        <v>0</v>
      </c>
      <c r="J154" s="410">
        <v>0</v>
      </c>
      <c r="K154" s="410">
        <v>0</v>
      </c>
      <c r="L154" s="410">
        <f t="shared" si="54"/>
        <v>0</v>
      </c>
      <c r="M154" s="410">
        <v>0</v>
      </c>
      <c r="N154" s="410">
        <v>0</v>
      </c>
    </row>
    <row r="155" spans="1:14" s="353" customFormat="1" ht="15" hidden="1" customHeight="1">
      <c r="A155" s="1033"/>
      <c r="B155" s="1030"/>
      <c r="C155" s="1033"/>
      <c r="D155" s="1030"/>
      <c r="E155" s="447"/>
      <c r="F155" s="1060"/>
      <c r="G155" s="412" t="s">
        <v>2</v>
      </c>
      <c r="H155" s="410">
        <f t="shared" si="53"/>
        <v>2380000</v>
      </c>
      <c r="I155" s="410">
        <f t="shared" si="55"/>
        <v>2380000</v>
      </c>
      <c r="J155" s="410">
        <f>J153+J154</f>
        <v>2380000</v>
      </c>
      <c r="K155" s="410">
        <f>K153+K154</f>
        <v>0</v>
      </c>
      <c r="L155" s="410">
        <f t="shared" si="54"/>
        <v>0</v>
      </c>
      <c r="M155" s="410">
        <f>M153+M154</f>
        <v>0</v>
      </c>
      <c r="N155" s="410">
        <f>N153+N154</f>
        <v>0</v>
      </c>
    </row>
    <row r="156" spans="1:14" s="353" customFormat="1" ht="15" hidden="1" customHeight="1">
      <c r="A156" s="1033"/>
      <c r="B156" s="1034"/>
      <c r="C156" s="1033"/>
      <c r="D156" s="1034"/>
      <c r="E156" s="447"/>
      <c r="F156" s="1058" t="s">
        <v>691</v>
      </c>
      <c r="G156" s="409" t="s">
        <v>0</v>
      </c>
      <c r="H156" s="410">
        <f t="shared" si="53"/>
        <v>2805000</v>
      </c>
      <c r="I156" s="410">
        <f t="shared" si="55"/>
        <v>2805000</v>
      </c>
      <c r="J156" s="410">
        <v>2805000</v>
      </c>
      <c r="K156" s="410">
        <v>0</v>
      </c>
      <c r="L156" s="410">
        <f t="shared" si="54"/>
        <v>0</v>
      </c>
      <c r="M156" s="410">
        <v>0</v>
      </c>
      <c r="N156" s="410">
        <v>0</v>
      </c>
    </row>
    <row r="157" spans="1:14" s="353" customFormat="1" ht="15" hidden="1" customHeight="1">
      <c r="A157" s="1033"/>
      <c r="B157" s="1030"/>
      <c r="C157" s="1033"/>
      <c r="D157" s="1030"/>
      <c r="E157" s="447"/>
      <c r="F157" s="1059"/>
      <c r="G157" s="412" t="s">
        <v>1</v>
      </c>
      <c r="H157" s="410">
        <f t="shared" si="53"/>
        <v>0</v>
      </c>
      <c r="I157" s="410">
        <f t="shared" si="55"/>
        <v>0</v>
      </c>
      <c r="J157" s="410">
        <v>0</v>
      </c>
      <c r="K157" s="410">
        <v>0</v>
      </c>
      <c r="L157" s="410">
        <f t="shared" si="54"/>
        <v>0</v>
      </c>
      <c r="M157" s="410">
        <v>0</v>
      </c>
      <c r="N157" s="410">
        <v>0</v>
      </c>
    </row>
    <row r="158" spans="1:14" s="353" customFormat="1" ht="15" hidden="1" customHeight="1">
      <c r="A158" s="1033"/>
      <c r="B158" s="1030"/>
      <c r="C158" s="1033"/>
      <c r="D158" s="1030"/>
      <c r="E158" s="447"/>
      <c r="F158" s="1060"/>
      <c r="G158" s="412" t="s">
        <v>2</v>
      </c>
      <c r="H158" s="410">
        <f t="shared" si="53"/>
        <v>2805000</v>
      </c>
      <c r="I158" s="410">
        <f t="shared" si="55"/>
        <v>2805000</v>
      </c>
      <c r="J158" s="410">
        <f>J156+J157</f>
        <v>2805000</v>
      </c>
      <c r="K158" s="410">
        <f>K156+K157</f>
        <v>0</v>
      </c>
      <c r="L158" s="410">
        <f t="shared" si="54"/>
        <v>0</v>
      </c>
      <c r="M158" s="410">
        <f>M156+M157</f>
        <v>0</v>
      </c>
      <c r="N158" s="410">
        <f>N156+N157</f>
        <v>0</v>
      </c>
    </row>
    <row r="159" spans="1:14" s="353" customFormat="1" ht="15" hidden="1" customHeight="1">
      <c r="A159" s="1033"/>
      <c r="B159" s="1034"/>
      <c r="C159" s="1033"/>
      <c r="D159" s="1034"/>
      <c r="E159" s="447"/>
      <c r="F159" s="1058" t="s">
        <v>692</v>
      </c>
      <c r="G159" s="409" t="s">
        <v>0</v>
      </c>
      <c r="H159" s="410">
        <f t="shared" si="53"/>
        <v>2361992</v>
      </c>
      <c r="I159" s="410">
        <f t="shared" si="55"/>
        <v>2361992</v>
      </c>
      <c r="J159" s="410">
        <v>2361992</v>
      </c>
      <c r="K159" s="410">
        <v>0</v>
      </c>
      <c r="L159" s="410">
        <f t="shared" si="54"/>
        <v>0</v>
      </c>
      <c r="M159" s="410">
        <v>0</v>
      </c>
      <c r="N159" s="410">
        <v>0</v>
      </c>
    </row>
    <row r="160" spans="1:14" s="353" customFormat="1" ht="15" hidden="1" customHeight="1">
      <c r="A160" s="1033"/>
      <c r="B160" s="1030"/>
      <c r="C160" s="1033"/>
      <c r="D160" s="1030"/>
      <c r="E160" s="447"/>
      <c r="F160" s="1059"/>
      <c r="G160" s="412" t="s">
        <v>1</v>
      </c>
      <c r="H160" s="410">
        <f t="shared" si="53"/>
        <v>0</v>
      </c>
      <c r="I160" s="410">
        <f t="shared" si="55"/>
        <v>0</v>
      </c>
      <c r="J160" s="410">
        <v>0</v>
      </c>
      <c r="K160" s="410">
        <v>0</v>
      </c>
      <c r="L160" s="410">
        <f t="shared" si="54"/>
        <v>0</v>
      </c>
      <c r="M160" s="410">
        <v>0</v>
      </c>
      <c r="N160" s="410">
        <v>0</v>
      </c>
    </row>
    <row r="161" spans="1:14" s="353" customFormat="1" ht="15" hidden="1" customHeight="1">
      <c r="A161" s="1039"/>
      <c r="B161" s="1032"/>
      <c r="C161" s="1039"/>
      <c r="D161" s="1032"/>
      <c r="E161" s="468"/>
      <c r="F161" s="1060"/>
      <c r="G161" s="412" t="s">
        <v>2</v>
      </c>
      <c r="H161" s="410">
        <f t="shared" si="53"/>
        <v>2361992</v>
      </c>
      <c r="I161" s="410">
        <f t="shared" si="55"/>
        <v>2361992</v>
      </c>
      <c r="J161" s="410">
        <f>J159+J160</f>
        <v>2361992</v>
      </c>
      <c r="K161" s="410">
        <f>K159+K160</f>
        <v>0</v>
      </c>
      <c r="L161" s="410">
        <f t="shared" si="54"/>
        <v>0</v>
      </c>
      <c r="M161" s="410">
        <f>M159+M160</f>
        <v>0</v>
      </c>
      <c r="N161" s="410">
        <f>N159+N160</f>
        <v>0</v>
      </c>
    </row>
    <row r="162" spans="1:14" s="434" customFormat="1" ht="15" hidden="1" customHeight="1">
      <c r="A162" s="1037" t="s">
        <v>53</v>
      </c>
      <c r="B162" s="1038"/>
      <c r="C162" s="1037" t="s">
        <v>212</v>
      </c>
      <c r="D162" s="1038"/>
      <c r="E162" s="466" t="s">
        <v>693</v>
      </c>
      <c r="F162" s="1058" t="s">
        <v>694</v>
      </c>
      <c r="G162" s="409" t="s">
        <v>0</v>
      </c>
      <c r="H162" s="410">
        <f t="shared" si="53"/>
        <v>5288425</v>
      </c>
      <c r="I162" s="410">
        <f t="shared" si="55"/>
        <v>5288425</v>
      </c>
      <c r="J162" s="410">
        <v>5195514</v>
      </c>
      <c r="K162" s="410">
        <v>92911</v>
      </c>
      <c r="L162" s="410">
        <f t="shared" si="54"/>
        <v>0</v>
      </c>
      <c r="M162" s="410">
        <v>0</v>
      </c>
      <c r="N162" s="410">
        <v>0</v>
      </c>
    </row>
    <row r="163" spans="1:14" s="434" customFormat="1" ht="15" hidden="1" customHeight="1">
      <c r="A163" s="1022"/>
      <c r="B163" s="1030"/>
      <c r="C163" s="1022"/>
      <c r="D163" s="1030"/>
      <c r="E163" s="466"/>
      <c r="F163" s="1059"/>
      <c r="G163" s="412" t="s">
        <v>1</v>
      </c>
      <c r="H163" s="410">
        <f t="shared" si="53"/>
        <v>0</v>
      </c>
      <c r="I163" s="410">
        <f t="shared" si="55"/>
        <v>0</v>
      </c>
      <c r="J163" s="410">
        <v>0</v>
      </c>
      <c r="K163" s="410">
        <v>0</v>
      </c>
      <c r="L163" s="410">
        <f t="shared" si="54"/>
        <v>0</v>
      </c>
      <c r="M163" s="410">
        <v>0</v>
      </c>
      <c r="N163" s="410">
        <v>0</v>
      </c>
    </row>
    <row r="164" spans="1:14" s="434" customFormat="1" ht="15" hidden="1" customHeight="1">
      <c r="A164" s="1022"/>
      <c r="B164" s="1030"/>
      <c r="C164" s="1022"/>
      <c r="D164" s="1030"/>
      <c r="E164" s="466"/>
      <c r="F164" s="1060"/>
      <c r="G164" s="412" t="s">
        <v>2</v>
      </c>
      <c r="H164" s="410">
        <f t="shared" si="53"/>
        <v>5288425</v>
      </c>
      <c r="I164" s="410">
        <f t="shared" si="55"/>
        <v>5288425</v>
      </c>
      <c r="J164" s="410">
        <f>J162+J163</f>
        <v>5195514</v>
      </c>
      <c r="K164" s="410">
        <f>K162+K163</f>
        <v>92911</v>
      </c>
      <c r="L164" s="410">
        <f t="shared" si="54"/>
        <v>0</v>
      </c>
      <c r="M164" s="410">
        <f>M162+M163</f>
        <v>0</v>
      </c>
      <c r="N164" s="410">
        <f>N162+N163</f>
        <v>0</v>
      </c>
    </row>
    <row r="165" spans="1:14" s="434" customFormat="1" ht="14.1" hidden="1" customHeight="1">
      <c r="A165" s="1022"/>
      <c r="B165" s="1023"/>
      <c r="C165" s="1022"/>
      <c r="D165" s="1023"/>
      <c r="E165" s="466"/>
      <c r="F165" s="1061" t="s">
        <v>695</v>
      </c>
      <c r="G165" s="409" t="s">
        <v>0</v>
      </c>
      <c r="H165" s="410">
        <f t="shared" si="53"/>
        <v>98379</v>
      </c>
      <c r="I165" s="410">
        <f t="shared" si="55"/>
        <v>98379</v>
      </c>
      <c r="J165" s="410">
        <v>98379</v>
      </c>
      <c r="K165" s="410">
        <v>0</v>
      </c>
      <c r="L165" s="410">
        <f t="shared" si="54"/>
        <v>0</v>
      </c>
      <c r="M165" s="410">
        <v>0</v>
      </c>
      <c r="N165" s="410">
        <v>0</v>
      </c>
    </row>
    <row r="166" spans="1:14" s="434" customFormat="1" ht="14.1" hidden="1" customHeight="1">
      <c r="A166" s="1022"/>
      <c r="B166" s="1040"/>
      <c r="C166" s="1022"/>
      <c r="D166" s="1040"/>
      <c r="E166" s="466"/>
      <c r="F166" s="1062"/>
      <c r="G166" s="412" t="s">
        <v>1</v>
      </c>
      <c r="H166" s="410">
        <f t="shared" si="53"/>
        <v>0</v>
      </c>
      <c r="I166" s="410">
        <f t="shared" si="55"/>
        <v>0</v>
      </c>
      <c r="J166" s="410">
        <v>0</v>
      </c>
      <c r="K166" s="410">
        <v>0</v>
      </c>
      <c r="L166" s="410">
        <f t="shared" si="54"/>
        <v>0</v>
      </c>
      <c r="M166" s="410">
        <v>0</v>
      </c>
      <c r="N166" s="410">
        <v>0</v>
      </c>
    </row>
    <row r="167" spans="1:14" s="434" customFormat="1" ht="14.1" hidden="1" customHeight="1">
      <c r="A167" s="1022"/>
      <c r="B167" s="1040"/>
      <c r="C167" s="1022"/>
      <c r="D167" s="1040"/>
      <c r="E167" s="467"/>
      <c r="F167" s="1063"/>
      <c r="G167" s="412" t="s">
        <v>2</v>
      </c>
      <c r="H167" s="410">
        <f t="shared" si="53"/>
        <v>98379</v>
      </c>
      <c r="I167" s="410">
        <f t="shared" si="55"/>
        <v>98379</v>
      </c>
      <c r="J167" s="410">
        <f t="shared" ref="J167:K167" si="56">J165+J166</f>
        <v>98379</v>
      </c>
      <c r="K167" s="410">
        <f t="shared" si="56"/>
        <v>0</v>
      </c>
      <c r="L167" s="410">
        <f t="shared" si="54"/>
        <v>0</v>
      </c>
      <c r="M167" s="410">
        <f t="shared" ref="M167:N167" si="57">M165+M166</f>
        <v>0</v>
      </c>
      <c r="N167" s="410">
        <f t="shared" si="57"/>
        <v>0</v>
      </c>
    </row>
    <row r="168" spans="1:14" s="434" customFormat="1" ht="15" hidden="1" customHeight="1">
      <c r="A168" s="1022"/>
      <c r="B168" s="1023"/>
      <c r="C168" s="1022"/>
      <c r="D168" s="1023"/>
      <c r="E168" s="466" t="s">
        <v>696</v>
      </c>
      <c r="F168" s="1058" t="s">
        <v>697</v>
      </c>
      <c r="G168" s="409" t="s">
        <v>0</v>
      </c>
      <c r="H168" s="410">
        <f t="shared" si="53"/>
        <v>1661575</v>
      </c>
      <c r="I168" s="410">
        <f t="shared" si="55"/>
        <v>1661575</v>
      </c>
      <c r="J168" s="410">
        <v>1630486</v>
      </c>
      <c r="K168" s="410">
        <v>31089</v>
      </c>
      <c r="L168" s="410">
        <f t="shared" si="54"/>
        <v>0</v>
      </c>
      <c r="M168" s="410">
        <v>0</v>
      </c>
      <c r="N168" s="410">
        <v>0</v>
      </c>
    </row>
    <row r="169" spans="1:14" s="434" customFormat="1" ht="15" hidden="1" customHeight="1">
      <c r="A169" s="1022"/>
      <c r="B169" s="1030"/>
      <c r="C169" s="1022"/>
      <c r="D169" s="1030"/>
      <c r="E169" s="466"/>
      <c r="F169" s="1059"/>
      <c r="G169" s="412" t="s">
        <v>1</v>
      </c>
      <c r="H169" s="410">
        <f t="shared" si="53"/>
        <v>0</v>
      </c>
      <c r="I169" s="410">
        <f t="shared" si="55"/>
        <v>0</v>
      </c>
      <c r="J169" s="410">
        <v>0</v>
      </c>
      <c r="K169" s="410">
        <v>0</v>
      </c>
      <c r="L169" s="410">
        <f t="shared" si="54"/>
        <v>0</v>
      </c>
      <c r="M169" s="410">
        <v>0</v>
      </c>
      <c r="N169" s="410">
        <v>0</v>
      </c>
    </row>
    <row r="170" spans="1:14" s="434" customFormat="1" ht="15" hidden="1" customHeight="1">
      <c r="A170" s="1022"/>
      <c r="B170" s="1030"/>
      <c r="C170" s="1022"/>
      <c r="D170" s="1030"/>
      <c r="E170" s="467"/>
      <c r="F170" s="1060"/>
      <c r="G170" s="412" t="s">
        <v>2</v>
      </c>
      <c r="H170" s="410">
        <f t="shared" si="53"/>
        <v>1661575</v>
      </c>
      <c r="I170" s="410">
        <f t="shared" si="55"/>
        <v>1661575</v>
      </c>
      <c r="J170" s="410">
        <f>J168+J169</f>
        <v>1630486</v>
      </c>
      <c r="K170" s="410">
        <f>K168+K169</f>
        <v>31089</v>
      </c>
      <c r="L170" s="410">
        <f t="shared" si="54"/>
        <v>0</v>
      </c>
      <c r="M170" s="410">
        <f>M168+M169</f>
        <v>0</v>
      </c>
      <c r="N170" s="410">
        <f>N168+N169</f>
        <v>0</v>
      </c>
    </row>
    <row r="171" spans="1:14" s="434" customFormat="1" ht="15" hidden="1" customHeight="1">
      <c r="A171" s="1022"/>
      <c r="B171" s="1023"/>
      <c r="C171" s="1022"/>
      <c r="D171" s="1023"/>
      <c r="E171" s="466" t="s">
        <v>685</v>
      </c>
      <c r="F171" s="1058" t="s">
        <v>698</v>
      </c>
      <c r="G171" s="409" t="s">
        <v>0</v>
      </c>
      <c r="H171" s="410">
        <f t="shared" si="53"/>
        <v>1164000</v>
      </c>
      <c r="I171" s="410">
        <f t="shared" si="55"/>
        <v>1164000</v>
      </c>
      <c r="J171" s="410">
        <v>84000</v>
      </c>
      <c r="K171" s="410">
        <v>1080000</v>
      </c>
      <c r="L171" s="410">
        <f t="shared" si="54"/>
        <v>0</v>
      </c>
      <c r="M171" s="410">
        <v>0</v>
      </c>
      <c r="N171" s="410">
        <v>0</v>
      </c>
    </row>
    <row r="172" spans="1:14" s="434" customFormat="1" ht="15" hidden="1" customHeight="1">
      <c r="A172" s="1022"/>
      <c r="B172" s="1030"/>
      <c r="C172" s="1022"/>
      <c r="D172" s="1030"/>
      <c r="E172" s="466"/>
      <c r="F172" s="1059"/>
      <c r="G172" s="412" t="s">
        <v>1</v>
      </c>
      <c r="H172" s="410">
        <f t="shared" si="53"/>
        <v>0</v>
      </c>
      <c r="I172" s="410">
        <f t="shared" si="55"/>
        <v>0</v>
      </c>
      <c r="J172" s="410">
        <v>0</v>
      </c>
      <c r="K172" s="410">
        <v>0</v>
      </c>
      <c r="L172" s="410">
        <f t="shared" si="54"/>
        <v>0</v>
      </c>
      <c r="M172" s="410">
        <v>0</v>
      </c>
      <c r="N172" s="410">
        <v>0</v>
      </c>
    </row>
    <row r="173" spans="1:14" s="434" customFormat="1" ht="15" hidden="1" customHeight="1">
      <c r="A173" s="1022"/>
      <c r="B173" s="1030"/>
      <c r="C173" s="1022"/>
      <c r="D173" s="1030"/>
      <c r="E173" s="467"/>
      <c r="F173" s="1060"/>
      <c r="G173" s="412" t="s">
        <v>2</v>
      </c>
      <c r="H173" s="410">
        <f t="shared" si="53"/>
        <v>1164000</v>
      </c>
      <c r="I173" s="410">
        <f t="shared" si="55"/>
        <v>1164000</v>
      </c>
      <c r="J173" s="410">
        <f>J171+J172</f>
        <v>84000</v>
      </c>
      <c r="K173" s="410">
        <f>K171+K172</f>
        <v>1080000</v>
      </c>
      <c r="L173" s="410">
        <f t="shared" si="54"/>
        <v>0</v>
      </c>
      <c r="M173" s="410">
        <f>M171+M172</f>
        <v>0</v>
      </c>
      <c r="N173" s="410">
        <f>N171+N172</f>
        <v>0</v>
      </c>
    </row>
    <row r="174" spans="1:14" s="353" customFormat="1" ht="15" hidden="1" customHeight="1">
      <c r="A174" s="1033"/>
      <c r="B174" s="1034"/>
      <c r="C174" s="1033"/>
      <c r="D174" s="1034"/>
      <c r="E174" s="451" t="s">
        <v>699</v>
      </c>
      <c r="F174" s="1058" t="s">
        <v>700</v>
      </c>
      <c r="G174" s="409" t="s">
        <v>0</v>
      </c>
      <c r="H174" s="410">
        <f t="shared" si="53"/>
        <v>2438632</v>
      </c>
      <c r="I174" s="410">
        <f t="shared" si="55"/>
        <v>2438632</v>
      </c>
      <c r="J174" s="410">
        <v>0</v>
      </c>
      <c r="K174" s="410">
        <v>2438632</v>
      </c>
      <c r="L174" s="410">
        <f t="shared" si="54"/>
        <v>0</v>
      </c>
      <c r="M174" s="410">
        <v>0</v>
      </c>
      <c r="N174" s="410">
        <v>0</v>
      </c>
    </row>
    <row r="175" spans="1:14" s="353" customFormat="1" ht="15" hidden="1" customHeight="1">
      <c r="A175" s="1033"/>
      <c r="B175" s="1030"/>
      <c r="C175" s="1033"/>
      <c r="D175" s="1030"/>
      <c r="E175" s="464"/>
      <c r="F175" s="1059"/>
      <c r="G175" s="412" t="s">
        <v>1</v>
      </c>
      <c r="H175" s="410">
        <f t="shared" si="53"/>
        <v>0</v>
      </c>
      <c r="I175" s="410">
        <f t="shared" si="55"/>
        <v>0</v>
      </c>
      <c r="J175" s="410">
        <v>0</v>
      </c>
      <c r="K175" s="410">
        <v>0</v>
      </c>
      <c r="L175" s="410">
        <f t="shared" si="54"/>
        <v>0</v>
      </c>
      <c r="M175" s="410">
        <v>0</v>
      </c>
      <c r="N175" s="410">
        <v>0</v>
      </c>
    </row>
    <row r="176" spans="1:14" s="353" customFormat="1" ht="15" hidden="1" customHeight="1">
      <c r="A176" s="1033"/>
      <c r="B176" s="1030"/>
      <c r="C176" s="1033"/>
      <c r="D176" s="1030"/>
      <c r="E176" s="465"/>
      <c r="F176" s="1060"/>
      <c r="G176" s="412" t="s">
        <v>2</v>
      </c>
      <c r="H176" s="410">
        <f t="shared" si="53"/>
        <v>2438632</v>
      </c>
      <c r="I176" s="410">
        <f t="shared" si="55"/>
        <v>2438632</v>
      </c>
      <c r="J176" s="410">
        <f>J174+J175</f>
        <v>0</v>
      </c>
      <c r="K176" s="410">
        <f>K174+K175</f>
        <v>2438632</v>
      </c>
      <c r="L176" s="410">
        <f t="shared" si="54"/>
        <v>0</v>
      </c>
      <c r="M176" s="410">
        <f>M174+M175</f>
        <v>0</v>
      </c>
      <c r="N176" s="410">
        <f>N174+N175</f>
        <v>0</v>
      </c>
    </row>
    <row r="177" spans="1:14" s="353" customFormat="1" ht="15" hidden="1" customHeight="1">
      <c r="A177" s="1033"/>
      <c r="B177" s="1034"/>
      <c r="C177" s="1033"/>
      <c r="D177" s="1034"/>
      <c r="E177" s="451" t="s">
        <v>701</v>
      </c>
      <c r="F177" s="1058" t="s">
        <v>702</v>
      </c>
      <c r="G177" s="409" t="s">
        <v>0</v>
      </c>
      <c r="H177" s="410">
        <f t="shared" si="53"/>
        <v>44030</v>
      </c>
      <c r="I177" s="410">
        <f t="shared" si="55"/>
        <v>44030</v>
      </c>
      <c r="J177" s="410">
        <v>0</v>
      </c>
      <c r="K177" s="410">
        <v>44030</v>
      </c>
      <c r="L177" s="410">
        <f t="shared" si="54"/>
        <v>0</v>
      </c>
      <c r="M177" s="410">
        <v>0</v>
      </c>
      <c r="N177" s="410">
        <v>0</v>
      </c>
    </row>
    <row r="178" spans="1:14" s="353" customFormat="1" ht="15" hidden="1" customHeight="1">
      <c r="A178" s="1033"/>
      <c r="B178" s="1030"/>
      <c r="C178" s="1033"/>
      <c r="D178" s="1030"/>
      <c r="E178" s="464"/>
      <c r="F178" s="1059"/>
      <c r="G178" s="412" t="s">
        <v>1</v>
      </c>
      <c r="H178" s="410">
        <f t="shared" si="53"/>
        <v>0</v>
      </c>
      <c r="I178" s="410">
        <f t="shared" si="55"/>
        <v>0</v>
      </c>
      <c r="J178" s="410">
        <v>0</v>
      </c>
      <c r="K178" s="410">
        <v>0</v>
      </c>
      <c r="L178" s="410">
        <f t="shared" si="54"/>
        <v>0</v>
      </c>
      <c r="M178" s="410">
        <v>0</v>
      </c>
      <c r="N178" s="410">
        <v>0</v>
      </c>
    </row>
    <row r="179" spans="1:14" s="353" customFormat="1" ht="15" hidden="1" customHeight="1">
      <c r="A179" s="1039"/>
      <c r="B179" s="1032"/>
      <c r="C179" s="1039"/>
      <c r="D179" s="1032"/>
      <c r="E179" s="465"/>
      <c r="F179" s="1060"/>
      <c r="G179" s="412" t="s">
        <v>2</v>
      </c>
      <c r="H179" s="410">
        <f t="shared" si="53"/>
        <v>44030</v>
      </c>
      <c r="I179" s="410">
        <f t="shared" si="55"/>
        <v>44030</v>
      </c>
      <c r="J179" s="410">
        <f>J177+J178</f>
        <v>0</v>
      </c>
      <c r="K179" s="410">
        <f>K177+K178</f>
        <v>44030</v>
      </c>
      <c r="L179" s="410">
        <f t="shared" si="54"/>
        <v>0</v>
      </c>
      <c r="M179" s="410">
        <f>M177+M178</f>
        <v>0</v>
      </c>
      <c r="N179" s="410">
        <f>N177+N178</f>
        <v>0</v>
      </c>
    </row>
    <row r="180" spans="1:14" s="434" customFormat="1" ht="14.1" customHeight="1">
      <c r="A180" s="1037" t="s">
        <v>59</v>
      </c>
      <c r="B180" s="1038"/>
      <c r="C180" s="1037" t="s">
        <v>703</v>
      </c>
      <c r="D180" s="1038"/>
      <c r="E180" s="466" t="s">
        <v>704</v>
      </c>
      <c r="F180" s="1061" t="s">
        <v>705</v>
      </c>
      <c r="G180" s="409" t="s">
        <v>0</v>
      </c>
      <c r="H180" s="410">
        <f t="shared" si="53"/>
        <v>0</v>
      </c>
      <c r="I180" s="410">
        <f t="shared" si="55"/>
        <v>0</v>
      </c>
      <c r="J180" s="410">
        <v>0</v>
      </c>
      <c r="K180" s="410">
        <v>0</v>
      </c>
      <c r="L180" s="410">
        <f t="shared" si="54"/>
        <v>0</v>
      </c>
      <c r="M180" s="410">
        <v>0</v>
      </c>
      <c r="N180" s="410">
        <v>0</v>
      </c>
    </row>
    <row r="181" spans="1:14" s="434" customFormat="1" ht="14.1" customHeight="1">
      <c r="A181" s="1022"/>
      <c r="B181" s="1040"/>
      <c r="C181" s="1022"/>
      <c r="D181" s="1040"/>
      <c r="E181" s="466"/>
      <c r="F181" s="1062"/>
      <c r="G181" s="412" t="s">
        <v>1</v>
      </c>
      <c r="H181" s="410">
        <f t="shared" si="53"/>
        <v>445685</v>
      </c>
      <c r="I181" s="410">
        <f t="shared" si="55"/>
        <v>445685</v>
      </c>
      <c r="J181" s="410">
        <v>0</v>
      </c>
      <c r="K181" s="410">
        <v>445685</v>
      </c>
      <c r="L181" s="410">
        <f t="shared" si="54"/>
        <v>0</v>
      </c>
      <c r="M181" s="410">
        <v>0</v>
      </c>
      <c r="N181" s="410">
        <v>0</v>
      </c>
    </row>
    <row r="182" spans="1:14" s="434" customFormat="1" ht="14.1" customHeight="1">
      <c r="A182" s="1022"/>
      <c r="B182" s="1040"/>
      <c r="C182" s="1022"/>
      <c r="D182" s="1040"/>
      <c r="E182" s="467"/>
      <c r="F182" s="1063"/>
      <c r="G182" s="412" t="s">
        <v>2</v>
      </c>
      <c r="H182" s="410">
        <f t="shared" si="53"/>
        <v>445685</v>
      </c>
      <c r="I182" s="410">
        <f t="shared" si="55"/>
        <v>445685</v>
      </c>
      <c r="J182" s="410">
        <f t="shared" ref="J182:K182" si="58">J180+J181</f>
        <v>0</v>
      </c>
      <c r="K182" s="410">
        <f t="shared" si="58"/>
        <v>445685</v>
      </c>
      <c r="L182" s="410">
        <f t="shared" si="54"/>
        <v>0</v>
      </c>
      <c r="M182" s="410">
        <f t="shared" ref="M182:N182" si="59">M180+M181</f>
        <v>0</v>
      </c>
      <c r="N182" s="410">
        <f t="shared" si="59"/>
        <v>0</v>
      </c>
    </row>
    <row r="183" spans="1:14" s="434" customFormat="1" ht="14.1" hidden="1" customHeight="1">
      <c r="A183" s="1022"/>
      <c r="B183" s="1023"/>
      <c r="C183" s="1037" t="s">
        <v>247</v>
      </c>
      <c r="D183" s="1038"/>
      <c r="E183" s="466" t="s">
        <v>693</v>
      </c>
      <c r="F183" s="1061" t="s">
        <v>695</v>
      </c>
      <c r="G183" s="409" t="s">
        <v>0</v>
      </c>
      <c r="H183" s="410">
        <f t="shared" si="53"/>
        <v>154285</v>
      </c>
      <c r="I183" s="410">
        <f t="shared" si="55"/>
        <v>154285</v>
      </c>
      <c r="J183" s="410">
        <v>154285</v>
      </c>
      <c r="K183" s="410">
        <v>0</v>
      </c>
      <c r="L183" s="410">
        <f t="shared" si="54"/>
        <v>0</v>
      </c>
      <c r="M183" s="410">
        <v>0</v>
      </c>
      <c r="N183" s="410">
        <v>0</v>
      </c>
    </row>
    <row r="184" spans="1:14" s="434" customFormat="1" ht="14.1" hidden="1" customHeight="1">
      <c r="A184" s="1022"/>
      <c r="B184" s="1040"/>
      <c r="C184" s="1022"/>
      <c r="D184" s="1040"/>
      <c r="E184" s="466"/>
      <c r="F184" s="1062"/>
      <c r="G184" s="412" t="s">
        <v>1</v>
      </c>
      <c r="H184" s="410">
        <f t="shared" si="53"/>
        <v>0</v>
      </c>
      <c r="I184" s="410">
        <f t="shared" si="55"/>
        <v>0</v>
      </c>
      <c r="J184" s="410">
        <v>0</v>
      </c>
      <c r="K184" s="410">
        <v>0</v>
      </c>
      <c r="L184" s="410">
        <f t="shared" si="54"/>
        <v>0</v>
      </c>
      <c r="M184" s="410">
        <v>0</v>
      </c>
      <c r="N184" s="410">
        <v>0</v>
      </c>
    </row>
    <row r="185" spans="1:14" s="434" customFormat="1" ht="14.1" hidden="1" customHeight="1">
      <c r="A185" s="1022"/>
      <c r="B185" s="1040"/>
      <c r="C185" s="1022"/>
      <c r="D185" s="1040"/>
      <c r="E185" s="467"/>
      <c r="F185" s="1063"/>
      <c r="G185" s="412" t="s">
        <v>2</v>
      </c>
      <c r="H185" s="410">
        <f t="shared" si="53"/>
        <v>154285</v>
      </c>
      <c r="I185" s="410">
        <f t="shared" si="55"/>
        <v>154285</v>
      </c>
      <c r="J185" s="410">
        <f t="shared" ref="J185:K185" si="60">J183+J184</f>
        <v>154285</v>
      </c>
      <c r="K185" s="410">
        <f t="shared" si="60"/>
        <v>0</v>
      </c>
      <c r="L185" s="410">
        <f t="shared" si="54"/>
        <v>0</v>
      </c>
      <c r="M185" s="410">
        <f t="shared" ref="M185:N185" si="61">M183+M184</f>
        <v>0</v>
      </c>
      <c r="N185" s="410">
        <f t="shared" si="61"/>
        <v>0</v>
      </c>
    </row>
    <row r="186" spans="1:14" s="434" customFormat="1" ht="14.1" hidden="1" customHeight="1">
      <c r="A186" s="1022"/>
      <c r="B186" s="1023"/>
      <c r="C186" s="1022"/>
      <c r="D186" s="1023"/>
      <c r="E186" s="448" t="s">
        <v>696</v>
      </c>
      <c r="F186" s="1058" t="s">
        <v>706</v>
      </c>
      <c r="G186" s="409" t="s">
        <v>0</v>
      </c>
      <c r="H186" s="410">
        <f t="shared" si="53"/>
        <v>2013506</v>
      </c>
      <c r="I186" s="410">
        <f t="shared" si="55"/>
        <v>2013506</v>
      </c>
      <c r="J186" s="410">
        <v>1966727</v>
      </c>
      <c r="K186" s="410">
        <v>46779</v>
      </c>
      <c r="L186" s="410">
        <f t="shared" si="54"/>
        <v>0</v>
      </c>
      <c r="M186" s="410">
        <v>0</v>
      </c>
      <c r="N186" s="410">
        <v>0</v>
      </c>
    </row>
    <row r="187" spans="1:14" s="434" customFormat="1" ht="14.1" hidden="1" customHeight="1">
      <c r="A187" s="1022"/>
      <c r="B187" s="1040"/>
      <c r="C187" s="1022"/>
      <c r="D187" s="1040"/>
      <c r="E187" s="466"/>
      <c r="F187" s="1059"/>
      <c r="G187" s="412" t="s">
        <v>1</v>
      </c>
      <c r="H187" s="410">
        <f t="shared" si="53"/>
        <v>0</v>
      </c>
      <c r="I187" s="410">
        <f t="shared" si="55"/>
        <v>0</v>
      </c>
      <c r="J187" s="410">
        <v>0</v>
      </c>
      <c r="K187" s="410">
        <v>0</v>
      </c>
      <c r="L187" s="410">
        <f t="shared" si="54"/>
        <v>0</v>
      </c>
      <c r="M187" s="410">
        <v>0</v>
      </c>
      <c r="N187" s="410">
        <v>0</v>
      </c>
    </row>
    <row r="188" spans="1:14" s="434" customFormat="1" ht="14.1" hidden="1" customHeight="1">
      <c r="A188" s="1022"/>
      <c r="B188" s="1040"/>
      <c r="C188" s="1022"/>
      <c r="D188" s="1040"/>
      <c r="E188" s="467"/>
      <c r="F188" s="1060"/>
      <c r="G188" s="412" t="s">
        <v>2</v>
      </c>
      <c r="H188" s="410">
        <f t="shared" si="53"/>
        <v>2013506</v>
      </c>
      <c r="I188" s="410">
        <f t="shared" si="55"/>
        <v>2013506</v>
      </c>
      <c r="J188" s="410">
        <f>J186+J187</f>
        <v>1966727</v>
      </c>
      <c r="K188" s="410">
        <f>K186+K187</f>
        <v>46779</v>
      </c>
      <c r="L188" s="410">
        <f t="shared" si="54"/>
        <v>0</v>
      </c>
      <c r="M188" s="410">
        <f>M186+M187</f>
        <v>0</v>
      </c>
      <c r="N188" s="410">
        <f>N186+N187</f>
        <v>0</v>
      </c>
    </row>
    <row r="189" spans="1:14" s="434" customFormat="1" ht="14.1" customHeight="1">
      <c r="A189" s="1022"/>
      <c r="B189" s="1023"/>
      <c r="C189" s="1037" t="s">
        <v>247</v>
      </c>
      <c r="D189" s="1038"/>
      <c r="E189" s="448" t="s">
        <v>685</v>
      </c>
      <c r="F189" s="1058" t="s">
        <v>686</v>
      </c>
      <c r="G189" s="409" t="s">
        <v>0</v>
      </c>
      <c r="H189" s="410">
        <f t="shared" si="53"/>
        <v>2426625</v>
      </c>
      <c r="I189" s="410">
        <f t="shared" si="55"/>
        <v>2000166</v>
      </c>
      <c r="J189" s="410">
        <v>16467</v>
      </c>
      <c r="K189" s="410">
        <v>1983699</v>
      </c>
      <c r="L189" s="410">
        <f t="shared" si="54"/>
        <v>426459</v>
      </c>
      <c r="M189" s="410">
        <v>63459</v>
      </c>
      <c r="N189" s="410">
        <v>363000</v>
      </c>
    </row>
    <row r="190" spans="1:14" s="434" customFormat="1" ht="14.1" customHeight="1">
      <c r="A190" s="1022"/>
      <c r="B190" s="1030"/>
      <c r="C190" s="1022"/>
      <c r="D190" s="1030"/>
      <c r="E190" s="466"/>
      <c r="F190" s="1059"/>
      <c r="G190" s="412" t="s">
        <v>1</v>
      </c>
      <c r="H190" s="410">
        <f t="shared" si="53"/>
        <v>84974</v>
      </c>
      <c r="I190" s="410">
        <f t="shared" si="55"/>
        <v>122170</v>
      </c>
      <c r="J190" s="410">
        <v>2170</v>
      </c>
      <c r="K190" s="410">
        <v>120000</v>
      </c>
      <c r="L190" s="410">
        <f t="shared" si="54"/>
        <v>-37196</v>
      </c>
      <c r="M190" s="410">
        <v>5962</v>
      </c>
      <c r="N190" s="410">
        <v>-43158</v>
      </c>
    </row>
    <row r="191" spans="1:14" s="434" customFormat="1" ht="14.1" customHeight="1">
      <c r="A191" s="1022"/>
      <c r="B191" s="1030"/>
      <c r="C191" s="1022"/>
      <c r="D191" s="1030"/>
      <c r="E191" s="467"/>
      <c r="F191" s="1060"/>
      <c r="G191" s="412" t="s">
        <v>2</v>
      </c>
      <c r="H191" s="410">
        <f t="shared" si="53"/>
        <v>2511599</v>
      </c>
      <c r="I191" s="410">
        <f t="shared" si="55"/>
        <v>2122336</v>
      </c>
      <c r="J191" s="410">
        <f>J189+J190</f>
        <v>18637</v>
      </c>
      <c r="K191" s="410">
        <f>K189+K190</f>
        <v>2103699</v>
      </c>
      <c r="L191" s="410">
        <f t="shared" si="54"/>
        <v>389263</v>
      </c>
      <c r="M191" s="410">
        <f>M189+M190</f>
        <v>69421</v>
      </c>
      <c r="N191" s="410">
        <f>N189+N190</f>
        <v>319842</v>
      </c>
    </row>
    <row r="192" spans="1:14" s="353" customFormat="1" ht="15" hidden="1" customHeight="1">
      <c r="A192" s="1033"/>
      <c r="B192" s="1034"/>
      <c r="C192" s="1033"/>
      <c r="D192" s="1034"/>
      <c r="E192" s="451" t="s">
        <v>707</v>
      </c>
      <c r="F192" s="1058" t="s">
        <v>708</v>
      </c>
      <c r="G192" s="409" t="s">
        <v>0</v>
      </c>
      <c r="H192" s="410">
        <f t="shared" si="53"/>
        <v>320666</v>
      </c>
      <c r="I192" s="410">
        <f t="shared" si="55"/>
        <v>320666</v>
      </c>
      <c r="J192" s="410">
        <v>0</v>
      </c>
      <c r="K192" s="410">
        <v>320666</v>
      </c>
      <c r="L192" s="410">
        <f t="shared" si="54"/>
        <v>0</v>
      </c>
      <c r="M192" s="410">
        <v>0</v>
      </c>
      <c r="N192" s="410">
        <v>0</v>
      </c>
    </row>
    <row r="193" spans="1:14" s="353" customFormat="1" ht="15" hidden="1" customHeight="1">
      <c r="A193" s="1033"/>
      <c r="B193" s="1030"/>
      <c r="C193" s="1033"/>
      <c r="D193" s="1030"/>
      <c r="E193" s="464"/>
      <c r="F193" s="1059"/>
      <c r="G193" s="412" t="s">
        <v>1</v>
      </c>
      <c r="H193" s="410">
        <f t="shared" si="53"/>
        <v>0</v>
      </c>
      <c r="I193" s="410">
        <f t="shared" si="55"/>
        <v>0</v>
      </c>
      <c r="J193" s="410">
        <v>0</v>
      </c>
      <c r="K193" s="410">
        <v>0</v>
      </c>
      <c r="L193" s="410">
        <f t="shared" si="54"/>
        <v>0</v>
      </c>
      <c r="M193" s="410">
        <v>0</v>
      </c>
      <c r="N193" s="410">
        <v>0</v>
      </c>
    </row>
    <row r="194" spans="1:14" s="353" customFormat="1" ht="15" hidden="1" customHeight="1">
      <c r="A194" s="1039"/>
      <c r="B194" s="1032"/>
      <c r="C194" s="1039"/>
      <c r="D194" s="1032"/>
      <c r="E194" s="465"/>
      <c r="F194" s="1060"/>
      <c r="G194" s="412" t="s">
        <v>2</v>
      </c>
      <c r="H194" s="410">
        <f t="shared" si="53"/>
        <v>320666</v>
      </c>
      <c r="I194" s="410">
        <f t="shared" si="55"/>
        <v>320666</v>
      </c>
      <c r="J194" s="410">
        <f>J192+J193</f>
        <v>0</v>
      </c>
      <c r="K194" s="410">
        <f>K192+K193</f>
        <v>320666</v>
      </c>
      <c r="L194" s="410">
        <f t="shared" si="54"/>
        <v>0</v>
      </c>
      <c r="M194" s="410">
        <f>M192+M193</f>
        <v>0</v>
      </c>
      <c r="N194" s="410">
        <f>N192+N193</f>
        <v>0</v>
      </c>
    </row>
    <row r="195" spans="1:14" s="434" customFormat="1" ht="14.1" hidden="1" customHeight="1">
      <c r="A195" s="1037" t="s">
        <v>61</v>
      </c>
      <c r="B195" s="1038"/>
      <c r="C195" s="1037" t="s">
        <v>675</v>
      </c>
      <c r="D195" s="1038"/>
      <c r="E195" s="448" t="s">
        <v>685</v>
      </c>
      <c r="F195" s="1058" t="s">
        <v>686</v>
      </c>
      <c r="G195" s="409" t="s">
        <v>0</v>
      </c>
      <c r="H195" s="410">
        <f t="shared" si="53"/>
        <v>195000</v>
      </c>
      <c r="I195" s="410">
        <f t="shared" si="55"/>
        <v>178000</v>
      </c>
      <c r="J195" s="410">
        <v>0</v>
      </c>
      <c r="K195" s="410">
        <v>178000</v>
      </c>
      <c r="L195" s="410">
        <f t="shared" si="54"/>
        <v>17000</v>
      </c>
      <c r="M195" s="410">
        <v>0</v>
      </c>
      <c r="N195" s="410">
        <v>17000</v>
      </c>
    </row>
    <row r="196" spans="1:14" s="434" customFormat="1" ht="14.1" hidden="1" customHeight="1">
      <c r="A196" s="1022"/>
      <c r="B196" s="1040"/>
      <c r="C196" s="1022"/>
      <c r="D196" s="1040"/>
      <c r="E196" s="466"/>
      <c r="F196" s="1059"/>
      <c r="G196" s="412" t="s">
        <v>1</v>
      </c>
      <c r="H196" s="410">
        <f t="shared" si="53"/>
        <v>0</v>
      </c>
      <c r="I196" s="410">
        <f t="shared" si="55"/>
        <v>0</v>
      </c>
      <c r="J196" s="410">
        <v>0</v>
      </c>
      <c r="K196" s="410">
        <v>0</v>
      </c>
      <c r="L196" s="410">
        <f t="shared" si="54"/>
        <v>0</v>
      </c>
      <c r="M196" s="410">
        <v>0</v>
      </c>
      <c r="N196" s="410">
        <v>0</v>
      </c>
    </row>
    <row r="197" spans="1:14" s="434" customFormat="1" ht="14.1" hidden="1" customHeight="1">
      <c r="A197" s="1031"/>
      <c r="B197" s="1047"/>
      <c r="C197" s="1031"/>
      <c r="D197" s="1047"/>
      <c r="E197" s="467"/>
      <c r="F197" s="1060"/>
      <c r="G197" s="412" t="s">
        <v>2</v>
      </c>
      <c r="H197" s="410">
        <f t="shared" si="53"/>
        <v>195000</v>
      </c>
      <c r="I197" s="410">
        <f t="shared" si="55"/>
        <v>178000</v>
      </c>
      <c r="J197" s="410">
        <f>J195+J196</f>
        <v>0</v>
      </c>
      <c r="K197" s="410">
        <f>K195+K196</f>
        <v>178000</v>
      </c>
      <c r="L197" s="410">
        <f t="shared" si="54"/>
        <v>17000</v>
      </c>
      <c r="M197" s="410">
        <f>M195+M196</f>
        <v>0</v>
      </c>
      <c r="N197" s="410">
        <f>N195+N196</f>
        <v>17000</v>
      </c>
    </row>
    <row r="198" spans="1:14" s="434" customFormat="1" ht="14.1" hidden="1" customHeight="1">
      <c r="A198" s="1037" t="s">
        <v>25</v>
      </c>
      <c r="B198" s="1038"/>
      <c r="C198" s="1037" t="s">
        <v>679</v>
      </c>
      <c r="D198" s="1038"/>
      <c r="E198" s="448" t="s">
        <v>696</v>
      </c>
      <c r="F198" s="1058" t="s">
        <v>706</v>
      </c>
      <c r="G198" s="409" t="s">
        <v>0</v>
      </c>
      <c r="H198" s="410">
        <f t="shared" si="53"/>
        <v>2812874</v>
      </c>
      <c r="I198" s="410">
        <f t="shared" si="55"/>
        <v>62468</v>
      </c>
      <c r="J198" s="410">
        <v>53116</v>
      </c>
      <c r="K198" s="410">
        <v>9352</v>
      </c>
      <c r="L198" s="410">
        <f t="shared" si="54"/>
        <v>2750406</v>
      </c>
      <c r="M198" s="410">
        <v>2672078</v>
      </c>
      <c r="N198" s="410">
        <v>78328</v>
      </c>
    </row>
    <row r="199" spans="1:14" s="434" customFormat="1" ht="14.1" hidden="1" customHeight="1">
      <c r="A199" s="1022"/>
      <c r="B199" s="1040"/>
      <c r="C199" s="1022"/>
      <c r="D199" s="1040"/>
      <c r="E199" s="466"/>
      <c r="F199" s="1059"/>
      <c r="G199" s="412" t="s">
        <v>1</v>
      </c>
      <c r="H199" s="410">
        <f t="shared" si="53"/>
        <v>0</v>
      </c>
      <c r="I199" s="410">
        <f t="shared" si="55"/>
        <v>0</v>
      </c>
      <c r="J199" s="410">
        <v>0</v>
      </c>
      <c r="K199" s="410">
        <v>0</v>
      </c>
      <c r="L199" s="410">
        <f t="shared" si="54"/>
        <v>0</v>
      </c>
      <c r="M199" s="410">
        <v>0</v>
      </c>
      <c r="N199" s="410">
        <v>0</v>
      </c>
    </row>
    <row r="200" spans="1:14" s="434" customFormat="1" ht="14.1" hidden="1" customHeight="1">
      <c r="A200" s="1022"/>
      <c r="B200" s="1040"/>
      <c r="C200" s="1022"/>
      <c r="D200" s="1040"/>
      <c r="E200" s="467"/>
      <c r="F200" s="1060"/>
      <c r="G200" s="412" t="s">
        <v>2</v>
      </c>
      <c r="H200" s="410">
        <f t="shared" si="53"/>
        <v>2812874</v>
      </c>
      <c r="I200" s="410">
        <f t="shared" si="55"/>
        <v>62468</v>
      </c>
      <c r="J200" s="410">
        <f>J198+J199</f>
        <v>53116</v>
      </c>
      <c r="K200" s="410">
        <f>K198+K199</f>
        <v>9352</v>
      </c>
      <c r="L200" s="410">
        <f t="shared" si="54"/>
        <v>2750406</v>
      </c>
      <c r="M200" s="410">
        <f>M198+M199</f>
        <v>2672078</v>
      </c>
      <c r="N200" s="410">
        <f>N198+N199</f>
        <v>78328</v>
      </c>
    </row>
    <row r="201" spans="1:14" s="434" customFormat="1" ht="14.1" customHeight="1">
      <c r="A201" s="1037" t="s">
        <v>25</v>
      </c>
      <c r="B201" s="1038"/>
      <c r="C201" s="1037" t="s">
        <v>679</v>
      </c>
      <c r="D201" s="1038"/>
      <c r="E201" s="448" t="s">
        <v>685</v>
      </c>
      <c r="F201" s="1058" t="s">
        <v>686</v>
      </c>
      <c r="G201" s="409" t="s">
        <v>0</v>
      </c>
      <c r="H201" s="410">
        <f t="shared" si="53"/>
        <v>11032598</v>
      </c>
      <c r="I201" s="410">
        <f t="shared" si="55"/>
        <v>4111554</v>
      </c>
      <c r="J201" s="410">
        <v>1919554</v>
      </c>
      <c r="K201" s="410">
        <f>1643000+549000</f>
        <v>2192000</v>
      </c>
      <c r="L201" s="410">
        <f t="shared" si="54"/>
        <v>6921044</v>
      </c>
      <c r="M201" s="410">
        <v>981520</v>
      </c>
      <c r="N201" s="410">
        <v>5939524</v>
      </c>
    </row>
    <row r="202" spans="1:14" s="434" customFormat="1" ht="14.1" customHeight="1">
      <c r="A202" s="1022"/>
      <c r="B202" s="1040"/>
      <c r="C202" s="1022"/>
      <c r="D202" s="1040"/>
      <c r="E202" s="466"/>
      <c r="F202" s="1059"/>
      <c r="G202" s="412" t="s">
        <v>1</v>
      </c>
      <c r="H202" s="410">
        <f t="shared" si="53"/>
        <v>-352849</v>
      </c>
      <c r="I202" s="410">
        <f t="shared" si="55"/>
        <v>-850000</v>
      </c>
      <c r="J202" s="410">
        <v>-960000</v>
      </c>
      <c r="K202" s="410">
        <f>-50000+160000</f>
        <v>110000</v>
      </c>
      <c r="L202" s="410">
        <f t="shared" si="54"/>
        <v>497151</v>
      </c>
      <c r="M202" s="410">
        <v>-52849</v>
      </c>
      <c r="N202" s="410">
        <v>550000</v>
      </c>
    </row>
    <row r="203" spans="1:14" s="434" customFormat="1" ht="14.1" customHeight="1">
      <c r="A203" s="1022"/>
      <c r="B203" s="1040"/>
      <c r="C203" s="1022"/>
      <c r="D203" s="1040"/>
      <c r="E203" s="466"/>
      <c r="F203" s="1060"/>
      <c r="G203" s="412" t="s">
        <v>2</v>
      </c>
      <c r="H203" s="410">
        <f t="shared" si="53"/>
        <v>10679749</v>
      </c>
      <c r="I203" s="410">
        <f t="shared" si="55"/>
        <v>3261554</v>
      </c>
      <c r="J203" s="410">
        <f>J201+J202</f>
        <v>959554</v>
      </c>
      <c r="K203" s="410">
        <f>K201+K202</f>
        <v>2302000</v>
      </c>
      <c r="L203" s="410">
        <f t="shared" si="54"/>
        <v>7418195</v>
      </c>
      <c r="M203" s="410">
        <f>M201+M202</f>
        <v>928671</v>
      </c>
      <c r="N203" s="410">
        <f>N201+N202</f>
        <v>6489524</v>
      </c>
    </row>
    <row r="204" spans="1:14" s="434" customFormat="1" ht="14.1" customHeight="1">
      <c r="A204" s="1022"/>
      <c r="B204" s="1023"/>
      <c r="C204" s="1022"/>
      <c r="D204" s="1023"/>
      <c r="E204" s="448" t="s">
        <v>709</v>
      </c>
      <c r="F204" s="1058" t="s">
        <v>710</v>
      </c>
      <c r="G204" s="409" t="s">
        <v>0</v>
      </c>
      <c r="H204" s="410">
        <f t="shared" si="53"/>
        <v>8454981</v>
      </c>
      <c r="I204" s="410">
        <f t="shared" si="55"/>
        <v>4330442</v>
      </c>
      <c r="J204" s="410">
        <v>0</v>
      </c>
      <c r="K204" s="410">
        <f>2660782+1669660</f>
        <v>4330442</v>
      </c>
      <c r="L204" s="410">
        <f t="shared" si="54"/>
        <v>4124539</v>
      </c>
      <c r="M204" s="410">
        <v>0</v>
      </c>
      <c r="N204" s="410">
        <v>4124539</v>
      </c>
    </row>
    <row r="205" spans="1:14" s="434" customFormat="1" ht="14.1" customHeight="1">
      <c r="A205" s="1022"/>
      <c r="B205" s="1040"/>
      <c r="C205" s="1022"/>
      <c r="D205" s="1040"/>
      <c r="E205" s="466"/>
      <c r="F205" s="1059"/>
      <c r="G205" s="412" t="s">
        <v>1</v>
      </c>
      <c r="H205" s="410">
        <f t="shared" si="53"/>
        <v>-900000</v>
      </c>
      <c r="I205" s="410">
        <f t="shared" si="55"/>
        <v>0</v>
      </c>
      <c r="J205" s="410">
        <v>0</v>
      </c>
      <c r="K205" s="410">
        <v>0</v>
      </c>
      <c r="L205" s="410">
        <f t="shared" si="54"/>
        <v>-900000</v>
      </c>
      <c r="M205" s="410">
        <v>0</v>
      </c>
      <c r="N205" s="410">
        <v>-900000</v>
      </c>
    </row>
    <row r="206" spans="1:14" s="434" customFormat="1" ht="14.1" customHeight="1">
      <c r="A206" s="1022"/>
      <c r="B206" s="1040"/>
      <c r="C206" s="1022"/>
      <c r="D206" s="1040"/>
      <c r="E206" s="466"/>
      <c r="F206" s="1060"/>
      <c r="G206" s="412" t="s">
        <v>2</v>
      </c>
      <c r="H206" s="410">
        <f t="shared" si="53"/>
        <v>7554981</v>
      </c>
      <c r="I206" s="410">
        <f t="shared" si="55"/>
        <v>4330442</v>
      </c>
      <c r="J206" s="410">
        <f>J204+J205</f>
        <v>0</v>
      </c>
      <c r="K206" s="410">
        <f>K204+K205</f>
        <v>4330442</v>
      </c>
      <c r="L206" s="410">
        <f t="shared" si="54"/>
        <v>3224539</v>
      </c>
      <c r="M206" s="410">
        <f>M204+M205</f>
        <v>0</v>
      </c>
      <c r="N206" s="410">
        <f>N204+N205</f>
        <v>3224539</v>
      </c>
    </row>
    <row r="207" spans="1:14" s="434" customFormat="1" ht="15" hidden="1" customHeight="1">
      <c r="A207" s="1022"/>
      <c r="B207" s="1023"/>
      <c r="C207" s="1022"/>
      <c r="D207" s="1023"/>
      <c r="E207" s="466"/>
      <c r="F207" s="1058" t="s">
        <v>711</v>
      </c>
      <c r="G207" s="409" t="s">
        <v>0</v>
      </c>
      <c r="H207" s="410">
        <f t="shared" si="53"/>
        <v>600661</v>
      </c>
      <c r="I207" s="410">
        <f t="shared" si="55"/>
        <v>0</v>
      </c>
      <c r="J207" s="410">
        <v>0</v>
      </c>
      <c r="K207" s="410">
        <v>0</v>
      </c>
      <c r="L207" s="410">
        <f t="shared" si="54"/>
        <v>600661</v>
      </c>
      <c r="M207" s="410">
        <v>0</v>
      </c>
      <c r="N207" s="410">
        <v>600661</v>
      </c>
    </row>
    <row r="208" spans="1:14" s="434" customFormat="1" ht="15" hidden="1" customHeight="1">
      <c r="A208" s="1022"/>
      <c r="B208" s="1040"/>
      <c r="C208" s="1022"/>
      <c r="D208" s="1040"/>
      <c r="E208" s="466"/>
      <c r="F208" s="1059"/>
      <c r="G208" s="412" t="s">
        <v>1</v>
      </c>
      <c r="H208" s="410">
        <f t="shared" si="53"/>
        <v>0</v>
      </c>
      <c r="I208" s="410">
        <f t="shared" si="55"/>
        <v>0</v>
      </c>
      <c r="J208" s="410">
        <v>0</v>
      </c>
      <c r="K208" s="410">
        <v>0</v>
      </c>
      <c r="L208" s="410">
        <f t="shared" si="54"/>
        <v>0</v>
      </c>
      <c r="M208" s="410">
        <v>0</v>
      </c>
      <c r="N208" s="410">
        <v>0</v>
      </c>
    </row>
    <row r="209" spans="1:14" s="434" customFormat="1" ht="15" hidden="1" customHeight="1">
      <c r="A209" s="1022"/>
      <c r="B209" s="1040"/>
      <c r="C209" s="1022"/>
      <c r="D209" s="1040"/>
      <c r="E209" s="466"/>
      <c r="F209" s="1060"/>
      <c r="G209" s="412" t="s">
        <v>2</v>
      </c>
      <c r="H209" s="410">
        <f t="shared" si="53"/>
        <v>600661</v>
      </c>
      <c r="I209" s="410">
        <f t="shared" si="55"/>
        <v>0</v>
      </c>
      <c r="J209" s="410">
        <f>J207+J208</f>
        <v>0</v>
      </c>
      <c r="K209" s="410">
        <f>K207+K208</f>
        <v>0</v>
      </c>
      <c r="L209" s="410">
        <f t="shared" si="54"/>
        <v>600661</v>
      </c>
      <c r="M209" s="410">
        <f>M207+M208</f>
        <v>0</v>
      </c>
      <c r="N209" s="410">
        <f>N207+N208</f>
        <v>600661</v>
      </c>
    </row>
    <row r="210" spans="1:14" s="434" customFormat="1" ht="14.1" customHeight="1">
      <c r="A210" s="1022"/>
      <c r="B210" s="1023"/>
      <c r="C210" s="1022"/>
      <c r="D210" s="1023"/>
      <c r="E210" s="448" t="s">
        <v>712</v>
      </c>
      <c r="F210" s="1058" t="s">
        <v>713</v>
      </c>
      <c r="G210" s="409" t="s">
        <v>0</v>
      </c>
      <c r="H210" s="410">
        <f t="shared" si="53"/>
        <v>1862796</v>
      </c>
      <c r="I210" s="410">
        <f t="shared" si="55"/>
        <v>1214288</v>
      </c>
      <c r="J210" s="410">
        <v>0</v>
      </c>
      <c r="K210" s="410">
        <v>1214288</v>
      </c>
      <c r="L210" s="410">
        <f t="shared" si="54"/>
        <v>648508</v>
      </c>
      <c r="M210" s="410">
        <v>0</v>
      </c>
      <c r="N210" s="410">
        <v>648508</v>
      </c>
    </row>
    <row r="211" spans="1:14" s="434" customFormat="1" ht="14.1" customHeight="1">
      <c r="A211" s="1022"/>
      <c r="B211" s="1040"/>
      <c r="C211" s="1022"/>
      <c r="D211" s="1040"/>
      <c r="E211" s="466"/>
      <c r="F211" s="1059"/>
      <c r="G211" s="412" t="s">
        <v>1</v>
      </c>
      <c r="H211" s="410">
        <f t="shared" si="53"/>
        <v>411265</v>
      </c>
      <c r="I211" s="410">
        <f t="shared" si="55"/>
        <v>125646</v>
      </c>
      <c r="J211" s="410">
        <v>0</v>
      </c>
      <c r="K211" s="410">
        <v>125646</v>
      </c>
      <c r="L211" s="410">
        <f t="shared" si="54"/>
        <v>285619</v>
      </c>
      <c r="M211" s="410">
        <v>0</v>
      </c>
      <c r="N211" s="410">
        <v>285619</v>
      </c>
    </row>
    <row r="212" spans="1:14" s="434" customFormat="1" ht="14.1" customHeight="1">
      <c r="A212" s="1022"/>
      <c r="B212" s="1040"/>
      <c r="C212" s="1022"/>
      <c r="D212" s="1040"/>
      <c r="E212" s="466"/>
      <c r="F212" s="1060"/>
      <c r="G212" s="412" t="s">
        <v>2</v>
      </c>
      <c r="H212" s="410">
        <f t="shared" si="53"/>
        <v>2274061</v>
      </c>
      <c r="I212" s="410">
        <f t="shared" si="55"/>
        <v>1339934</v>
      </c>
      <c r="J212" s="410">
        <f>J210+J211</f>
        <v>0</v>
      </c>
      <c r="K212" s="410">
        <f>K210+K211</f>
        <v>1339934</v>
      </c>
      <c r="L212" s="410">
        <f t="shared" si="54"/>
        <v>934127</v>
      </c>
      <c r="M212" s="410">
        <f>M210+M211</f>
        <v>0</v>
      </c>
      <c r="N212" s="410">
        <f>N210+N211</f>
        <v>934127</v>
      </c>
    </row>
    <row r="213" spans="1:14" s="434" customFormat="1" ht="15" hidden="1" customHeight="1">
      <c r="A213" s="1022"/>
      <c r="B213" s="1023"/>
      <c r="C213" s="1022"/>
      <c r="D213" s="1023"/>
      <c r="E213" s="466"/>
      <c r="F213" s="1058" t="s">
        <v>714</v>
      </c>
      <c r="G213" s="409" t="s">
        <v>0</v>
      </c>
      <c r="H213" s="410">
        <f t="shared" si="53"/>
        <v>2504226</v>
      </c>
      <c r="I213" s="410">
        <f t="shared" si="55"/>
        <v>0</v>
      </c>
      <c r="J213" s="410">
        <v>0</v>
      </c>
      <c r="K213" s="410">
        <v>0</v>
      </c>
      <c r="L213" s="410">
        <f t="shared" si="54"/>
        <v>2504226</v>
      </c>
      <c r="M213" s="410">
        <v>0</v>
      </c>
      <c r="N213" s="410">
        <v>2504226</v>
      </c>
    </row>
    <row r="214" spans="1:14" s="434" customFormat="1" ht="15" hidden="1" customHeight="1">
      <c r="A214" s="1022"/>
      <c r="B214" s="1040"/>
      <c r="C214" s="1022"/>
      <c r="D214" s="1040"/>
      <c r="E214" s="466"/>
      <c r="F214" s="1059"/>
      <c r="G214" s="412" t="s">
        <v>1</v>
      </c>
      <c r="H214" s="410">
        <f t="shared" si="53"/>
        <v>0</v>
      </c>
      <c r="I214" s="410">
        <f t="shared" si="55"/>
        <v>0</v>
      </c>
      <c r="J214" s="410">
        <v>0</v>
      </c>
      <c r="K214" s="410">
        <v>0</v>
      </c>
      <c r="L214" s="410">
        <f t="shared" si="54"/>
        <v>0</v>
      </c>
      <c r="M214" s="410">
        <v>0</v>
      </c>
      <c r="N214" s="410">
        <v>0</v>
      </c>
    </row>
    <row r="215" spans="1:14" s="434" customFormat="1" ht="15" hidden="1" customHeight="1">
      <c r="A215" s="1031"/>
      <c r="B215" s="1047"/>
      <c r="C215" s="1031"/>
      <c r="D215" s="1047"/>
      <c r="E215" s="466"/>
      <c r="F215" s="1060"/>
      <c r="G215" s="412" t="s">
        <v>2</v>
      </c>
      <c r="H215" s="410">
        <f t="shared" si="53"/>
        <v>2504226</v>
      </c>
      <c r="I215" s="410">
        <f t="shared" si="55"/>
        <v>0</v>
      </c>
      <c r="J215" s="410">
        <f>J213+J214</f>
        <v>0</v>
      </c>
      <c r="K215" s="410">
        <f>K213+K214</f>
        <v>0</v>
      </c>
      <c r="L215" s="410">
        <f t="shared" si="54"/>
        <v>2504226</v>
      </c>
      <c r="M215" s="410">
        <f>M213+M214</f>
        <v>0</v>
      </c>
      <c r="N215" s="410">
        <f>N213+N214</f>
        <v>2504226</v>
      </c>
    </row>
    <row r="216" spans="1:14" s="434" customFormat="1" ht="14.1" customHeight="1">
      <c r="A216" s="1037" t="s">
        <v>64</v>
      </c>
      <c r="B216" s="1038"/>
      <c r="C216" s="1037" t="s">
        <v>715</v>
      </c>
      <c r="D216" s="1038"/>
      <c r="E216" s="448" t="s">
        <v>685</v>
      </c>
      <c r="F216" s="1058" t="s">
        <v>686</v>
      </c>
      <c r="G216" s="409" t="s">
        <v>0</v>
      </c>
      <c r="H216" s="410">
        <f t="shared" si="53"/>
        <v>69000</v>
      </c>
      <c r="I216" s="410">
        <f t="shared" si="55"/>
        <v>69000</v>
      </c>
      <c r="J216" s="410">
        <v>0</v>
      </c>
      <c r="K216" s="410">
        <v>69000</v>
      </c>
      <c r="L216" s="410">
        <f t="shared" si="54"/>
        <v>0</v>
      </c>
      <c r="M216" s="410">
        <v>0</v>
      </c>
      <c r="N216" s="410">
        <v>0</v>
      </c>
    </row>
    <row r="217" spans="1:14" s="434" customFormat="1" ht="14.1" customHeight="1">
      <c r="A217" s="1022"/>
      <c r="B217" s="1030"/>
      <c r="C217" s="1048"/>
      <c r="D217" s="1030"/>
      <c r="E217" s="466"/>
      <c r="F217" s="1059"/>
      <c r="G217" s="412" t="s">
        <v>1</v>
      </c>
      <c r="H217" s="410">
        <f t="shared" si="53"/>
        <v>4717</v>
      </c>
      <c r="I217" s="410">
        <f t="shared" si="55"/>
        <v>4717</v>
      </c>
      <c r="J217" s="410">
        <v>4717</v>
      </c>
      <c r="K217" s="410">
        <v>0</v>
      </c>
      <c r="L217" s="410">
        <f t="shared" si="54"/>
        <v>0</v>
      </c>
      <c r="M217" s="410">
        <v>0</v>
      </c>
      <c r="N217" s="410">
        <v>0</v>
      </c>
    </row>
    <row r="218" spans="1:14" s="434" customFormat="1" ht="14.1" customHeight="1">
      <c r="A218" s="1022"/>
      <c r="B218" s="1030"/>
      <c r="C218" s="1022"/>
      <c r="D218" s="1030"/>
      <c r="E218" s="466"/>
      <c r="F218" s="1060"/>
      <c r="G218" s="412" t="s">
        <v>2</v>
      </c>
      <c r="H218" s="410">
        <f t="shared" si="53"/>
        <v>73717</v>
      </c>
      <c r="I218" s="410">
        <f t="shared" si="55"/>
        <v>73717</v>
      </c>
      <c r="J218" s="410">
        <f>J216+J217</f>
        <v>4717</v>
      </c>
      <c r="K218" s="410">
        <f>K216+K217</f>
        <v>69000</v>
      </c>
      <c r="L218" s="410">
        <f t="shared" si="54"/>
        <v>0</v>
      </c>
      <c r="M218" s="410">
        <f>M216+M217</f>
        <v>0</v>
      </c>
      <c r="N218" s="410">
        <f>N216+N217</f>
        <v>0</v>
      </c>
    </row>
    <row r="219" spans="1:14" s="434" customFormat="1" ht="15" hidden="1" customHeight="1">
      <c r="A219" s="1022"/>
      <c r="B219" s="1023"/>
      <c r="C219" s="1022"/>
      <c r="D219" s="1023"/>
      <c r="E219" s="466"/>
      <c r="F219" s="1058" t="s">
        <v>716</v>
      </c>
      <c r="G219" s="409" t="s">
        <v>0</v>
      </c>
      <c r="H219" s="410">
        <f t="shared" si="53"/>
        <v>1000000</v>
      </c>
      <c r="I219" s="410">
        <f t="shared" si="55"/>
        <v>55000</v>
      </c>
      <c r="J219" s="410">
        <v>0</v>
      </c>
      <c r="K219" s="410">
        <v>55000</v>
      </c>
      <c r="L219" s="410">
        <f t="shared" si="54"/>
        <v>945000</v>
      </c>
      <c r="M219" s="410">
        <v>0</v>
      </c>
      <c r="N219" s="410">
        <v>945000</v>
      </c>
    </row>
    <row r="220" spans="1:14" s="434" customFormat="1" ht="15" hidden="1" customHeight="1">
      <c r="A220" s="1022"/>
      <c r="B220" s="1030"/>
      <c r="C220" s="1022"/>
      <c r="D220" s="1030"/>
      <c r="E220" s="466"/>
      <c r="F220" s="1059"/>
      <c r="G220" s="412" t="s">
        <v>1</v>
      </c>
      <c r="H220" s="410">
        <f t="shared" si="53"/>
        <v>0</v>
      </c>
      <c r="I220" s="410">
        <f t="shared" si="55"/>
        <v>0</v>
      </c>
      <c r="J220" s="410">
        <v>0</v>
      </c>
      <c r="K220" s="410">
        <v>0</v>
      </c>
      <c r="L220" s="410">
        <f t="shared" si="54"/>
        <v>0</v>
      </c>
      <c r="M220" s="410">
        <v>0</v>
      </c>
      <c r="N220" s="410">
        <v>0</v>
      </c>
    </row>
    <row r="221" spans="1:14" s="434" customFormat="1" ht="15" hidden="1" customHeight="1">
      <c r="A221" s="1022"/>
      <c r="B221" s="1030"/>
      <c r="C221" s="1022"/>
      <c r="D221" s="1030"/>
      <c r="E221" s="467"/>
      <c r="F221" s="1060"/>
      <c r="G221" s="412" t="s">
        <v>2</v>
      </c>
      <c r="H221" s="410">
        <f t="shared" si="53"/>
        <v>1000000</v>
      </c>
      <c r="I221" s="410">
        <f t="shared" si="55"/>
        <v>55000</v>
      </c>
      <c r="J221" s="410">
        <f>J219+J220</f>
        <v>0</v>
      </c>
      <c r="K221" s="410">
        <f>K219+K220</f>
        <v>55000</v>
      </c>
      <c r="L221" s="410">
        <f t="shared" si="54"/>
        <v>945000</v>
      </c>
      <c r="M221" s="410">
        <f>M219+M220</f>
        <v>0</v>
      </c>
      <c r="N221" s="410">
        <f>N219+N220</f>
        <v>945000</v>
      </c>
    </row>
    <row r="222" spans="1:14" s="353" customFormat="1" ht="15" hidden="1" customHeight="1">
      <c r="A222" s="1033"/>
      <c r="B222" s="1030"/>
      <c r="C222" s="1033"/>
      <c r="D222" s="1030"/>
      <c r="E222" s="451" t="s">
        <v>717</v>
      </c>
      <c r="F222" s="1058" t="s">
        <v>718</v>
      </c>
      <c r="G222" s="409" t="s">
        <v>0</v>
      </c>
      <c r="H222" s="410">
        <f t="shared" si="53"/>
        <v>1315296</v>
      </c>
      <c r="I222" s="410">
        <f t="shared" si="55"/>
        <v>0</v>
      </c>
      <c r="J222" s="410">
        <v>0</v>
      </c>
      <c r="K222" s="410">
        <v>0</v>
      </c>
      <c r="L222" s="410">
        <f t="shared" si="54"/>
        <v>1315296</v>
      </c>
      <c r="M222" s="410">
        <v>0</v>
      </c>
      <c r="N222" s="410">
        <v>1315296</v>
      </c>
    </row>
    <row r="223" spans="1:14" s="353" customFormat="1" ht="15" hidden="1" customHeight="1">
      <c r="A223" s="1033"/>
      <c r="B223" s="1030"/>
      <c r="C223" s="1033"/>
      <c r="D223" s="1030"/>
      <c r="E223" s="464"/>
      <c r="F223" s="1059"/>
      <c r="G223" s="412" t="s">
        <v>1</v>
      </c>
      <c r="H223" s="410">
        <f t="shared" si="53"/>
        <v>0</v>
      </c>
      <c r="I223" s="410">
        <f t="shared" si="55"/>
        <v>0</v>
      </c>
      <c r="J223" s="410">
        <v>0</v>
      </c>
      <c r="K223" s="410">
        <v>0</v>
      </c>
      <c r="L223" s="410">
        <f t="shared" si="54"/>
        <v>0</v>
      </c>
      <c r="M223" s="410">
        <v>0</v>
      </c>
      <c r="N223" s="410">
        <v>0</v>
      </c>
    </row>
    <row r="224" spans="1:14" s="353" customFormat="1" ht="15" hidden="1" customHeight="1">
      <c r="A224" s="1039"/>
      <c r="B224" s="1032"/>
      <c r="C224" s="1039"/>
      <c r="D224" s="1032"/>
      <c r="E224" s="465"/>
      <c r="F224" s="1060"/>
      <c r="G224" s="412" t="s">
        <v>2</v>
      </c>
      <c r="H224" s="410">
        <f t="shared" si="53"/>
        <v>1315296</v>
      </c>
      <c r="I224" s="410">
        <f t="shared" si="55"/>
        <v>0</v>
      </c>
      <c r="J224" s="410">
        <f>J222+J223</f>
        <v>0</v>
      </c>
      <c r="K224" s="410">
        <f>K222+K223</f>
        <v>0</v>
      </c>
      <c r="L224" s="410">
        <f t="shared" si="54"/>
        <v>1315296</v>
      </c>
      <c r="M224" s="410">
        <f>M222+M223</f>
        <v>0</v>
      </c>
      <c r="N224" s="410">
        <f>N222+N223</f>
        <v>1315296</v>
      </c>
    </row>
    <row r="225" spans="1:14" s="434" customFormat="1" ht="15" hidden="1" customHeight="1">
      <c r="A225" s="1037" t="s">
        <v>84</v>
      </c>
      <c r="B225" s="1038"/>
      <c r="C225" s="1037" t="s">
        <v>719</v>
      </c>
      <c r="D225" s="1038"/>
      <c r="E225" s="466" t="s">
        <v>712</v>
      </c>
      <c r="F225" s="1058" t="s">
        <v>720</v>
      </c>
      <c r="G225" s="409" t="s">
        <v>0</v>
      </c>
      <c r="H225" s="410">
        <f t="shared" si="53"/>
        <v>12977710</v>
      </c>
      <c r="I225" s="410">
        <f t="shared" ref="I225:I245" si="62">J225+K225</f>
        <v>12510124</v>
      </c>
      <c r="J225" s="410">
        <v>0</v>
      </c>
      <c r="K225" s="410">
        <v>12510124</v>
      </c>
      <c r="L225" s="410">
        <f t="shared" si="54"/>
        <v>467586</v>
      </c>
      <c r="M225" s="410">
        <v>0</v>
      </c>
      <c r="N225" s="410">
        <v>467586</v>
      </c>
    </row>
    <row r="226" spans="1:14" s="434" customFormat="1" ht="15" hidden="1" customHeight="1">
      <c r="A226" s="1022"/>
      <c r="B226" s="1030"/>
      <c r="C226" s="1022"/>
      <c r="D226" s="1030"/>
      <c r="E226" s="466"/>
      <c r="F226" s="1059"/>
      <c r="G226" s="412" t="s">
        <v>1</v>
      </c>
      <c r="H226" s="410">
        <f t="shared" si="53"/>
        <v>0</v>
      </c>
      <c r="I226" s="410">
        <f t="shared" si="62"/>
        <v>0</v>
      </c>
      <c r="J226" s="410">
        <v>0</v>
      </c>
      <c r="K226" s="410">
        <v>0</v>
      </c>
      <c r="L226" s="410">
        <f t="shared" si="54"/>
        <v>0</v>
      </c>
      <c r="M226" s="410">
        <v>0</v>
      </c>
      <c r="N226" s="410">
        <v>0</v>
      </c>
    </row>
    <row r="227" spans="1:14" s="434" customFormat="1" ht="15" hidden="1" customHeight="1">
      <c r="A227" s="1031"/>
      <c r="B227" s="1032"/>
      <c r="C227" s="1031"/>
      <c r="D227" s="1032"/>
      <c r="E227" s="467"/>
      <c r="F227" s="1060"/>
      <c r="G227" s="412" t="s">
        <v>2</v>
      </c>
      <c r="H227" s="410">
        <f t="shared" si="53"/>
        <v>12977710</v>
      </c>
      <c r="I227" s="410">
        <f t="shared" si="62"/>
        <v>12510124</v>
      </c>
      <c r="J227" s="410">
        <f>J225+J226</f>
        <v>0</v>
      </c>
      <c r="K227" s="410">
        <f>K225+K226</f>
        <v>12510124</v>
      </c>
      <c r="L227" s="410">
        <f t="shared" si="54"/>
        <v>467586</v>
      </c>
      <c r="M227" s="410">
        <f>M225+M226</f>
        <v>0</v>
      </c>
      <c r="N227" s="410">
        <f>N225+N226</f>
        <v>467586</v>
      </c>
    </row>
    <row r="228" spans="1:14" s="434" customFormat="1" ht="14.1" hidden="1" customHeight="1">
      <c r="A228" s="1037" t="s">
        <v>65</v>
      </c>
      <c r="B228" s="1038"/>
      <c r="C228" s="1037" t="s">
        <v>721</v>
      </c>
      <c r="D228" s="1038"/>
      <c r="E228" s="448" t="s">
        <v>722</v>
      </c>
      <c r="F228" s="1058" t="s">
        <v>723</v>
      </c>
      <c r="G228" s="409" t="s">
        <v>0</v>
      </c>
      <c r="H228" s="410">
        <f t="shared" si="53"/>
        <v>464725</v>
      </c>
      <c r="I228" s="410">
        <f t="shared" si="62"/>
        <v>0</v>
      </c>
      <c r="J228" s="410">
        <v>0</v>
      </c>
      <c r="K228" s="410">
        <v>0</v>
      </c>
      <c r="L228" s="410">
        <f t="shared" si="54"/>
        <v>464725</v>
      </c>
      <c r="M228" s="410">
        <v>386612</v>
      </c>
      <c r="N228" s="410">
        <v>78113</v>
      </c>
    </row>
    <row r="229" spans="1:14" s="434" customFormat="1" ht="14.1" hidden="1" customHeight="1">
      <c r="A229" s="1022"/>
      <c r="B229" s="1040"/>
      <c r="C229" s="1022"/>
      <c r="D229" s="1040"/>
      <c r="E229" s="466"/>
      <c r="F229" s="1059"/>
      <c r="G229" s="412" t="s">
        <v>1</v>
      </c>
      <c r="H229" s="410">
        <f t="shared" si="53"/>
        <v>0</v>
      </c>
      <c r="I229" s="410">
        <f t="shared" si="62"/>
        <v>0</v>
      </c>
      <c r="J229" s="410">
        <v>0</v>
      </c>
      <c r="K229" s="410">
        <v>0</v>
      </c>
      <c r="L229" s="410">
        <f t="shared" si="54"/>
        <v>0</v>
      </c>
      <c r="M229" s="410">
        <v>0</v>
      </c>
      <c r="N229" s="410">
        <v>0</v>
      </c>
    </row>
    <row r="230" spans="1:14" s="434" customFormat="1" ht="14.1" hidden="1" customHeight="1">
      <c r="A230" s="1022"/>
      <c r="B230" s="1040"/>
      <c r="C230" s="1022"/>
      <c r="D230" s="1040"/>
      <c r="E230" s="467"/>
      <c r="F230" s="1060"/>
      <c r="G230" s="412" t="s">
        <v>2</v>
      </c>
      <c r="H230" s="410">
        <f t="shared" si="53"/>
        <v>464725</v>
      </c>
      <c r="I230" s="410">
        <f t="shared" si="62"/>
        <v>0</v>
      </c>
      <c r="J230" s="410">
        <f>J228+J229</f>
        <v>0</v>
      </c>
      <c r="K230" s="410">
        <f>K228+K229</f>
        <v>0</v>
      </c>
      <c r="L230" s="410">
        <f t="shared" si="54"/>
        <v>464725</v>
      </c>
      <c r="M230" s="410">
        <f>M228+M229</f>
        <v>386612</v>
      </c>
      <c r="N230" s="410">
        <f>N228+N229</f>
        <v>78113</v>
      </c>
    </row>
    <row r="231" spans="1:14" s="434" customFormat="1" ht="14.1" customHeight="1">
      <c r="A231" s="1037" t="s">
        <v>65</v>
      </c>
      <c r="B231" s="1038"/>
      <c r="C231" s="1037" t="s">
        <v>721</v>
      </c>
      <c r="D231" s="1038"/>
      <c r="E231" s="448" t="s">
        <v>693</v>
      </c>
      <c r="F231" s="1061" t="s">
        <v>695</v>
      </c>
      <c r="G231" s="409" t="s">
        <v>0</v>
      </c>
      <c r="H231" s="410">
        <f t="shared" si="53"/>
        <v>3804433</v>
      </c>
      <c r="I231" s="410">
        <f t="shared" si="62"/>
        <v>3804433</v>
      </c>
      <c r="J231" s="410">
        <v>3639433</v>
      </c>
      <c r="K231" s="410">
        <v>165000</v>
      </c>
      <c r="L231" s="410">
        <f t="shared" si="54"/>
        <v>0</v>
      </c>
      <c r="M231" s="410">
        <v>0</v>
      </c>
      <c r="N231" s="410">
        <v>0</v>
      </c>
    </row>
    <row r="232" spans="1:14" s="434" customFormat="1" ht="14.1" customHeight="1">
      <c r="A232" s="1022"/>
      <c r="B232" s="1040"/>
      <c r="C232" s="1022"/>
      <c r="D232" s="1040"/>
      <c r="E232" s="466"/>
      <c r="F232" s="1062"/>
      <c r="G232" s="412" t="s">
        <v>1</v>
      </c>
      <c r="H232" s="410">
        <f t="shared" ref="H232:H245" si="63">I232+L232</f>
        <v>-996011</v>
      </c>
      <c r="I232" s="410">
        <f t="shared" si="62"/>
        <v>-996011</v>
      </c>
      <c r="J232" s="410">
        <v>-965119</v>
      </c>
      <c r="K232" s="410">
        <v>-30892</v>
      </c>
      <c r="L232" s="410">
        <f t="shared" ref="L232:L245" si="64">M232+N232</f>
        <v>0</v>
      </c>
      <c r="M232" s="410">
        <v>0</v>
      </c>
      <c r="N232" s="410">
        <v>0</v>
      </c>
    </row>
    <row r="233" spans="1:14" s="434" customFormat="1" ht="14.1" customHeight="1">
      <c r="A233" s="1031"/>
      <c r="B233" s="1047"/>
      <c r="C233" s="1031"/>
      <c r="D233" s="1047"/>
      <c r="E233" s="467"/>
      <c r="F233" s="1063"/>
      <c r="G233" s="412" t="s">
        <v>2</v>
      </c>
      <c r="H233" s="410">
        <f t="shared" si="63"/>
        <v>2808422</v>
      </c>
      <c r="I233" s="410">
        <f t="shared" si="62"/>
        <v>2808422</v>
      </c>
      <c r="J233" s="410">
        <f t="shared" ref="J233:K233" si="65">J231+J232</f>
        <v>2674314</v>
      </c>
      <c r="K233" s="410">
        <f t="shared" si="65"/>
        <v>134108</v>
      </c>
      <c r="L233" s="410">
        <f t="shared" si="64"/>
        <v>0</v>
      </c>
      <c r="M233" s="410">
        <f t="shared" ref="M233:N233" si="66">M231+M232</f>
        <v>0</v>
      </c>
      <c r="N233" s="410">
        <f t="shared" si="66"/>
        <v>0</v>
      </c>
    </row>
    <row r="234" spans="1:14" s="434" customFormat="1" ht="14.1" hidden="1" customHeight="1">
      <c r="A234" s="1037" t="s">
        <v>67</v>
      </c>
      <c r="B234" s="1038"/>
      <c r="C234" s="1037" t="s">
        <v>724</v>
      </c>
      <c r="D234" s="1038"/>
      <c r="E234" s="448" t="s">
        <v>725</v>
      </c>
      <c r="F234" s="1058" t="s">
        <v>726</v>
      </c>
      <c r="G234" s="469" t="s">
        <v>0</v>
      </c>
      <c r="H234" s="410">
        <f t="shared" si="63"/>
        <v>1077975</v>
      </c>
      <c r="I234" s="410">
        <f t="shared" si="62"/>
        <v>0</v>
      </c>
      <c r="J234" s="410">
        <v>0</v>
      </c>
      <c r="K234" s="410">
        <v>0</v>
      </c>
      <c r="L234" s="410">
        <f t="shared" si="64"/>
        <v>1077975</v>
      </c>
      <c r="M234" s="410">
        <v>0</v>
      </c>
      <c r="N234" s="410">
        <v>1077975</v>
      </c>
    </row>
    <row r="235" spans="1:14" s="434" customFormat="1" ht="14.1" hidden="1" customHeight="1">
      <c r="A235" s="1022"/>
      <c r="B235" s="1040"/>
      <c r="C235" s="1022"/>
      <c r="D235" s="1040"/>
      <c r="E235" s="466"/>
      <c r="F235" s="1059"/>
      <c r="G235" s="469" t="s">
        <v>1</v>
      </c>
      <c r="H235" s="410">
        <f t="shared" si="63"/>
        <v>0</v>
      </c>
      <c r="I235" s="410">
        <f t="shared" si="62"/>
        <v>0</v>
      </c>
      <c r="J235" s="410">
        <v>0</v>
      </c>
      <c r="K235" s="410">
        <v>0</v>
      </c>
      <c r="L235" s="410">
        <f t="shared" si="64"/>
        <v>0</v>
      </c>
      <c r="M235" s="410">
        <v>0</v>
      </c>
      <c r="N235" s="410">
        <v>0</v>
      </c>
    </row>
    <row r="236" spans="1:14" s="434" customFormat="1" ht="14.1" hidden="1" customHeight="1">
      <c r="A236" s="1022"/>
      <c r="B236" s="1040"/>
      <c r="C236" s="1031"/>
      <c r="D236" s="1047"/>
      <c r="E236" s="467"/>
      <c r="F236" s="1060"/>
      <c r="G236" s="469" t="s">
        <v>2</v>
      </c>
      <c r="H236" s="410">
        <f t="shared" si="63"/>
        <v>1077975</v>
      </c>
      <c r="I236" s="410">
        <f t="shared" si="62"/>
        <v>0</v>
      </c>
      <c r="J236" s="410">
        <f>J234+J235</f>
        <v>0</v>
      </c>
      <c r="K236" s="410">
        <f>K234+K235</f>
        <v>0</v>
      </c>
      <c r="L236" s="410">
        <f t="shared" si="64"/>
        <v>1077975</v>
      </c>
      <c r="M236" s="410">
        <f>M234+M235</f>
        <v>0</v>
      </c>
      <c r="N236" s="410">
        <f>N234+N235</f>
        <v>1077975</v>
      </c>
    </row>
    <row r="237" spans="1:14" s="434" customFormat="1" ht="14.1" customHeight="1">
      <c r="A237" s="1022" t="s">
        <v>67</v>
      </c>
      <c r="B237" s="1023"/>
      <c r="C237" s="1037" t="s">
        <v>443</v>
      </c>
      <c r="D237" s="1038"/>
      <c r="E237" s="448" t="s">
        <v>693</v>
      </c>
      <c r="F237" s="1061" t="s">
        <v>695</v>
      </c>
      <c r="G237" s="409" t="s">
        <v>0</v>
      </c>
      <c r="H237" s="410">
        <f t="shared" si="63"/>
        <v>1085282</v>
      </c>
      <c r="I237" s="410">
        <f t="shared" si="62"/>
        <v>1085282</v>
      </c>
      <c r="J237" s="410">
        <v>1077696</v>
      </c>
      <c r="K237" s="410">
        <v>7586</v>
      </c>
      <c r="L237" s="410">
        <f t="shared" si="64"/>
        <v>0</v>
      </c>
      <c r="M237" s="410">
        <v>0</v>
      </c>
      <c r="N237" s="410">
        <v>0</v>
      </c>
    </row>
    <row r="238" spans="1:14" s="434" customFormat="1" ht="14.1" customHeight="1">
      <c r="A238" s="1022"/>
      <c r="B238" s="1040"/>
      <c r="C238" s="1022"/>
      <c r="D238" s="1040"/>
      <c r="E238" s="466"/>
      <c r="F238" s="1062"/>
      <c r="G238" s="412" t="s">
        <v>1</v>
      </c>
      <c r="H238" s="410">
        <f t="shared" si="63"/>
        <v>55902</v>
      </c>
      <c r="I238" s="410">
        <f t="shared" si="62"/>
        <v>55902</v>
      </c>
      <c r="J238" s="410">
        <v>55454</v>
      </c>
      <c r="K238" s="410">
        <v>448</v>
      </c>
      <c r="L238" s="410">
        <f t="shared" si="64"/>
        <v>0</v>
      </c>
      <c r="M238" s="410">
        <v>0</v>
      </c>
      <c r="N238" s="410">
        <v>0</v>
      </c>
    </row>
    <row r="239" spans="1:14" s="434" customFormat="1" ht="14.1" customHeight="1">
      <c r="A239" s="1031"/>
      <c r="B239" s="1047"/>
      <c r="C239" s="1031"/>
      <c r="D239" s="1047"/>
      <c r="E239" s="467"/>
      <c r="F239" s="1063"/>
      <c r="G239" s="412" t="s">
        <v>2</v>
      </c>
      <c r="H239" s="410">
        <f t="shared" si="63"/>
        <v>1141184</v>
      </c>
      <c r="I239" s="410">
        <f t="shared" si="62"/>
        <v>1141184</v>
      </c>
      <c r="J239" s="410">
        <f t="shared" ref="J239:K239" si="67">J237+J238</f>
        <v>1133150</v>
      </c>
      <c r="K239" s="410">
        <f t="shared" si="67"/>
        <v>8034</v>
      </c>
      <c r="L239" s="410">
        <f t="shared" si="64"/>
        <v>0</v>
      </c>
      <c r="M239" s="410">
        <f t="shared" ref="M239:N239" si="68">M237+M238</f>
        <v>0</v>
      </c>
      <c r="N239" s="410">
        <f t="shared" si="68"/>
        <v>0</v>
      </c>
    </row>
    <row r="240" spans="1:14" s="434" customFormat="1" ht="14.1" hidden="1" customHeight="1">
      <c r="A240" s="1022" t="s">
        <v>339</v>
      </c>
      <c r="B240" s="1023"/>
      <c r="C240" s="1037" t="s">
        <v>290</v>
      </c>
      <c r="D240" s="1038"/>
      <c r="E240" s="448" t="s">
        <v>693</v>
      </c>
      <c r="F240" s="1061" t="s">
        <v>695</v>
      </c>
      <c r="G240" s="409" t="s">
        <v>0</v>
      </c>
      <c r="H240" s="410">
        <f t="shared" si="63"/>
        <v>628327</v>
      </c>
      <c r="I240" s="410">
        <f t="shared" si="62"/>
        <v>628327</v>
      </c>
      <c r="J240" s="410">
        <v>616006</v>
      </c>
      <c r="K240" s="410">
        <v>12321</v>
      </c>
      <c r="L240" s="410">
        <f t="shared" si="64"/>
        <v>0</v>
      </c>
      <c r="M240" s="410">
        <v>0</v>
      </c>
      <c r="N240" s="410">
        <v>0</v>
      </c>
    </row>
    <row r="241" spans="1:14" s="434" customFormat="1" ht="14.1" hidden="1" customHeight="1">
      <c r="A241" s="1022"/>
      <c r="B241" s="1040"/>
      <c r="C241" s="1022"/>
      <c r="D241" s="1040"/>
      <c r="E241" s="466"/>
      <c r="F241" s="1062"/>
      <c r="G241" s="412" t="s">
        <v>1</v>
      </c>
      <c r="H241" s="410">
        <f t="shared" si="63"/>
        <v>0</v>
      </c>
      <c r="I241" s="410">
        <f t="shared" si="62"/>
        <v>0</v>
      </c>
      <c r="J241" s="410">
        <v>0</v>
      </c>
      <c r="K241" s="410">
        <v>0</v>
      </c>
      <c r="L241" s="410">
        <f t="shared" si="64"/>
        <v>0</v>
      </c>
      <c r="M241" s="410">
        <v>0</v>
      </c>
      <c r="N241" s="410">
        <v>0</v>
      </c>
    </row>
    <row r="242" spans="1:14" s="434" customFormat="1" ht="14.1" hidden="1" customHeight="1">
      <c r="A242" s="1022"/>
      <c r="B242" s="1040"/>
      <c r="C242" s="1022"/>
      <c r="D242" s="1040"/>
      <c r="E242" s="467"/>
      <c r="F242" s="1063"/>
      <c r="G242" s="412" t="s">
        <v>2</v>
      </c>
      <c r="H242" s="410">
        <f t="shared" si="63"/>
        <v>628327</v>
      </c>
      <c r="I242" s="410">
        <f t="shared" si="62"/>
        <v>628327</v>
      </c>
      <c r="J242" s="410">
        <f t="shared" ref="J242:K242" si="69">J240+J241</f>
        <v>616006</v>
      </c>
      <c r="K242" s="410">
        <f t="shared" si="69"/>
        <v>12321</v>
      </c>
      <c r="L242" s="410">
        <f t="shared" si="64"/>
        <v>0</v>
      </c>
      <c r="M242" s="410">
        <f t="shared" ref="M242:N242" si="70">M240+M241</f>
        <v>0</v>
      </c>
      <c r="N242" s="410">
        <f t="shared" si="70"/>
        <v>0</v>
      </c>
    </row>
    <row r="243" spans="1:14" s="434" customFormat="1" ht="14.1" hidden="1" customHeight="1">
      <c r="A243" s="1022"/>
      <c r="B243" s="1023"/>
      <c r="C243" s="1022"/>
      <c r="D243" s="1023"/>
      <c r="E243" s="448" t="s">
        <v>696</v>
      </c>
      <c r="F243" s="1058" t="s">
        <v>706</v>
      </c>
      <c r="G243" s="409" t="s">
        <v>0</v>
      </c>
      <c r="H243" s="410">
        <f t="shared" si="63"/>
        <v>425829</v>
      </c>
      <c r="I243" s="410">
        <f t="shared" si="62"/>
        <v>425829</v>
      </c>
      <c r="J243" s="410">
        <v>425829</v>
      </c>
      <c r="K243" s="410">
        <v>0</v>
      </c>
      <c r="L243" s="410">
        <f t="shared" si="64"/>
        <v>0</v>
      </c>
      <c r="M243" s="410">
        <v>0</v>
      </c>
      <c r="N243" s="410">
        <v>0</v>
      </c>
    </row>
    <row r="244" spans="1:14" s="434" customFormat="1" ht="14.1" hidden="1" customHeight="1">
      <c r="A244" s="1022"/>
      <c r="B244" s="1040"/>
      <c r="C244" s="1022"/>
      <c r="D244" s="1040"/>
      <c r="E244" s="466"/>
      <c r="F244" s="1059"/>
      <c r="G244" s="412" t="s">
        <v>1</v>
      </c>
      <c r="H244" s="410">
        <f t="shared" si="63"/>
        <v>0</v>
      </c>
      <c r="I244" s="410">
        <f t="shared" si="62"/>
        <v>0</v>
      </c>
      <c r="J244" s="410">
        <v>0</v>
      </c>
      <c r="K244" s="410">
        <v>0</v>
      </c>
      <c r="L244" s="410">
        <f t="shared" si="64"/>
        <v>0</v>
      </c>
      <c r="M244" s="410">
        <v>0</v>
      </c>
      <c r="N244" s="410">
        <v>0</v>
      </c>
    </row>
    <row r="245" spans="1:14" s="434" customFormat="1" ht="14.1" hidden="1" customHeight="1">
      <c r="A245" s="1022"/>
      <c r="B245" s="1040"/>
      <c r="C245" s="1022"/>
      <c r="D245" s="1040"/>
      <c r="E245" s="467"/>
      <c r="F245" s="1060"/>
      <c r="G245" s="412" t="s">
        <v>2</v>
      </c>
      <c r="H245" s="410">
        <f t="shared" si="63"/>
        <v>425829</v>
      </c>
      <c r="I245" s="410">
        <f t="shared" si="62"/>
        <v>425829</v>
      </c>
      <c r="J245" s="410">
        <f>J243+J244</f>
        <v>425829</v>
      </c>
      <c r="K245" s="410">
        <f>K243+K244</f>
        <v>0</v>
      </c>
      <c r="L245" s="410">
        <f t="shared" si="64"/>
        <v>0</v>
      </c>
      <c r="M245" s="410">
        <f>M243+M244</f>
        <v>0</v>
      </c>
      <c r="N245" s="410">
        <f>N243+N244</f>
        <v>0</v>
      </c>
    </row>
    <row r="246" spans="1:14" s="392" customFormat="1" ht="5.0999999999999996" customHeight="1">
      <c r="A246" s="458"/>
      <c r="B246" s="459"/>
      <c r="C246" s="459"/>
      <c r="D246" s="459"/>
      <c r="E246" s="460"/>
      <c r="F246" s="460"/>
      <c r="G246" s="460"/>
      <c r="H246" s="431"/>
      <c r="I246" s="431"/>
      <c r="J246" s="431"/>
      <c r="K246" s="431"/>
      <c r="L246" s="431"/>
      <c r="M246" s="431"/>
      <c r="N246" s="432"/>
    </row>
    <row r="247" spans="1:14" s="443" customFormat="1" ht="14.1" customHeight="1">
      <c r="A247" s="1049" t="s">
        <v>727</v>
      </c>
      <c r="B247" s="1050"/>
      <c r="C247" s="1050"/>
      <c r="D247" s="1050"/>
      <c r="E247" s="1050"/>
      <c r="F247" s="1051"/>
      <c r="G247" s="422" t="s">
        <v>0</v>
      </c>
      <c r="H247" s="423">
        <f>I247+L247</f>
        <v>323876551.39999998</v>
      </c>
      <c r="I247" s="423">
        <f>J247+K247</f>
        <v>235340961</v>
      </c>
      <c r="J247" s="423">
        <f t="shared" ref="J247:K249" si="71">J251+J254+J257+J260+J263+J266+J269+J272+J275+J278+J281+J284+J287+J290+J293+J296+J299+J302+J305+J311+J314+J317+J320+J323+J326+J329+J332+J335+J338+J341+J344+J347+J350+J353+J356+J359+J362+J365+J368+J371+J374+J377+J380+J383+J386+J389+J392+J395+J308+J398+J401+J404+J407+J410+J413+J416+J419+J422+J425+J428+J431+J434+J437+J440+J443+J446+J449+J452+J455+J458+J461+J464+J467+J470+J473+J476+J479+J482+J485+J488+J491+J494+J497+J500+J503+J506+J509+J512+J515+J518+J521+J524+J527+J530+J533+J536+J539+J542+J545+J548+J551+J554+J557+J560+J563+J566+J569+J572+J575+J578+J581</f>
        <v>217625296</v>
      </c>
      <c r="K247" s="423">
        <f t="shared" si="71"/>
        <v>17715665</v>
      </c>
      <c r="L247" s="423">
        <f>M247+N247</f>
        <v>88535590.400000006</v>
      </c>
      <c r="M247" s="423">
        <f t="shared" ref="M247:N249" si="72">M251+M254+M257+M260+M263+M266+M269+M272+M275+M278+M281+M284+M287+M290+M293+M296+M299+M302+M305+M311+M314+M317+M320+M323+M326+M329+M332+M335+M338+M341+M344+M347+M350+M353+M356+M359+M362+M365+M368+M371+M374+M377+M380+M383+M386+M389+M392+M395+M308+M398+M401+M404+M407+M410+M413+M416+M419+M422+M425+M428+M431+M434+M437+M440+M443+M446+M449+M452+M455+M458+M461+M464+M467+M470+M473+M476+M479+M482+M485+M488+M491+M494+M497+M500+M503+M506+M509+M512+M515+M518+M521+M524+M527+M530+M533+M536+M539+M542+M545+M548+M551+M554+M557+M560+M563+M566+M569+M572+M575+M578+M581</f>
        <v>300000</v>
      </c>
      <c r="N247" s="423">
        <f t="shared" si="72"/>
        <v>88235590.400000006</v>
      </c>
    </row>
    <row r="248" spans="1:14" s="443" customFormat="1" ht="14.1" customHeight="1">
      <c r="A248" s="1052"/>
      <c r="B248" s="1053"/>
      <c r="C248" s="1053"/>
      <c r="D248" s="1053"/>
      <c r="E248" s="1053"/>
      <c r="F248" s="1054"/>
      <c r="G248" s="425" t="s">
        <v>1</v>
      </c>
      <c r="H248" s="423">
        <f t="shared" ref="H248:H249" si="73">I248+L248</f>
        <v>18317606</v>
      </c>
      <c r="I248" s="423">
        <f t="shared" ref="I248:I249" si="74">J248+K248</f>
        <v>17942606</v>
      </c>
      <c r="J248" s="423">
        <f t="shared" si="71"/>
        <v>16596039</v>
      </c>
      <c r="K248" s="423">
        <f t="shared" si="71"/>
        <v>1346567</v>
      </c>
      <c r="L248" s="423">
        <f t="shared" ref="L248:L249" si="75">M248+N248</f>
        <v>375000</v>
      </c>
      <c r="M248" s="423">
        <f t="shared" si="72"/>
        <v>0</v>
      </c>
      <c r="N248" s="423">
        <f t="shared" si="72"/>
        <v>375000</v>
      </c>
    </row>
    <row r="249" spans="1:14" s="443" customFormat="1" ht="14.1" customHeight="1">
      <c r="A249" s="1055"/>
      <c r="B249" s="1056"/>
      <c r="C249" s="1056"/>
      <c r="D249" s="1056"/>
      <c r="E249" s="1056"/>
      <c r="F249" s="1057"/>
      <c r="G249" s="426" t="s">
        <v>2</v>
      </c>
      <c r="H249" s="423">
        <f t="shared" si="73"/>
        <v>342194157.39999998</v>
      </c>
      <c r="I249" s="423">
        <f t="shared" si="74"/>
        <v>253283567</v>
      </c>
      <c r="J249" s="423">
        <f t="shared" si="71"/>
        <v>234221335</v>
      </c>
      <c r="K249" s="423">
        <f t="shared" si="71"/>
        <v>19062232</v>
      </c>
      <c r="L249" s="423">
        <f t="shared" si="75"/>
        <v>88910590.400000006</v>
      </c>
      <c r="M249" s="423">
        <f t="shared" si="72"/>
        <v>300000</v>
      </c>
      <c r="N249" s="423">
        <f t="shared" si="72"/>
        <v>88610590.400000006</v>
      </c>
    </row>
    <row r="250" spans="1:14" s="433" customFormat="1" ht="5.0999999999999996" customHeight="1">
      <c r="A250" s="427"/>
      <c r="B250" s="428"/>
      <c r="C250" s="428"/>
      <c r="D250" s="428"/>
      <c r="E250" s="428"/>
      <c r="F250" s="428"/>
      <c r="G250" s="429"/>
      <c r="H250" s="430"/>
      <c r="I250" s="431"/>
      <c r="J250" s="431"/>
      <c r="K250" s="431"/>
      <c r="L250" s="431"/>
      <c r="M250" s="431"/>
      <c r="N250" s="432"/>
    </row>
    <row r="251" spans="1:14" s="353" customFormat="1" ht="15" hidden="1" customHeight="1">
      <c r="A251" s="1035" t="s">
        <v>42</v>
      </c>
      <c r="B251" s="1036"/>
      <c r="C251" s="1035" t="s">
        <v>152</v>
      </c>
      <c r="D251" s="1036"/>
      <c r="E251" s="1024" t="s">
        <v>728</v>
      </c>
      <c r="F251" s="1025"/>
      <c r="G251" s="409" t="s">
        <v>0</v>
      </c>
      <c r="H251" s="446">
        <f t="shared" ref="H251:H533" si="76">I251+L251</f>
        <v>1800000</v>
      </c>
      <c r="I251" s="446">
        <f t="shared" ref="I251:I533" si="77">J251+K251</f>
        <v>1800000</v>
      </c>
      <c r="J251" s="446">
        <v>0</v>
      </c>
      <c r="K251" s="446">
        <v>1800000</v>
      </c>
      <c r="L251" s="446">
        <f t="shared" ref="L251:L533" si="78">M251+N251</f>
        <v>0</v>
      </c>
      <c r="M251" s="446">
        <v>0</v>
      </c>
      <c r="N251" s="446">
        <v>0</v>
      </c>
    </row>
    <row r="252" spans="1:14" s="353" customFormat="1" ht="15" hidden="1" customHeight="1">
      <c r="A252" s="1033"/>
      <c r="B252" s="1030"/>
      <c r="C252" s="1033"/>
      <c r="D252" s="1030"/>
      <c r="E252" s="1026"/>
      <c r="F252" s="1027"/>
      <c r="G252" s="412" t="s">
        <v>1</v>
      </c>
      <c r="H252" s="446">
        <f t="shared" si="76"/>
        <v>0</v>
      </c>
      <c r="I252" s="446">
        <f t="shared" si="77"/>
        <v>0</v>
      </c>
      <c r="J252" s="446">
        <v>0</v>
      </c>
      <c r="K252" s="446">
        <v>0</v>
      </c>
      <c r="L252" s="446">
        <f t="shared" si="78"/>
        <v>0</v>
      </c>
      <c r="M252" s="446">
        <v>0</v>
      </c>
      <c r="N252" s="446">
        <v>0</v>
      </c>
    </row>
    <row r="253" spans="1:14" s="353" customFormat="1" ht="15" hidden="1" customHeight="1">
      <c r="A253" s="1033"/>
      <c r="B253" s="1030"/>
      <c r="C253" s="1039"/>
      <c r="D253" s="1032"/>
      <c r="E253" s="1028"/>
      <c r="F253" s="1029"/>
      <c r="G253" s="412" t="s">
        <v>2</v>
      </c>
      <c r="H253" s="410">
        <f t="shared" si="76"/>
        <v>1800000</v>
      </c>
      <c r="I253" s="410">
        <f t="shared" si="77"/>
        <v>1800000</v>
      </c>
      <c r="J253" s="410">
        <f t="shared" ref="J253:K253" si="79">J251+J252</f>
        <v>0</v>
      </c>
      <c r="K253" s="410">
        <f t="shared" si="79"/>
        <v>1800000</v>
      </c>
      <c r="L253" s="410">
        <f t="shared" si="78"/>
        <v>0</v>
      </c>
      <c r="M253" s="410">
        <f t="shared" ref="M253:N253" si="80">M251+M252</f>
        <v>0</v>
      </c>
      <c r="N253" s="410">
        <f t="shared" si="80"/>
        <v>0</v>
      </c>
    </row>
    <row r="254" spans="1:14" s="353" customFormat="1" ht="15" hidden="1" customHeight="1">
      <c r="A254" s="1033"/>
      <c r="B254" s="1034"/>
      <c r="C254" s="1035" t="s">
        <v>156</v>
      </c>
      <c r="D254" s="1036"/>
      <c r="E254" s="1024" t="s">
        <v>729</v>
      </c>
      <c r="F254" s="1025"/>
      <c r="G254" s="409" t="s">
        <v>0</v>
      </c>
      <c r="H254" s="446">
        <f t="shared" si="76"/>
        <v>14025000</v>
      </c>
      <c r="I254" s="446">
        <f t="shared" si="77"/>
        <v>13725000</v>
      </c>
      <c r="J254" s="446">
        <v>13725000</v>
      </c>
      <c r="K254" s="446">
        <v>0</v>
      </c>
      <c r="L254" s="446">
        <f t="shared" si="78"/>
        <v>300000</v>
      </c>
      <c r="M254" s="446">
        <v>300000</v>
      </c>
      <c r="N254" s="446">
        <v>0</v>
      </c>
    </row>
    <row r="255" spans="1:14" s="353" customFormat="1" ht="15" hidden="1" customHeight="1">
      <c r="A255" s="1033"/>
      <c r="B255" s="1030"/>
      <c r="C255" s="1033"/>
      <c r="D255" s="1030"/>
      <c r="E255" s="1026"/>
      <c r="F255" s="1027"/>
      <c r="G255" s="412" t="s">
        <v>1</v>
      </c>
      <c r="H255" s="446">
        <f t="shared" si="76"/>
        <v>0</v>
      </c>
      <c r="I255" s="446">
        <f t="shared" si="77"/>
        <v>0</v>
      </c>
      <c r="J255" s="446">
        <v>0</v>
      </c>
      <c r="K255" s="446">
        <v>0</v>
      </c>
      <c r="L255" s="446">
        <f t="shared" si="78"/>
        <v>0</v>
      </c>
      <c r="M255" s="446">
        <v>0</v>
      </c>
      <c r="N255" s="446">
        <v>0</v>
      </c>
    </row>
    <row r="256" spans="1:14" s="353" customFormat="1" ht="15" hidden="1" customHeight="1">
      <c r="A256" s="1033"/>
      <c r="B256" s="1030"/>
      <c r="C256" s="1039"/>
      <c r="D256" s="1032"/>
      <c r="E256" s="1028"/>
      <c r="F256" s="1029"/>
      <c r="G256" s="412" t="s">
        <v>2</v>
      </c>
      <c r="H256" s="410">
        <f t="shared" si="76"/>
        <v>14025000</v>
      </c>
      <c r="I256" s="410">
        <f t="shared" si="77"/>
        <v>13725000</v>
      </c>
      <c r="J256" s="410">
        <f t="shared" ref="J256:K256" si="81">J254+J255</f>
        <v>13725000</v>
      </c>
      <c r="K256" s="410">
        <f t="shared" si="81"/>
        <v>0</v>
      </c>
      <c r="L256" s="410">
        <f t="shared" si="78"/>
        <v>300000</v>
      </c>
      <c r="M256" s="410">
        <f t="shared" ref="M256:N256" si="82">M254+M255</f>
        <v>300000</v>
      </c>
      <c r="N256" s="410">
        <f t="shared" si="82"/>
        <v>0</v>
      </c>
    </row>
    <row r="257" spans="1:14" s="353" customFormat="1" ht="15" hidden="1" customHeight="1">
      <c r="A257" s="1033"/>
      <c r="B257" s="1034"/>
      <c r="C257" s="1035" t="s">
        <v>160</v>
      </c>
      <c r="D257" s="1036"/>
      <c r="E257" s="1024" t="s">
        <v>730</v>
      </c>
      <c r="F257" s="1025"/>
      <c r="G257" s="409" t="s">
        <v>0</v>
      </c>
      <c r="H257" s="410">
        <f t="shared" si="76"/>
        <v>80000</v>
      </c>
      <c r="I257" s="410">
        <f t="shared" si="77"/>
        <v>80000</v>
      </c>
      <c r="J257" s="410">
        <v>0</v>
      </c>
      <c r="K257" s="410">
        <v>80000</v>
      </c>
      <c r="L257" s="410">
        <f t="shared" si="78"/>
        <v>0</v>
      </c>
      <c r="M257" s="410">
        <v>0</v>
      </c>
      <c r="N257" s="410">
        <v>0</v>
      </c>
    </row>
    <row r="258" spans="1:14" s="353" customFormat="1" ht="15" hidden="1" customHeight="1">
      <c r="A258" s="1033"/>
      <c r="B258" s="1030"/>
      <c r="C258" s="1033"/>
      <c r="D258" s="1030"/>
      <c r="E258" s="1026"/>
      <c r="F258" s="1027"/>
      <c r="G258" s="412" t="s">
        <v>1</v>
      </c>
      <c r="H258" s="410">
        <f t="shared" si="76"/>
        <v>0</v>
      </c>
      <c r="I258" s="410">
        <f t="shared" si="77"/>
        <v>0</v>
      </c>
      <c r="J258" s="410">
        <v>0</v>
      </c>
      <c r="K258" s="410">
        <v>0</v>
      </c>
      <c r="L258" s="410">
        <f t="shared" si="78"/>
        <v>0</v>
      </c>
      <c r="M258" s="410">
        <v>0</v>
      </c>
      <c r="N258" s="410">
        <v>0</v>
      </c>
    </row>
    <row r="259" spans="1:14" s="353" customFormat="1" ht="15" hidden="1" customHeight="1">
      <c r="A259" s="1033"/>
      <c r="B259" s="1030"/>
      <c r="C259" s="1033"/>
      <c r="D259" s="1030"/>
      <c r="E259" s="1028"/>
      <c r="F259" s="1029"/>
      <c r="G259" s="412" t="s">
        <v>2</v>
      </c>
      <c r="H259" s="410">
        <f t="shared" si="76"/>
        <v>80000</v>
      </c>
      <c r="I259" s="410">
        <f t="shared" si="77"/>
        <v>80000</v>
      </c>
      <c r="J259" s="410">
        <f t="shared" ref="J259:K259" si="83">J257+J258</f>
        <v>0</v>
      </c>
      <c r="K259" s="410">
        <f t="shared" si="83"/>
        <v>80000</v>
      </c>
      <c r="L259" s="410">
        <f t="shared" si="78"/>
        <v>0</v>
      </c>
      <c r="M259" s="410">
        <f t="shared" ref="M259:N259" si="84">M257+M258</f>
        <v>0</v>
      </c>
      <c r="N259" s="410">
        <f t="shared" si="84"/>
        <v>0</v>
      </c>
    </row>
    <row r="260" spans="1:14" s="353" customFormat="1" ht="15" hidden="1" customHeight="1">
      <c r="A260" s="1033"/>
      <c r="B260" s="1034"/>
      <c r="C260" s="1033"/>
      <c r="D260" s="1034"/>
      <c r="E260" s="1024" t="s">
        <v>731</v>
      </c>
      <c r="F260" s="1025"/>
      <c r="G260" s="409" t="s">
        <v>0</v>
      </c>
      <c r="H260" s="410">
        <f t="shared" si="76"/>
        <v>500000</v>
      </c>
      <c r="I260" s="410">
        <f t="shared" si="77"/>
        <v>0</v>
      </c>
      <c r="J260" s="410">
        <v>0</v>
      </c>
      <c r="K260" s="410">
        <v>0</v>
      </c>
      <c r="L260" s="410">
        <f t="shared" si="78"/>
        <v>500000</v>
      </c>
      <c r="M260" s="410">
        <v>0</v>
      </c>
      <c r="N260" s="410">
        <v>500000</v>
      </c>
    </row>
    <row r="261" spans="1:14" s="353" customFormat="1" ht="15" hidden="1" customHeight="1">
      <c r="A261" s="1033"/>
      <c r="B261" s="1030"/>
      <c r="C261" s="1033"/>
      <c r="D261" s="1030"/>
      <c r="E261" s="1026"/>
      <c r="F261" s="1027"/>
      <c r="G261" s="412" t="s">
        <v>1</v>
      </c>
      <c r="H261" s="410">
        <f t="shared" si="76"/>
        <v>0</v>
      </c>
      <c r="I261" s="410">
        <f t="shared" si="77"/>
        <v>0</v>
      </c>
      <c r="J261" s="410">
        <v>0</v>
      </c>
      <c r="K261" s="410">
        <v>0</v>
      </c>
      <c r="L261" s="410">
        <f t="shared" si="78"/>
        <v>0</v>
      </c>
      <c r="M261" s="410">
        <v>0</v>
      </c>
      <c r="N261" s="410">
        <v>0</v>
      </c>
    </row>
    <row r="262" spans="1:14" s="353" customFormat="1" ht="15" hidden="1" customHeight="1">
      <c r="A262" s="1039"/>
      <c r="B262" s="1032"/>
      <c r="C262" s="1039"/>
      <c r="D262" s="1032"/>
      <c r="E262" s="1028"/>
      <c r="F262" s="1029"/>
      <c r="G262" s="412" t="s">
        <v>2</v>
      </c>
      <c r="H262" s="410">
        <f t="shared" si="76"/>
        <v>500000</v>
      </c>
      <c r="I262" s="410">
        <f t="shared" si="77"/>
        <v>0</v>
      </c>
      <c r="J262" s="410">
        <f t="shared" ref="J262:K262" si="85">J260+J261</f>
        <v>0</v>
      </c>
      <c r="K262" s="410">
        <f t="shared" si="85"/>
        <v>0</v>
      </c>
      <c r="L262" s="410">
        <f t="shared" si="78"/>
        <v>500000</v>
      </c>
      <c r="M262" s="410">
        <f t="shared" ref="M262:N262" si="86">M260+M261</f>
        <v>0</v>
      </c>
      <c r="N262" s="410">
        <f t="shared" si="86"/>
        <v>500000</v>
      </c>
    </row>
    <row r="263" spans="1:14" s="434" customFormat="1" ht="15" hidden="1" customHeight="1">
      <c r="A263" s="1037" t="s">
        <v>45</v>
      </c>
      <c r="B263" s="1038"/>
      <c r="C263" s="1037" t="s">
        <v>175</v>
      </c>
      <c r="D263" s="1038"/>
      <c r="E263" s="1024" t="s">
        <v>732</v>
      </c>
      <c r="F263" s="1025"/>
      <c r="G263" s="409" t="s">
        <v>0</v>
      </c>
      <c r="H263" s="410">
        <f t="shared" si="76"/>
        <v>43221000</v>
      </c>
      <c r="I263" s="410">
        <f t="shared" si="77"/>
        <v>5521000</v>
      </c>
      <c r="J263" s="410">
        <v>0</v>
      </c>
      <c r="K263" s="410">
        <v>5521000</v>
      </c>
      <c r="L263" s="410">
        <f t="shared" si="78"/>
        <v>37700000</v>
      </c>
      <c r="M263" s="410">
        <v>0</v>
      </c>
      <c r="N263" s="410">
        <v>37700000</v>
      </c>
    </row>
    <row r="264" spans="1:14" s="434" customFormat="1" ht="15" hidden="1" customHeight="1">
      <c r="A264" s="1022"/>
      <c r="B264" s="1030"/>
      <c r="C264" s="1022"/>
      <c r="D264" s="1030"/>
      <c r="E264" s="1026"/>
      <c r="F264" s="1027"/>
      <c r="G264" s="412" t="s">
        <v>1</v>
      </c>
      <c r="H264" s="410">
        <f t="shared" si="76"/>
        <v>0</v>
      </c>
      <c r="I264" s="410">
        <f t="shared" si="77"/>
        <v>0</v>
      </c>
      <c r="J264" s="410">
        <v>0</v>
      </c>
      <c r="K264" s="410">
        <v>0</v>
      </c>
      <c r="L264" s="410">
        <f t="shared" si="78"/>
        <v>0</v>
      </c>
      <c r="M264" s="410">
        <v>0</v>
      </c>
      <c r="N264" s="410">
        <v>0</v>
      </c>
    </row>
    <row r="265" spans="1:14" s="434" customFormat="1" ht="15" hidden="1" customHeight="1">
      <c r="A265" s="1022"/>
      <c r="B265" s="1030"/>
      <c r="C265" s="1031"/>
      <c r="D265" s="1032"/>
      <c r="E265" s="1028"/>
      <c r="F265" s="1029"/>
      <c r="G265" s="412" t="s">
        <v>2</v>
      </c>
      <c r="H265" s="410">
        <f t="shared" si="76"/>
        <v>43221000</v>
      </c>
      <c r="I265" s="410">
        <f t="shared" si="77"/>
        <v>5521000</v>
      </c>
      <c r="J265" s="410">
        <f t="shared" ref="J265:K265" si="87">J263+J264</f>
        <v>0</v>
      </c>
      <c r="K265" s="410">
        <f t="shared" si="87"/>
        <v>5521000</v>
      </c>
      <c r="L265" s="410">
        <f t="shared" si="78"/>
        <v>37700000</v>
      </c>
      <c r="M265" s="410">
        <f t="shared" ref="M265:N265" si="88">M263+M264</f>
        <v>0</v>
      </c>
      <c r="N265" s="410">
        <f t="shared" si="88"/>
        <v>37700000</v>
      </c>
    </row>
    <row r="266" spans="1:14" s="434" customFormat="1" ht="14.1" hidden="1" customHeight="1">
      <c r="A266" s="1022"/>
      <c r="B266" s="1023"/>
      <c r="C266" s="1037" t="s">
        <v>733</v>
      </c>
      <c r="D266" s="1038"/>
      <c r="E266" s="1024" t="s">
        <v>734</v>
      </c>
      <c r="F266" s="1025"/>
      <c r="G266" s="409" t="s">
        <v>0</v>
      </c>
      <c r="H266" s="410">
        <f t="shared" si="76"/>
        <v>31163633</v>
      </c>
      <c r="I266" s="410">
        <f t="shared" si="77"/>
        <v>0</v>
      </c>
      <c r="J266" s="410">
        <v>0</v>
      </c>
      <c r="K266" s="410">
        <v>0</v>
      </c>
      <c r="L266" s="410">
        <f t="shared" si="78"/>
        <v>31163633</v>
      </c>
      <c r="M266" s="410">
        <v>0</v>
      </c>
      <c r="N266" s="410">
        <v>31163633</v>
      </c>
    </row>
    <row r="267" spans="1:14" s="434" customFormat="1" ht="14.1" hidden="1" customHeight="1">
      <c r="A267" s="1022"/>
      <c r="B267" s="1030"/>
      <c r="C267" s="1022"/>
      <c r="D267" s="1030"/>
      <c r="E267" s="1026"/>
      <c r="F267" s="1027"/>
      <c r="G267" s="412" t="s">
        <v>1</v>
      </c>
      <c r="H267" s="410">
        <f t="shared" si="76"/>
        <v>0</v>
      </c>
      <c r="I267" s="410">
        <f t="shared" si="77"/>
        <v>0</v>
      </c>
      <c r="J267" s="410">
        <v>0</v>
      </c>
      <c r="K267" s="410">
        <v>0</v>
      </c>
      <c r="L267" s="410">
        <f t="shared" si="78"/>
        <v>0</v>
      </c>
      <c r="M267" s="410">
        <v>0</v>
      </c>
      <c r="N267" s="410">
        <v>0</v>
      </c>
    </row>
    <row r="268" spans="1:14" s="434" customFormat="1" ht="14.1" hidden="1" customHeight="1">
      <c r="A268" s="1022"/>
      <c r="B268" s="1030"/>
      <c r="C268" s="1031"/>
      <c r="D268" s="1032"/>
      <c r="E268" s="1028"/>
      <c r="F268" s="1029"/>
      <c r="G268" s="412" t="s">
        <v>2</v>
      </c>
      <c r="H268" s="410">
        <f t="shared" si="76"/>
        <v>31163633</v>
      </c>
      <c r="I268" s="410">
        <f t="shared" si="77"/>
        <v>0</v>
      </c>
      <c r="J268" s="410">
        <f t="shared" ref="J268:K268" si="89">J266+J267</f>
        <v>0</v>
      </c>
      <c r="K268" s="410">
        <f t="shared" si="89"/>
        <v>0</v>
      </c>
      <c r="L268" s="410">
        <f t="shared" si="78"/>
        <v>31163633</v>
      </c>
      <c r="M268" s="410">
        <f t="shared" ref="M268:N268" si="90">M266+M267</f>
        <v>0</v>
      </c>
      <c r="N268" s="410">
        <f t="shared" si="90"/>
        <v>31163633</v>
      </c>
    </row>
    <row r="269" spans="1:14" s="434" customFormat="1" ht="15" hidden="1" customHeight="1">
      <c r="A269" s="1022"/>
      <c r="B269" s="1023"/>
      <c r="C269" s="1037" t="s">
        <v>179</v>
      </c>
      <c r="D269" s="1038"/>
      <c r="E269" s="1024" t="s">
        <v>735</v>
      </c>
      <c r="F269" s="1025"/>
      <c r="G269" s="409" t="s">
        <v>0</v>
      </c>
      <c r="H269" s="410">
        <f>I269+L269</f>
        <v>2645000</v>
      </c>
      <c r="I269" s="410">
        <f>J269+K269</f>
        <v>2645000</v>
      </c>
      <c r="J269" s="410">
        <v>2645000</v>
      </c>
      <c r="K269" s="410">
        <v>0</v>
      </c>
      <c r="L269" s="410">
        <f>M269+N269</f>
        <v>0</v>
      </c>
      <c r="M269" s="410">
        <v>0</v>
      </c>
      <c r="N269" s="410">
        <v>0</v>
      </c>
    </row>
    <row r="270" spans="1:14" s="434" customFormat="1" ht="15" hidden="1" customHeight="1">
      <c r="A270" s="1022"/>
      <c r="B270" s="1030"/>
      <c r="C270" s="1022"/>
      <c r="D270" s="1030"/>
      <c r="E270" s="1026"/>
      <c r="F270" s="1027"/>
      <c r="G270" s="412" t="s">
        <v>1</v>
      </c>
      <c r="H270" s="410">
        <f t="shared" ref="H270:H271" si="91">I270+L270</f>
        <v>0</v>
      </c>
      <c r="I270" s="410">
        <f t="shared" ref="I270:I271" si="92">J270+K270</f>
        <v>0</v>
      </c>
      <c r="J270" s="410">
        <v>0</v>
      </c>
      <c r="K270" s="410">
        <v>0</v>
      </c>
      <c r="L270" s="410">
        <f t="shared" ref="L270:L271" si="93">M270+N270</f>
        <v>0</v>
      </c>
      <c r="M270" s="410">
        <v>0</v>
      </c>
      <c r="N270" s="410">
        <v>0</v>
      </c>
    </row>
    <row r="271" spans="1:14" s="434" customFormat="1" ht="15" hidden="1" customHeight="1">
      <c r="A271" s="1022"/>
      <c r="B271" s="1030"/>
      <c r="C271" s="1022"/>
      <c r="D271" s="1030"/>
      <c r="E271" s="1028"/>
      <c r="F271" s="1029"/>
      <c r="G271" s="412" t="s">
        <v>2</v>
      </c>
      <c r="H271" s="410">
        <f t="shared" si="91"/>
        <v>2645000</v>
      </c>
      <c r="I271" s="410">
        <f t="shared" si="92"/>
        <v>2645000</v>
      </c>
      <c r="J271" s="410">
        <f t="shared" ref="J271:K271" si="94">J269+J270</f>
        <v>2645000</v>
      </c>
      <c r="K271" s="410">
        <f t="shared" si="94"/>
        <v>0</v>
      </c>
      <c r="L271" s="410">
        <f t="shared" si="93"/>
        <v>0</v>
      </c>
      <c r="M271" s="410">
        <f t="shared" ref="M271:N271" si="95">M269+M270</f>
        <v>0</v>
      </c>
      <c r="N271" s="410">
        <f t="shared" si="95"/>
        <v>0</v>
      </c>
    </row>
    <row r="272" spans="1:14" s="434" customFormat="1" ht="15" hidden="1" customHeight="1">
      <c r="A272" s="1022"/>
      <c r="B272" s="1023"/>
      <c r="C272" s="1022"/>
      <c r="D272" s="1023"/>
      <c r="E272" s="1024" t="s">
        <v>736</v>
      </c>
      <c r="F272" s="1025"/>
      <c r="G272" s="409" t="s">
        <v>0</v>
      </c>
      <c r="H272" s="410">
        <f>I272+L272</f>
        <v>1219000</v>
      </c>
      <c r="I272" s="410">
        <f>J272+K272</f>
        <v>1219000</v>
      </c>
      <c r="J272" s="410">
        <v>1219000</v>
      </c>
      <c r="K272" s="410">
        <v>0</v>
      </c>
      <c r="L272" s="410">
        <f>M272+N272</f>
        <v>0</v>
      </c>
      <c r="M272" s="410">
        <v>0</v>
      </c>
      <c r="N272" s="410">
        <v>0</v>
      </c>
    </row>
    <row r="273" spans="1:14" s="434" customFormat="1" ht="15" hidden="1" customHeight="1">
      <c r="A273" s="1022"/>
      <c r="B273" s="1030"/>
      <c r="C273" s="1022"/>
      <c r="D273" s="1030"/>
      <c r="E273" s="1026"/>
      <c r="F273" s="1027"/>
      <c r="G273" s="412" t="s">
        <v>1</v>
      </c>
      <c r="H273" s="410">
        <f t="shared" ref="H273:H280" si="96">I273+L273</f>
        <v>0</v>
      </c>
      <c r="I273" s="410">
        <f t="shared" ref="I273:I280" si="97">J273+K273</f>
        <v>0</v>
      </c>
      <c r="J273" s="410">
        <v>0</v>
      </c>
      <c r="K273" s="410">
        <v>0</v>
      </c>
      <c r="L273" s="410">
        <f t="shared" ref="L273:L280" si="98">M273+N273</f>
        <v>0</v>
      </c>
      <c r="M273" s="410">
        <v>0</v>
      </c>
      <c r="N273" s="410">
        <v>0</v>
      </c>
    </row>
    <row r="274" spans="1:14" s="434" customFormat="1" ht="15" hidden="1" customHeight="1">
      <c r="A274" s="1022"/>
      <c r="B274" s="1030"/>
      <c r="C274" s="1031"/>
      <c r="D274" s="1032"/>
      <c r="E274" s="1028"/>
      <c r="F274" s="1029"/>
      <c r="G274" s="412" t="s">
        <v>2</v>
      </c>
      <c r="H274" s="410">
        <f t="shared" si="96"/>
        <v>1219000</v>
      </c>
      <c r="I274" s="410">
        <f t="shared" si="97"/>
        <v>1219000</v>
      </c>
      <c r="J274" s="410">
        <f t="shared" ref="J274:K274" si="99">J272+J273</f>
        <v>1219000</v>
      </c>
      <c r="K274" s="410">
        <f t="shared" si="99"/>
        <v>0</v>
      </c>
      <c r="L274" s="410">
        <f t="shared" si="98"/>
        <v>0</v>
      </c>
      <c r="M274" s="410">
        <f t="shared" ref="M274:N274" si="100">M272+M273</f>
        <v>0</v>
      </c>
      <c r="N274" s="410">
        <f t="shared" si="100"/>
        <v>0</v>
      </c>
    </row>
    <row r="275" spans="1:14" s="434" customFormat="1" ht="14.1" hidden="1" customHeight="1">
      <c r="A275" s="1022"/>
      <c r="B275" s="1023"/>
      <c r="C275" s="1037" t="s">
        <v>181</v>
      </c>
      <c r="D275" s="1038"/>
      <c r="E275" s="1024" t="s">
        <v>737</v>
      </c>
      <c r="F275" s="1025"/>
      <c r="G275" s="469" t="s">
        <v>0</v>
      </c>
      <c r="H275" s="410">
        <f t="shared" si="96"/>
        <v>648680</v>
      </c>
      <c r="I275" s="410">
        <f t="shared" si="97"/>
        <v>648680</v>
      </c>
      <c r="J275" s="410">
        <v>648680</v>
      </c>
      <c r="K275" s="410">
        <v>0</v>
      </c>
      <c r="L275" s="410">
        <f t="shared" si="98"/>
        <v>0</v>
      </c>
      <c r="M275" s="410">
        <v>0</v>
      </c>
      <c r="N275" s="410">
        <v>0</v>
      </c>
    </row>
    <row r="276" spans="1:14" s="434" customFormat="1" ht="14.1" hidden="1" customHeight="1">
      <c r="A276" s="1022"/>
      <c r="B276" s="1040"/>
      <c r="C276" s="1022"/>
      <c r="D276" s="1040"/>
      <c r="E276" s="1026"/>
      <c r="F276" s="1027"/>
      <c r="G276" s="469" t="s">
        <v>1</v>
      </c>
      <c r="H276" s="410">
        <f t="shared" si="96"/>
        <v>0</v>
      </c>
      <c r="I276" s="410">
        <f t="shared" si="97"/>
        <v>0</v>
      </c>
      <c r="J276" s="410">
        <v>0</v>
      </c>
      <c r="K276" s="410">
        <v>0</v>
      </c>
      <c r="L276" s="410">
        <f t="shared" si="98"/>
        <v>0</v>
      </c>
      <c r="M276" s="410">
        <v>0</v>
      </c>
      <c r="N276" s="410">
        <v>0</v>
      </c>
    </row>
    <row r="277" spans="1:14" s="434" customFormat="1" ht="14.1" hidden="1" customHeight="1">
      <c r="A277" s="1022"/>
      <c r="B277" s="1040"/>
      <c r="C277" s="1022"/>
      <c r="D277" s="1040"/>
      <c r="E277" s="1028"/>
      <c r="F277" s="1029"/>
      <c r="G277" s="469" t="s">
        <v>2</v>
      </c>
      <c r="H277" s="410">
        <f t="shared" si="96"/>
        <v>648680</v>
      </c>
      <c r="I277" s="410">
        <f t="shared" si="97"/>
        <v>648680</v>
      </c>
      <c r="J277" s="410">
        <f>J275+J276</f>
        <v>648680</v>
      </c>
      <c r="K277" s="410">
        <f>K275+K276</f>
        <v>0</v>
      </c>
      <c r="L277" s="410">
        <f t="shared" si="98"/>
        <v>0</v>
      </c>
      <c r="M277" s="410">
        <f>M275+M276</f>
        <v>0</v>
      </c>
      <c r="N277" s="410">
        <f>N275+N276</f>
        <v>0</v>
      </c>
    </row>
    <row r="278" spans="1:14" s="434" customFormat="1" ht="15" hidden="1" customHeight="1">
      <c r="A278" s="1022"/>
      <c r="B278" s="1023"/>
      <c r="C278" s="1037" t="s">
        <v>183</v>
      </c>
      <c r="D278" s="1038"/>
      <c r="E278" s="1024" t="s">
        <v>738</v>
      </c>
      <c r="F278" s="1025"/>
      <c r="G278" s="409" t="s">
        <v>0</v>
      </c>
      <c r="H278" s="410">
        <f t="shared" si="96"/>
        <v>7616342</v>
      </c>
      <c r="I278" s="410">
        <f t="shared" si="97"/>
        <v>7616342</v>
      </c>
      <c r="J278" s="410">
        <v>7616342</v>
      </c>
      <c r="K278" s="410">
        <v>0</v>
      </c>
      <c r="L278" s="410">
        <f t="shared" si="98"/>
        <v>0</v>
      </c>
      <c r="M278" s="410">
        <v>0</v>
      </c>
      <c r="N278" s="410">
        <v>0</v>
      </c>
    </row>
    <row r="279" spans="1:14" s="434" customFormat="1" ht="15" hidden="1" customHeight="1">
      <c r="A279" s="1022"/>
      <c r="B279" s="1030"/>
      <c r="C279" s="1022"/>
      <c r="D279" s="1030"/>
      <c r="E279" s="1026"/>
      <c r="F279" s="1027"/>
      <c r="G279" s="412" t="s">
        <v>1</v>
      </c>
      <c r="H279" s="410">
        <f t="shared" si="96"/>
        <v>0</v>
      </c>
      <c r="I279" s="410">
        <f t="shared" si="97"/>
        <v>0</v>
      </c>
      <c r="J279" s="410">
        <v>0</v>
      </c>
      <c r="K279" s="410">
        <v>0</v>
      </c>
      <c r="L279" s="410">
        <f t="shared" si="98"/>
        <v>0</v>
      </c>
      <c r="M279" s="410">
        <v>0</v>
      </c>
      <c r="N279" s="410">
        <v>0</v>
      </c>
    </row>
    <row r="280" spans="1:14" s="434" customFormat="1" ht="15" hidden="1" customHeight="1">
      <c r="A280" s="1022"/>
      <c r="B280" s="1030"/>
      <c r="C280" s="1031"/>
      <c r="D280" s="1032"/>
      <c r="E280" s="1028"/>
      <c r="F280" s="1029"/>
      <c r="G280" s="412" t="s">
        <v>2</v>
      </c>
      <c r="H280" s="410">
        <f t="shared" si="96"/>
        <v>7616342</v>
      </c>
      <c r="I280" s="410">
        <f t="shared" si="97"/>
        <v>7616342</v>
      </c>
      <c r="J280" s="410">
        <f t="shared" ref="J280:K280" si="101">J278+J279</f>
        <v>7616342</v>
      </c>
      <c r="K280" s="410">
        <f t="shared" si="101"/>
        <v>0</v>
      </c>
      <c r="L280" s="410">
        <f t="shared" si="98"/>
        <v>0</v>
      </c>
      <c r="M280" s="410">
        <f t="shared" ref="M280:N280" si="102">M278+M279</f>
        <v>0</v>
      </c>
      <c r="N280" s="410">
        <f t="shared" si="102"/>
        <v>0</v>
      </c>
    </row>
    <row r="281" spans="1:14" s="434" customFormat="1" ht="15" hidden="1" customHeight="1">
      <c r="A281" s="1022"/>
      <c r="B281" s="1023"/>
      <c r="C281" s="1037" t="s">
        <v>186</v>
      </c>
      <c r="D281" s="1038"/>
      <c r="E281" s="1024" t="s">
        <v>739</v>
      </c>
      <c r="F281" s="1025"/>
      <c r="G281" s="409" t="s">
        <v>0</v>
      </c>
      <c r="H281" s="410">
        <f t="shared" si="76"/>
        <v>50000</v>
      </c>
      <c r="I281" s="410">
        <f t="shared" si="77"/>
        <v>50000</v>
      </c>
      <c r="J281" s="410">
        <v>0</v>
      </c>
      <c r="K281" s="410">
        <v>50000</v>
      </c>
      <c r="L281" s="410">
        <f t="shared" si="78"/>
        <v>0</v>
      </c>
      <c r="M281" s="410">
        <v>0</v>
      </c>
      <c r="N281" s="410">
        <v>0</v>
      </c>
    </row>
    <row r="282" spans="1:14" s="434" customFormat="1" ht="15" hidden="1" customHeight="1">
      <c r="A282" s="1022"/>
      <c r="B282" s="1030"/>
      <c r="C282" s="1022"/>
      <c r="D282" s="1030"/>
      <c r="E282" s="1026"/>
      <c r="F282" s="1027"/>
      <c r="G282" s="412" t="s">
        <v>1</v>
      </c>
      <c r="H282" s="410">
        <f t="shared" si="76"/>
        <v>0</v>
      </c>
      <c r="I282" s="410">
        <f t="shared" si="77"/>
        <v>0</v>
      </c>
      <c r="J282" s="410">
        <v>0</v>
      </c>
      <c r="K282" s="410">
        <v>0</v>
      </c>
      <c r="L282" s="410">
        <f t="shared" si="78"/>
        <v>0</v>
      </c>
      <c r="M282" s="410">
        <v>0</v>
      </c>
      <c r="N282" s="410">
        <v>0</v>
      </c>
    </row>
    <row r="283" spans="1:14" s="434" customFormat="1" ht="15" hidden="1" customHeight="1">
      <c r="A283" s="1031"/>
      <c r="B283" s="1032"/>
      <c r="C283" s="1031"/>
      <c r="D283" s="1032"/>
      <c r="E283" s="1028"/>
      <c r="F283" s="1029"/>
      <c r="G283" s="412" t="s">
        <v>2</v>
      </c>
      <c r="H283" s="410">
        <f t="shared" si="76"/>
        <v>50000</v>
      </c>
      <c r="I283" s="410">
        <f t="shared" si="77"/>
        <v>50000</v>
      </c>
      <c r="J283" s="410">
        <f t="shared" ref="J283:K283" si="103">J281+J282</f>
        <v>0</v>
      </c>
      <c r="K283" s="410">
        <f t="shared" si="103"/>
        <v>50000</v>
      </c>
      <c r="L283" s="410">
        <f t="shared" si="78"/>
        <v>0</v>
      </c>
      <c r="M283" s="410">
        <f t="shared" ref="M283:N283" si="104">M281+M282</f>
        <v>0</v>
      </c>
      <c r="N283" s="410">
        <f t="shared" si="104"/>
        <v>0</v>
      </c>
    </row>
    <row r="284" spans="1:14" s="353" customFormat="1" ht="14.1" customHeight="1">
      <c r="A284" s="1035" t="s">
        <v>85</v>
      </c>
      <c r="B284" s="1036"/>
      <c r="C284" s="1035" t="s">
        <v>187</v>
      </c>
      <c r="D284" s="1036"/>
      <c r="E284" s="1024" t="s">
        <v>740</v>
      </c>
      <c r="F284" s="1025"/>
      <c r="G284" s="409" t="s">
        <v>0</v>
      </c>
      <c r="H284" s="446">
        <f t="shared" si="76"/>
        <v>250000</v>
      </c>
      <c r="I284" s="446">
        <f t="shared" si="77"/>
        <v>0</v>
      </c>
      <c r="J284" s="446">
        <v>0</v>
      </c>
      <c r="K284" s="446">
        <v>0</v>
      </c>
      <c r="L284" s="446">
        <f t="shared" si="78"/>
        <v>250000</v>
      </c>
      <c r="M284" s="446">
        <v>0</v>
      </c>
      <c r="N284" s="446">
        <v>250000</v>
      </c>
    </row>
    <row r="285" spans="1:14" s="353" customFormat="1" ht="14.1" customHeight="1">
      <c r="A285" s="1033"/>
      <c r="B285" s="1030"/>
      <c r="C285" s="1033"/>
      <c r="D285" s="1030"/>
      <c r="E285" s="1026"/>
      <c r="F285" s="1027"/>
      <c r="G285" s="412" t="s">
        <v>1</v>
      </c>
      <c r="H285" s="446">
        <f t="shared" si="76"/>
        <v>100000</v>
      </c>
      <c r="I285" s="446">
        <f t="shared" si="77"/>
        <v>0</v>
      </c>
      <c r="J285" s="446">
        <v>0</v>
      </c>
      <c r="K285" s="446">
        <v>0</v>
      </c>
      <c r="L285" s="446">
        <f t="shared" si="78"/>
        <v>100000</v>
      </c>
      <c r="M285" s="446">
        <v>0</v>
      </c>
      <c r="N285" s="446">
        <v>100000</v>
      </c>
    </row>
    <row r="286" spans="1:14" s="353" customFormat="1" ht="14.1" customHeight="1">
      <c r="A286" s="1039"/>
      <c r="B286" s="1032"/>
      <c r="C286" s="1039"/>
      <c r="D286" s="1032"/>
      <c r="E286" s="1028"/>
      <c r="F286" s="1029"/>
      <c r="G286" s="412" t="s">
        <v>2</v>
      </c>
      <c r="H286" s="410">
        <f t="shared" si="76"/>
        <v>350000</v>
      </c>
      <c r="I286" s="410">
        <f t="shared" si="77"/>
        <v>0</v>
      </c>
      <c r="J286" s="410">
        <f t="shared" ref="J286:K286" si="105">J284+J285</f>
        <v>0</v>
      </c>
      <c r="K286" s="410">
        <f t="shared" si="105"/>
        <v>0</v>
      </c>
      <c r="L286" s="410">
        <f t="shared" si="78"/>
        <v>350000</v>
      </c>
      <c r="M286" s="410">
        <f t="shared" ref="M286:N286" si="106">M284+M285</f>
        <v>0</v>
      </c>
      <c r="N286" s="410">
        <f t="shared" si="106"/>
        <v>350000</v>
      </c>
    </row>
    <row r="287" spans="1:14" s="353" customFormat="1" ht="15" hidden="1" customHeight="1">
      <c r="A287" s="1035" t="s">
        <v>51</v>
      </c>
      <c r="B287" s="1036"/>
      <c r="C287" s="1035" t="s">
        <v>196</v>
      </c>
      <c r="D287" s="1036"/>
      <c r="E287" s="1024" t="s">
        <v>741</v>
      </c>
      <c r="F287" s="1025"/>
      <c r="G287" s="409" t="s">
        <v>0</v>
      </c>
      <c r="H287" s="410">
        <f t="shared" si="76"/>
        <v>217278</v>
      </c>
      <c r="I287" s="410">
        <f t="shared" si="77"/>
        <v>217278</v>
      </c>
      <c r="J287" s="410">
        <v>217278</v>
      </c>
      <c r="K287" s="410">
        <v>0</v>
      </c>
      <c r="L287" s="410">
        <f t="shared" si="78"/>
        <v>0</v>
      </c>
      <c r="M287" s="410">
        <v>0</v>
      </c>
      <c r="N287" s="410">
        <v>0</v>
      </c>
    </row>
    <row r="288" spans="1:14" s="353" customFormat="1" ht="15" hidden="1" customHeight="1">
      <c r="A288" s="1033"/>
      <c r="B288" s="1030"/>
      <c r="C288" s="1033"/>
      <c r="D288" s="1030"/>
      <c r="E288" s="1026"/>
      <c r="F288" s="1027"/>
      <c r="G288" s="412" t="s">
        <v>1</v>
      </c>
      <c r="H288" s="410">
        <f t="shared" si="76"/>
        <v>0</v>
      </c>
      <c r="I288" s="410">
        <f t="shared" si="77"/>
        <v>0</v>
      </c>
      <c r="J288" s="410">
        <v>0</v>
      </c>
      <c r="K288" s="410">
        <v>0</v>
      </c>
      <c r="L288" s="410">
        <f t="shared" si="78"/>
        <v>0</v>
      </c>
      <c r="M288" s="410">
        <v>0</v>
      </c>
      <c r="N288" s="410">
        <v>0</v>
      </c>
    </row>
    <row r="289" spans="1:14" s="353" customFormat="1" ht="15" hidden="1" customHeight="1">
      <c r="A289" s="1039"/>
      <c r="B289" s="1032"/>
      <c r="C289" s="1039"/>
      <c r="D289" s="1032"/>
      <c r="E289" s="1028"/>
      <c r="F289" s="1029"/>
      <c r="G289" s="412" t="s">
        <v>2</v>
      </c>
      <c r="H289" s="410">
        <f t="shared" si="76"/>
        <v>217278</v>
      </c>
      <c r="I289" s="410">
        <f t="shared" si="77"/>
        <v>217278</v>
      </c>
      <c r="J289" s="410">
        <f t="shared" ref="J289:K289" si="107">J287+J288</f>
        <v>217278</v>
      </c>
      <c r="K289" s="410">
        <f t="shared" si="107"/>
        <v>0</v>
      </c>
      <c r="L289" s="410">
        <f t="shared" si="78"/>
        <v>0</v>
      </c>
      <c r="M289" s="410">
        <f t="shared" ref="M289:N289" si="108">M287+M288</f>
        <v>0</v>
      </c>
      <c r="N289" s="410">
        <f t="shared" si="108"/>
        <v>0</v>
      </c>
    </row>
    <row r="290" spans="1:14" s="353" customFormat="1" ht="15" hidden="1" customHeight="1">
      <c r="A290" s="1035" t="s">
        <v>197</v>
      </c>
      <c r="B290" s="1036"/>
      <c r="C290" s="1035" t="s">
        <v>199</v>
      </c>
      <c r="D290" s="1036"/>
      <c r="E290" s="1024" t="s">
        <v>742</v>
      </c>
      <c r="F290" s="1025"/>
      <c r="G290" s="409" t="s">
        <v>0</v>
      </c>
      <c r="H290" s="410">
        <f t="shared" si="76"/>
        <v>250000</v>
      </c>
      <c r="I290" s="410">
        <f t="shared" si="77"/>
        <v>250000</v>
      </c>
      <c r="J290" s="410">
        <v>0</v>
      </c>
      <c r="K290" s="410">
        <v>250000</v>
      </c>
      <c r="L290" s="410">
        <f t="shared" si="78"/>
        <v>0</v>
      </c>
      <c r="M290" s="410">
        <v>0</v>
      </c>
      <c r="N290" s="410">
        <v>0</v>
      </c>
    </row>
    <row r="291" spans="1:14" s="353" customFormat="1" ht="15" hidden="1" customHeight="1">
      <c r="A291" s="1033"/>
      <c r="B291" s="1030"/>
      <c r="C291" s="1033"/>
      <c r="D291" s="1030"/>
      <c r="E291" s="1026"/>
      <c r="F291" s="1027"/>
      <c r="G291" s="412" t="s">
        <v>1</v>
      </c>
      <c r="H291" s="410">
        <f t="shared" si="76"/>
        <v>0</v>
      </c>
      <c r="I291" s="410">
        <f t="shared" si="77"/>
        <v>0</v>
      </c>
      <c r="J291" s="410">
        <v>0</v>
      </c>
      <c r="K291" s="410">
        <v>0</v>
      </c>
      <c r="L291" s="410">
        <f t="shared" si="78"/>
        <v>0</v>
      </c>
      <c r="M291" s="410">
        <v>0</v>
      </c>
      <c r="N291" s="410">
        <v>0</v>
      </c>
    </row>
    <row r="292" spans="1:14" s="353" customFormat="1" ht="15" hidden="1" customHeight="1">
      <c r="A292" s="1033"/>
      <c r="B292" s="1030"/>
      <c r="C292" s="1033"/>
      <c r="D292" s="1030"/>
      <c r="E292" s="1028"/>
      <c r="F292" s="1029"/>
      <c r="G292" s="412" t="s">
        <v>2</v>
      </c>
      <c r="H292" s="410">
        <f t="shared" si="76"/>
        <v>250000</v>
      </c>
      <c r="I292" s="410">
        <f t="shared" si="77"/>
        <v>250000</v>
      </c>
      <c r="J292" s="410">
        <f t="shared" ref="J292:K292" si="109">J290+J291</f>
        <v>0</v>
      </c>
      <c r="K292" s="410">
        <f t="shared" si="109"/>
        <v>250000</v>
      </c>
      <c r="L292" s="410">
        <f t="shared" si="78"/>
        <v>0</v>
      </c>
      <c r="M292" s="410">
        <f t="shared" ref="M292:N292" si="110">M290+M291</f>
        <v>0</v>
      </c>
      <c r="N292" s="410">
        <f t="shared" si="110"/>
        <v>0</v>
      </c>
    </row>
    <row r="293" spans="1:14" s="353" customFormat="1" ht="14.1" hidden="1" customHeight="1">
      <c r="A293" s="1033"/>
      <c r="B293" s="1034"/>
      <c r="C293" s="1033"/>
      <c r="D293" s="1034"/>
      <c r="E293" s="1024" t="s">
        <v>743</v>
      </c>
      <c r="F293" s="1025"/>
      <c r="G293" s="409" t="s">
        <v>0</v>
      </c>
      <c r="H293" s="410">
        <f t="shared" si="76"/>
        <v>120000</v>
      </c>
      <c r="I293" s="410">
        <f t="shared" si="77"/>
        <v>120000</v>
      </c>
      <c r="J293" s="410">
        <v>0</v>
      </c>
      <c r="K293" s="410">
        <v>120000</v>
      </c>
      <c r="L293" s="410">
        <f t="shared" si="78"/>
        <v>0</v>
      </c>
      <c r="M293" s="410">
        <v>0</v>
      </c>
      <c r="N293" s="410">
        <v>0</v>
      </c>
    </row>
    <row r="294" spans="1:14" s="353" customFormat="1" ht="14.1" hidden="1" customHeight="1">
      <c r="A294" s="1033"/>
      <c r="B294" s="1030"/>
      <c r="C294" s="1033"/>
      <c r="D294" s="1030"/>
      <c r="E294" s="1026"/>
      <c r="F294" s="1027"/>
      <c r="G294" s="412" t="s">
        <v>1</v>
      </c>
      <c r="H294" s="410">
        <f t="shared" si="76"/>
        <v>0</v>
      </c>
      <c r="I294" s="410">
        <f t="shared" si="77"/>
        <v>0</v>
      </c>
      <c r="J294" s="410">
        <v>0</v>
      </c>
      <c r="K294" s="410">
        <v>0</v>
      </c>
      <c r="L294" s="410">
        <f t="shared" si="78"/>
        <v>0</v>
      </c>
      <c r="M294" s="410">
        <v>0</v>
      </c>
      <c r="N294" s="410">
        <v>0</v>
      </c>
    </row>
    <row r="295" spans="1:14" s="353" customFormat="1" ht="14.1" hidden="1" customHeight="1">
      <c r="A295" s="1039"/>
      <c r="B295" s="1032"/>
      <c r="C295" s="1039"/>
      <c r="D295" s="1032"/>
      <c r="E295" s="1028"/>
      <c r="F295" s="1029"/>
      <c r="G295" s="412" t="s">
        <v>2</v>
      </c>
      <c r="H295" s="410">
        <f t="shared" si="76"/>
        <v>120000</v>
      </c>
      <c r="I295" s="410">
        <f t="shared" si="77"/>
        <v>120000</v>
      </c>
      <c r="J295" s="410">
        <f t="shared" ref="J295:K295" si="111">J293+J294</f>
        <v>0</v>
      </c>
      <c r="K295" s="410">
        <f t="shared" si="111"/>
        <v>120000</v>
      </c>
      <c r="L295" s="410">
        <f t="shared" si="78"/>
        <v>0</v>
      </c>
      <c r="M295" s="410">
        <f t="shared" ref="M295:N295" si="112">M293+M294</f>
        <v>0</v>
      </c>
      <c r="N295" s="410">
        <f t="shared" si="112"/>
        <v>0</v>
      </c>
    </row>
    <row r="296" spans="1:14" s="353" customFormat="1" ht="15" hidden="1" customHeight="1">
      <c r="A296" s="1035" t="s">
        <v>53</v>
      </c>
      <c r="B296" s="1036"/>
      <c r="C296" s="1035" t="s">
        <v>212</v>
      </c>
      <c r="D296" s="1036"/>
      <c r="E296" s="1024" t="s">
        <v>744</v>
      </c>
      <c r="F296" s="1025"/>
      <c r="G296" s="409" t="s">
        <v>0</v>
      </c>
      <c r="H296" s="446">
        <f t="shared" si="76"/>
        <v>120000</v>
      </c>
      <c r="I296" s="446">
        <f t="shared" si="77"/>
        <v>0</v>
      </c>
      <c r="J296" s="446">
        <v>0</v>
      </c>
      <c r="K296" s="446">
        <v>0</v>
      </c>
      <c r="L296" s="446">
        <f t="shared" si="78"/>
        <v>120000</v>
      </c>
      <c r="M296" s="446">
        <v>0</v>
      </c>
      <c r="N296" s="446">
        <v>120000</v>
      </c>
    </row>
    <row r="297" spans="1:14" s="353" customFormat="1" ht="15" hidden="1" customHeight="1">
      <c r="A297" s="1033"/>
      <c r="B297" s="1030"/>
      <c r="C297" s="1033"/>
      <c r="D297" s="1030"/>
      <c r="E297" s="1026"/>
      <c r="F297" s="1027"/>
      <c r="G297" s="412" t="s">
        <v>1</v>
      </c>
      <c r="H297" s="446">
        <f t="shared" si="76"/>
        <v>0</v>
      </c>
      <c r="I297" s="446">
        <f t="shared" si="77"/>
        <v>0</v>
      </c>
      <c r="J297" s="446">
        <v>0</v>
      </c>
      <c r="K297" s="446">
        <v>0</v>
      </c>
      <c r="L297" s="446">
        <f t="shared" si="78"/>
        <v>0</v>
      </c>
      <c r="M297" s="446">
        <v>0</v>
      </c>
      <c r="N297" s="446">
        <v>0</v>
      </c>
    </row>
    <row r="298" spans="1:14" s="353" customFormat="1" ht="15" hidden="1" customHeight="1">
      <c r="A298" s="1039"/>
      <c r="B298" s="1032"/>
      <c r="C298" s="1039"/>
      <c r="D298" s="1032"/>
      <c r="E298" s="1028"/>
      <c r="F298" s="1029"/>
      <c r="G298" s="412" t="s">
        <v>2</v>
      </c>
      <c r="H298" s="410">
        <f t="shared" si="76"/>
        <v>120000</v>
      </c>
      <c r="I298" s="410">
        <f t="shared" si="77"/>
        <v>0</v>
      </c>
      <c r="J298" s="410">
        <f t="shared" ref="J298:K298" si="113">J296+J297</f>
        <v>0</v>
      </c>
      <c r="K298" s="410">
        <f t="shared" si="113"/>
        <v>0</v>
      </c>
      <c r="L298" s="410">
        <f t="shared" si="78"/>
        <v>120000</v>
      </c>
      <c r="M298" s="410">
        <f t="shared" ref="M298:N298" si="114">M296+M297</f>
        <v>0</v>
      </c>
      <c r="N298" s="410">
        <f t="shared" si="114"/>
        <v>120000</v>
      </c>
    </row>
    <row r="299" spans="1:14" s="434" customFormat="1" ht="18" hidden="1" customHeight="1">
      <c r="A299" s="1022" t="s">
        <v>61</v>
      </c>
      <c r="B299" s="1023"/>
      <c r="C299" s="1022" t="s">
        <v>389</v>
      </c>
      <c r="D299" s="1023"/>
      <c r="E299" s="1024" t="s">
        <v>745</v>
      </c>
      <c r="F299" s="1025"/>
      <c r="G299" s="409" t="s">
        <v>0</v>
      </c>
      <c r="H299" s="410">
        <f t="shared" si="76"/>
        <v>10000000</v>
      </c>
      <c r="I299" s="410">
        <f t="shared" si="77"/>
        <v>10000000</v>
      </c>
      <c r="J299" s="410">
        <v>10000000</v>
      </c>
      <c r="K299" s="410">
        <v>0</v>
      </c>
      <c r="L299" s="410">
        <f t="shared" si="78"/>
        <v>0</v>
      </c>
      <c r="M299" s="410">
        <v>0</v>
      </c>
      <c r="N299" s="410">
        <v>0</v>
      </c>
    </row>
    <row r="300" spans="1:14" s="434" customFormat="1" ht="18" hidden="1" customHeight="1">
      <c r="A300" s="1022"/>
      <c r="B300" s="1030"/>
      <c r="C300" s="1022"/>
      <c r="D300" s="1030"/>
      <c r="E300" s="1026"/>
      <c r="F300" s="1027"/>
      <c r="G300" s="412" t="s">
        <v>1</v>
      </c>
      <c r="H300" s="410">
        <f t="shared" si="76"/>
        <v>0</v>
      </c>
      <c r="I300" s="410">
        <f t="shared" si="77"/>
        <v>0</v>
      </c>
      <c r="J300" s="410">
        <v>0</v>
      </c>
      <c r="K300" s="410">
        <v>0</v>
      </c>
      <c r="L300" s="410">
        <f t="shared" si="78"/>
        <v>0</v>
      </c>
      <c r="M300" s="410">
        <v>0</v>
      </c>
      <c r="N300" s="410">
        <v>0</v>
      </c>
    </row>
    <row r="301" spans="1:14" s="434" customFormat="1" ht="18" hidden="1" customHeight="1">
      <c r="A301" s="1022"/>
      <c r="B301" s="1030"/>
      <c r="C301" s="1022"/>
      <c r="D301" s="1030"/>
      <c r="E301" s="1026"/>
      <c r="F301" s="1027"/>
      <c r="G301" s="470" t="s">
        <v>2</v>
      </c>
      <c r="H301" s="446">
        <f t="shared" si="76"/>
        <v>10000000</v>
      </c>
      <c r="I301" s="446">
        <f t="shared" si="77"/>
        <v>10000000</v>
      </c>
      <c r="J301" s="446">
        <f t="shared" ref="J301:K301" si="115">J299+J300</f>
        <v>10000000</v>
      </c>
      <c r="K301" s="446">
        <f t="shared" si="115"/>
        <v>0</v>
      </c>
      <c r="L301" s="446">
        <f t="shared" si="78"/>
        <v>0</v>
      </c>
      <c r="M301" s="446">
        <f t="shared" ref="M301:N301" si="116">M299+M300</f>
        <v>0</v>
      </c>
      <c r="N301" s="446">
        <f t="shared" si="116"/>
        <v>0</v>
      </c>
    </row>
    <row r="302" spans="1:14" s="434" customFormat="1" ht="18" customHeight="1">
      <c r="A302" s="1037" t="s">
        <v>61</v>
      </c>
      <c r="B302" s="1038"/>
      <c r="C302" s="1037" t="s">
        <v>389</v>
      </c>
      <c r="D302" s="1038"/>
      <c r="E302" s="1024" t="s">
        <v>746</v>
      </c>
      <c r="F302" s="1025"/>
      <c r="G302" s="471" t="s">
        <v>0</v>
      </c>
      <c r="H302" s="410">
        <f t="shared" si="76"/>
        <v>0</v>
      </c>
      <c r="I302" s="410">
        <f t="shared" si="77"/>
        <v>0</v>
      </c>
      <c r="J302" s="410">
        <v>0</v>
      </c>
      <c r="K302" s="410">
        <v>0</v>
      </c>
      <c r="L302" s="410">
        <f t="shared" si="78"/>
        <v>0</v>
      </c>
      <c r="M302" s="410">
        <v>0</v>
      </c>
      <c r="N302" s="410">
        <v>0</v>
      </c>
    </row>
    <row r="303" spans="1:14" s="434" customFormat="1" ht="18" customHeight="1">
      <c r="A303" s="1022"/>
      <c r="B303" s="1030"/>
      <c r="C303" s="1022"/>
      <c r="D303" s="1030"/>
      <c r="E303" s="1026"/>
      <c r="F303" s="1027"/>
      <c r="G303" s="471" t="s">
        <v>1</v>
      </c>
      <c r="H303" s="410">
        <f t="shared" si="76"/>
        <v>993710</v>
      </c>
      <c r="I303" s="410">
        <f t="shared" si="77"/>
        <v>993710</v>
      </c>
      <c r="J303" s="410">
        <v>993710</v>
      </c>
      <c r="K303" s="410">
        <v>0</v>
      </c>
      <c r="L303" s="410">
        <f t="shared" si="78"/>
        <v>0</v>
      </c>
      <c r="M303" s="410">
        <v>0</v>
      </c>
      <c r="N303" s="410">
        <v>0</v>
      </c>
    </row>
    <row r="304" spans="1:14" s="434" customFormat="1" ht="18" customHeight="1">
      <c r="A304" s="1022"/>
      <c r="B304" s="1030"/>
      <c r="C304" s="1022"/>
      <c r="D304" s="1030"/>
      <c r="E304" s="1028"/>
      <c r="F304" s="1029"/>
      <c r="G304" s="471" t="s">
        <v>2</v>
      </c>
      <c r="H304" s="410">
        <f t="shared" si="76"/>
        <v>993710</v>
      </c>
      <c r="I304" s="410">
        <f t="shared" si="77"/>
        <v>993710</v>
      </c>
      <c r="J304" s="410">
        <f>J302+J303</f>
        <v>993710</v>
      </c>
      <c r="K304" s="410">
        <f>K302+K303</f>
        <v>0</v>
      </c>
      <c r="L304" s="410">
        <f t="shared" si="78"/>
        <v>0</v>
      </c>
      <c r="M304" s="410">
        <f>M302+M303</f>
        <v>0</v>
      </c>
      <c r="N304" s="410">
        <f>N302+N303</f>
        <v>0</v>
      </c>
    </row>
    <row r="305" spans="1:14" s="434" customFormat="1" ht="14.1" hidden="1" customHeight="1">
      <c r="A305" s="1022"/>
      <c r="B305" s="1023"/>
      <c r="C305" s="1022"/>
      <c r="D305" s="1023"/>
      <c r="E305" s="1024" t="s">
        <v>747</v>
      </c>
      <c r="F305" s="1025"/>
      <c r="G305" s="469" t="s">
        <v>0</v>
      </c>
      <c r="H305" s="410">
        <f t="shared" si="76"/>
        <v>2017637</v>
      </c>
      <c r="I305" s="410">
        <f t="shared" si="77"/>
        <v>2017637</v>
      </c>
      <c r="J305" s="410">
        <v>2017637</v>
      </c>
      <c r="K305" s="410">
        <v>0</v>
      </c>
      <c r="L305" s="410">
        <f t="shared" si="78"/>
        <v>0</v>
      </c>
      <c r="M305" s="410">
        <v>0</v>
      </c>
      <c r="N305" s="410">
        <v>0</v>
      </c>
    </row>
    <row r="306" spans="1:14" s="434" customFormat="1" ht="14.1" hidden="1" customHeight="1">
      <c r="A306" s="1022"/>
      <c r="B306" s="1030"/>
      <c r="C306" s="1022"/>
      <c r="D306" s="1030"/>
      <c r="E306" s="1026"/>
      <c r="F306" s="1027"/>
      <c r="G306" s="469" t="s">
        <v>1</v>
      </c>
      <c r="H306" s="410">
        <f t="shared" si="76"/>
        <v>0</v>
      </c>
      <c r="I306" s="410">
        <f t="shared" si="77"/>
        <v>0</v>
      </c>
      <c r="J306" s="410">
        <v>0</v>
      </c>
      <c r="K306" s="410">
        <v>0</v>
      </c>
      <c r="L306" s="410">
        <f t="shared" si="78"/>
        <v>0</v>
      </c>
      <c r="M306" s="410">
        <v>0</v>
      </c>
      <c r="N306" s="410">
        <v>0</v>
      </c>
    </row>
    <row r="307" spans="1:14" s="434" customFormat="1" ht="13.5" hidden="1" customHeight="1">
      <c r="A307" s="1022"/>
      <c r="B307" s="1030"/>
      <c r="C307" s="1022"/>
      <c r="D307" s="1030"/>
      <c r="E307" s="1028"/>
      <c r="F307" s="1029"/>
      <c r="G307" s="469" t="s">
        <v>2</v>
      </c>
      <c r="H307" s="410">
        <f t="shared" si="76"/>
        <v>2017637</v>
      </c>
      <c r="I307" s="410">
        <f t="shared" si="77"/>
        <v>2017637</v>
      </c>
      <c r="J307" s="410">
        <f>J305+J306</f>
        <v>2017637</v>
      </c>
      <c r="K307" s="410">
        <f>K305+K306</f>
        <v>0</v>
      </c>
      <c r="L307" s="410">
        <f t="shared" si="78"/>
        <v>0</v>
      </c>
      <c r="M307" s="410">
        <f>M305+M306</f>
        <v>0</v>
      </c>
      <c r="N307" s="410">
        <f>N305+N306</f>
        <v>0</v>
      </c>
    </row>
    <row r="308" spans="1:14" s="434" customFormat="1" ht="13.7" customHeight="1">
      <c r="A308" s="1022"/>
      <c r="B308" s="1023"/>
      <c r="C308" s="1022"/>
      <c r="D308" s="1023"/>
      <c r="E308" s="1024" t="s">
        <v>748</v>
      </c>
      <c r="F308" s="1025"/>
      <c r="G308" s="409" t="s">
        <v>0</v>
      </c>
      <c r="H308" s="410">
        <f>I308+L308</f>
        <v>0</v>
      </c>
      <c r="I308" s="410">
        <f>J308+K308</f>
        <v>0</v>
      </c>
      <c r="J308" s="410">
        <v>0</v>
      </c>
      <c r="K308" s="410">
        <v>0</v>
      </c>
      <c r="L308" s="410">
        <f>M308+N308</f>
        <v>0</v>
      </c>
      <c r="M308" s="410">
        <v>0</v>
      </c>
      <c r="N308" s="410">
        <v>0</v>
      </c>
    </row>
    <row r="309" spans="1:14" s="434" customFormat="1" ht="13.7" customHeight="1">
      <c r="A309" s="1022"/>
      <c r="B309" s="1030"/>
      <c r="C309" s="1022"/>
      <c r="D309" s="1030"/>
      <c r="E309" s="1026"/>
      <c r="F309" s="1027"/>
      <c r="G309" s="412" t="s">
        <v>1</v>
      </c>
      <c r="H309" s="410">
        <f t="shared" ref="H309:H310" si="117">I309+L309</f>
        <v>1398183</v>
      </c>
      <c r="I309" s="410">
        <f t="shared" ref="I309:I310" si="118">J309+K309</f>
        <v>1398183</v>
      </c>
      <c r="J309" s="410">
        <v>1398183</v>
      </c>
      <c r="K309" s="410">
        <v>0</v>
      </c>
      <c r="L309" s="410">
        <f t="shared" ref="L309:L310" si="119">M309+N309</f>
        <v>0</v>
      </c>
      <c r="M309" s="410">
        <v>0</v>
      </c>
      <c r="N309" s="410">
        <v>0</v>
      </c>
    </row>
    <row r="310" spans="1:14" s="434" customFormat="1" ht="13.7" customHeight="1">
      <c r="A310" s="1022"/>
      <c r="B310" s="1030"/>
      <c r="C310" s="1022"/>
      <c r="D310" s="1030"/>
      <c r="E310" s="1028"/>
      <c r="F310" s="1029"/>
      <c r="G310" s="412" t="s">
        <v>2</v>
      </c>
      <c r="H310" s="410">
        <f t="shared" si="117"/>
        <v>1398183</v>
      </c>
      <c r="I310" s="410">
        <f t="shared" si="118"/>
        <v>1398183</v>
      </c>
      <c r="J310" s="410">
        <f t="shared" ref="J310:K310" si="120">J308+J309</f>
        <v>1398183</v>
      </c>
      <c r="K310" s="410">
        <f t="shared" si="120"/>
        <v>0</v>
      </c>
      <c r="L310" s="410">
        <f t="shared" si="119"/>
        <v>0</v>
      </c>
      <c r="M310" s="410">
        <f t="shared" ref="M310:N310" si="121">M308+M309</f>
        <v>0</v>
      </c>
      <c r="N310" s="410">
        <f t="shared" si="121"/>
        <v>0</v>
      </c>
    </row>
    <row r="311" spans="1:14" s="353" customFormat="1" ht="18" customHeight="1">
      <c r="A311" s="1033"/>
      <c r="B311" s="1034"/>
      <c r="C311" s="1035" t="s">
        <v>248</v>
      </c>
      <c r="D311" s="1036"/>
      <c r="E311" s="1024" t="s">
        <v>749</v>
      </c>
      <c r="F311" s="1025"/>
      <c r="G311" s="471" t="s">
        <v>0</v>
      </c>
      <c r="H311" s="410">
        <f>I311+L311</f>
        <v>0</v>
      </c>
      <c r="I311" s="410">
        <f>J311+K311</f>
        <v>0</v>
      </c>
      <c r="J311" s="410">
        <v>0</v>
      </c>
      <c r="K311" s="410">
        <v>0</v>
      </c>
      <c r="L311" s="410">
        <f>M311+N311</f>
        <v>0</v>
      </c>
      <c r="M311" s="410">
        <v>0</v>
      </c>
      <c r="N311" s="410">
        <v>0</v>
      </c>
    </row>
    <row r="312" spans="1:14" s="353" customFormat="1" ht="18" customHeight="1">
      <c r="A312" s="1033"/>
      <c r="B312" s="1030"/>
      <c r="C312" s="1033"/>
      <c r="D312" s="1030"/>
      <c r="E312" s="1026"/>
      <c r="F312" s="1027"/>
      <c r="G312" s="471" t="s">
        <v>1</v>
      </c>
      <c r="H312" s="410">
        <f t="shared" ref="H312:H313" si="122">I312+L312</f>
        <v>2328771</v>
      </c>
      <c r="I312" s="410">
        <f t="shared" ref="I312:I313" si="123">J312+K312</f>
        <v>2328771</v>
      </c>
      <c r="J312" s="410">
        <v>2328771</v>
      </c>
      <c r="K312" s="410">
        <v>0</v>
      </c>
      <c r="L312" s="410">
        <f t="shared" ref="L312:L313" si="124">M312+N312</f>
        <v>0</v>
      </c>
      <c r="M312" s="410">
        <v>0</v>
      </c>
      <c r="N312" s="410">
        <v>0</v>
      </c>
    </row>
    <row r="313" spans="1:14" s="353" customFormat="1" ht="18" customHeight="1">
      <c r="A313" s="1033"/>
      <c r="B313" s="1030"/>
      <c r="C313" s="1033"/>
      <c r="D313" s="1030"/>
      <c r="E313" s="1028"/>
      <c r="F313" s="1029"/>
      <c r="G313" s="471" t="s">
        <v>2</v>
      </c>
      <c r="H313" s="410">
        <f t="shared" si="122"/>
        <v>2328771</v>
      </c>
      <c r="I313" s="410">
        <f t="shared" si="123"/>
        <v>2328771</v>
      </c>
      <c r="J313" s="410">
        <f>J311+J312</f>
        <v>2328771</v>
      </c>
      <c r="K313" s="410">
        <f>K311+K312</f>
        <v>0</v>
      </c>
      <c r="L313" s="410">
        <f t="shared" si="124"/>
        <v>0</v>
      </c>
      <c r="M313" s="410">
        <f>M311+M312</f>
        <v>0</v>
      </c>
      <c r="N313" s="410">
        <f>N311+N312</f>
        <v>0</v>
      </c>
    </row>
    <row r="314" spans="1:14" s="353" customFormat="1" ht="15" hidden="1" customHeight="1">
      <c r="A314" s="1033"/>
      <c r="B314" s="1034"/>
      <c r="C314" s="1035" t="s">
        <v>750</v>
      </c>
      <c r="D314" s="1036"/>
      <c r="E314" s="1024" t="s">
        <v>751</v>
      </c>
      <c r="F314" s="1025"/>
      <c r="G314" s="409" t="s">
        <v>0</v>
      </c>
      <c r="H314" s="410">
        <f>I314+L314</f>
        <v>900000</v>
      </c>
      <c r="I314" s="410">
        <f>J314+K314</f>
        <v>250000</v>
      </c>
      <c r="J314" s="410">
        <v>0</v>
      </c>
      <c r="K314" s="410">
        <v>250000</v>
      </c>
      <c r="L314" s="410">
        <f>M314+N314</f>
        <v>650000</v>
      </c>
      <c r="M314" s="410">
        <v>0</v>
      </c>
      <c r="N314" s="410">
        <v>650000</v>
      </c>
    </row>
    <row r="315" spans="1:14" s="353" customFormat="1" ht="15" hidden="1" customHeight="1">
      <c r="A315" s="1033"/>
      <c r="B315" s="1030"/>
      <c r="C315" s="1033"/>
      <c r="D315" s="1030"/>
      <c r="E315" s="1026"/>
      <c r="F315" s="1027"/>
      <c r="G315" s="412" t="s">
        <v>1</v>
      </c>
      <c r="H315" s="410">
        <f t="shared" ref="H315:H316" si="125">I315+L315</f>
        <v>0</v>
      </c>
      <c r="I315" s="410">
        <f t="shared" ref="I315:I316" si="126">J315+K315</f>
        <v>0</v>
      </c>
      <c r="J315" s="410">
        <v>0</v>
      </c>
      <c r="K315" s="410">
        <v>0</v>
      </c>
      <c r="L315" s="410">
        <f t="shared" ref="L315:L316" si="127">M315+N315</f>
        <v>0</v>
      </c>
      <c r="M315" s="410">
        <v>0</v>
      </c>
      <c r="N315" s="410">
        <v>0</v>
      </c>
    </row>
    <row r="316" spans="1:14" s="353" customFormat="1" ht="15" hidden="1" customHeight="1">
      <c r="A316" s="1033"/>
      <c r="B316" s="1030"/>
      <c r="C316" s="1033"/>
      <c r="D316" s="1030"/>
      <c r="E316" s="1028"/>
      <c r="F316" s="1029"/>
      <c r="G316" s="412" t="s">
        <v>2</v>
      </c>
      <c r="H316" s="410">
        <f t="shared" si="125"/>
        <v>900000</v>
      </c>
      <c r="I316" s="410">
        <f t="shared" si="126"/>
        <v>250000</v>
      </c>
      <c r="J316" s="410">
        <f t="shared" ref="J316:K316" si="128">J314+J315</f>
        <v>0</v>
      </c>
      <c r="K316" s="410">
        <f t="shared" si="128"/>
        <v>250000</v>
      </c>
      <c r="L316" s="410">
        <f t="shared" si="127"/>
        <v>650000</v>
      </c>
      <c r="M316" s="410">
        <f t="shared" ref="M316:N316" si="129">M314+M315</f>
        <v>0</v>
      </c>
      <c r="N316" s="410">
        <f t="shared" si="129"/>
        <v>650000</v>
      </c>
    </row>
    <row r="317" spans="1:14" s="353" customFormat="1" ht="15" hidden="1" customHeight="1">
      <c r="A317" s="1033"/>
      <c r="B317" s="1034"/>
      <c r="C317" s="1033"/>
      <c r="D317" s="1034"/>
      <c r="E317" s="1024" t="s">
        <v>752</v>
      </c>
      <c r="F317" s="1025"/>
      <c r="G317" s="409" t="s">
        <v>0</v>
      </c>
      <c r="H317" s="410">
        <f>I317+L317</f>
        <v>960000</v>
      </c>
      <c r="I317" s="410">
        <f>J317+K317</f>
        <v>320000</v>
      </c>
      <c r="J317" s="410">
        <v>0</v>
      </c>
      <c r="K317" s="410">
        <v>320000</v>
      </c>
      <c r="L317" s="410">
        <f>M317+N317</f>
        <v>640000</v>
      </c>
      <c r="M317" s="410">
        <v>0</v>
      </c>
      <c r="N317" s="410">
        <v>640000</v>
      </c>
    </row>
    <row r="318" spans="1:14" s="353" customFormat="1" ht="15" hidden="1" customHeight="1">
      <c r="A318" s="1033"/>
      <c r="B318" s="1030"/>
      <c r="C318" s="1033"/>
      <c r="D318" s="1030"/>
      <c r="E318" s="1026"/>
      <c r="F318" s="1027"/>
      <c r="G318" s="412" t="s">
        <v>1</v>
      </c>
      <c r="H318" s="410">
        <f t="shared" ref="H318:H319" si="130">I318+L318</f>
        <v>0</v>
      </c>
      <c r="I318" s="410">
        <f t="shared" ref="I318:I319" si="131">J318+K318</f>
        <v>0</v>
      </c>
      <c r="J318" s="410">
        <v>0</v>
      </c>
      <c r="K318" s="410">
        <v>0</v>
      </c>
      <c r="L318" s="410">
        <f t="shared" ref="L318:L319" si="132">M318+N318</f>
        <v>0</v>
      </c>
      <c r="M318" s="410">
        <v>0</v>
      </c>
      <c r="N318" s="410">
        <v>0</v>
      </c>
    </row>
    <row r="319" spans="1:14" s="353" customFormat="1" ht="15" hidden="1" customHeight="1">
      <c r="A319" s="1033"/>
      <c r="B319" s="1030"/>
      <c r="C319" s="1039"/>
      <c r="D319" s="1032"/>
      <c r="E319" s="1028"/>
      <c r="F319" s="1029"/>
      <c r="G319" s="412" t="s">
        <v>2</v>
      </c>
      <c r="H319" s="410">
        <f t="shared" si="130"/>
        <v>960000</v>
      </c>
      <c r="I319" s="410">
        <f t="shared" si="131"/>
        <v>320000</v>
      </c>
      <c r="J319" s="410">
        <f t="shared" ref="J319:K319" si="133">J317+J318</f>
        <v>0</v>
      </c>
      <c r="K319" s="410">
        <f t="shared" si="133"/>
        <v>320000</v>
      </c>
      <c r="L319" s="410">
        <f t="shared" si="132"/>
        <v>640000</v>
      </c>
      <c r="M319" s="410">
        <f t="shared" ref="M319:N319" si="134">M317+M318</f>
        <v>0</v>
      </c>
      <c r="N319" s="410">
        <f t="shared" si="134"/>
        <v>640000</v>
      </c>
    </row>
    <row r="320" spans="1:14" s="353" customFormat="1" ht="15" hidden="1" customHeight="1">
      <c r="A320" s="1033"/>
      <c r="B320" s="1034"/>
      <c r="C320" s="1035" t="s">
        <v>753</v>
      </c>
      <c r="D320" s="1036"/>
      <c r="E320" s="1024" t="s">
        <v>754</v>
      </c>
      <c r="F320" s="1025"/>
      <c r="G320" s="409" t="s">
        <v>0</v>
      </c>
      <c r="H320" s="410">
        <f t="shared" si="76"/>
        <v>350000</v>
      </c>
      <c r="I320" s="410">
        <f t="shared" si="77"/>
        <v>0</v>
      </c>
      <c r="J320" s="410">
        <v>0</v>
      </c>
      <c r="K320" s="410">
        <v>0</v>
      </c>
      <c r="L320" s="410">
        <f t="shared" si="78"/>
        <v>350000</v>
      </c>
      <c r="M320" s="410">
        <v>0</v>
      </c>
      <c r="N320" s="410">
        <v>350000</v>
      </c>
    </row>
    <row r="321" spans="1:14" s="353" customFormat="1" ht="15" hidden="1" customHeight="1">
      <c r="A321" s="1033"/>
      <c r="B321" s="1030"/>
      <c r="C321" s="1033"/>
      <c r="D321" s="1030"/>
      <c r="E321" s="1026"/>
      <c r="F321" s="1027"/>
      <c r="G321" s="412" t="s">
        <v>1</v>
      </c>
      <c r="H321" s="410">
        <f t="shared" si="76"/>
        <v>0</v>
      </c>
      <c r="I321" s="410">
        <f t="shared" si="77"/>
        <v>0</v>
      </c>
      <c r="J321" s="410">
        <v>0</v>
      </c>
      <c r="K321" s="410">
        <v>0</v>
      </c>
      <c r="L321" s="410">
        <f t="shared" si="78"/>
        <v>0</v>
      </c>
      <c r="M321" s="410">
        <v>0</v>
      </c>
      <c r="N321" s="410">
        <v>0</v>
      </c>
    </row>
    <row r="322" spans="1:14" s="353" customFormat="1" ht="15" hidden="1" customHeight="1">
      <c r="A322" s="1033"/>
      <c r="B322" s="1030"/>
      <c r="C322" s="1039"/>
      <c r="D322" s="1032"/>
      <c r="E322" s="1028"/>
      <c r="F322" s="1029"/>
      <c r="G322" s="412" t="s">
        <v>2</v>
      </c>
      <c r="H322" s="410">
        <f t="shared" si="76"/>
        <v>350000</v>
      </c>
      <c r="I322" s="410">
        <f t="shared" si="77"/>
        <v>0</v>
      </c>
      <c r="J322" s="410">
        <f t="shared" ref="J322:K322" si="135">J320+J321</f>
        <v>0</v>
      </c>
      <c r="K322" s="410">
        <f t="shared" si="135"/>
        <v>0</v>
      </c>
      <c r="L322" s="410">
        <f t="shared" si="78"/>
        <v>350000</v>
      </c>
      <c r="M322" s="410">
        <f t="shared" ref="M322:N322" si="136">M320+M321</f>
        <v>0</v>
      </c>
      <c r="N322" s="410">
        <f t="shared" si="136"/>
        <v>350000</v>
      </c>
    </row>
    <row r="323" spans="1:14" s="353" customFormat="1" ht="15" hidden="1" customHeight="1">
      <c r="A323" s="1033"/>
      <c r="B323" s="1034"/>
      <c r="C323" s="1035" t="s">
        <v>396</v>
      </c>
      <c r="D323" s="1036"/>
      <c r="E323" s="1024" t="s">
        <v>755</v>
      </c>
      <c r="F323" s="1025"/>
      <c r="G323" s="409" t="s">
        <v>0</v>
      </c>
      <c r="H323" s="446">
        <f t="shared" si="76"/>
        <v>30000</v>
      </c>
      <c r="I323" s="446">
        <f t="shared" si="77"/>
        <v>30000</v>
      </c>
      <c r="J323" s="446">
        <v>0</v>
      </c>
      <c r="K323" s="446">
        <v>30000</v>
      </c>
      <c r="L323" s="446">
        <f t="shared" si="78"/>
        <v>0</v>
      </c>
      <c r="M323" s="446">
        <v>0</v>
      </c>
      <c r="N323" s="446">
        <v>0</v>
      </c>
    </row>
    <row r="324" spans="1:14" s="353" customFormat="1" ht="15" hidden="1" customHeight="1">
      <c r="A324" s="1033"/>
      <c r="B324" s="1030"/>
      <c r="C324" s="1033"/>
      <c r="D324" s="1030"/>
      <c r="E324" s="1026"/>
      <c r="F324" s="1027"/>
      <c r="G324" s="412" t="s">
        <v>1</v>
      </c>
      <c r="H324" s="446">
        <f t="shared" si="76"/>
        <v>0</v>
      </c>
      <c r="I324" s="446">
        <f t="shared" si="77"/>
        <v>0</v>
      </c>
      <c r="J324" s="446">
        <v>0</v>
      </c>
      <c r="K324" s="446">
        <v>0</v>
      </c>
      <c r="L324" s="446">
        <f t="shared" si="78"/>
        <v>0</v>
      </c>
      <c r="M324" s="446">
        <v>0</v>
      </c>
      <c r="N324" s="446">
        <v>0</v>
      </c>
    </row>
    <row r="325" spans="1:14" s="353" customFormat="1" ht="15" hidden="1" customHeight="1">
      <c r="A325" s="1033"/>
      <c r="B325" s="1030"/>
      <c r="C325" s="1033"/>
      <c r="D325" s="1030"/>
      <c r="E325" s="1028"/>
      <c r="F325" s="1029"/>
      <c r="G325" s="412" t="s">
        <v>2</v>
      </c>
      <c r="H325" s="410">
        <f t="shared" si="76"/>
        <v>30000</v>
      </c>
      <c r="I325" s="410">
        <f t="shared" si="77"/>
        <v>30000</v>
      </c>
      <c r="J325" s="410">
        <f t="shared" ref="J325:K325" si="137">J323+J324</f>
        <v>0</v>
      </c>
      <c r="K325" s="410">
        <f t="shared" si="137"/>
        <v>30000</v>
      </c>
      <c r="L325" s="410">
        <f t="shared" si="78"/>
        <v>0</v>
      </c>
      <c r="M325" s="410">
        <f t="shared" ref="M325:N325" si="138">M323+M324</f>
        <v>0</v>
      </c>
      <c r="N325" s="410">
        <f t="shared" si="138"/>
        <v>0</v>
      </c>
    </row>
    <row r="326" spans="1:14" s="434" customFormat="1" ht="15" hidden="1" customHeight="1">
      <c r="A326" s="1022"/>
      <c r="B326" s="1023"/>
      <c r="C326" s="1022"/>
      <c r="D326" s="1023"/>
      <c r="E326" s="1024" t="s">
        <v>756</v>
      </c>
      <c r="F326" s="1025"/>
      <c r="G326" s="409" t="s">
        <v>0</v>
      </c>
      <c r="H326" s="410">
        <f t="shared" si="76"/>
        <v>70000</v>
      </c>
      <c r="I326" s="410">
        <f t="shared" si="77"/>
        <v>0</v>
      </c>
      <c r="J326" s="410">
        <v>0</v>
      </c>
      <c r="K326" s="410">
        <v>0</v>
      </c>
      <c r="L326" s="410">
        <f t="shared" si="78"/>
        <v>70000</v>
      </c>
      <c r="M326" s="410">
        <v>0</v>
      </c>
      <c r="N326" s="410">
        <v>70000</v>
      </c>
    </row>
    <row r="327" spans="1:14" s="434" customFormat="1" ht="15" hidden="1" customHeight="1">
      <c r="A327" s="1022"/>
      <c r="B327" s="1030"/>
      <c r="C327" s="1048"/>
      <c r="D327" s="1030"/>
      <c r="E327" s="1026"/>
      <c r="F327" s="1027"/>
      <c r="G327" s="412" t="s">
        <v>1</v>
      </c>
      <c r="H327" s="410">
        <f t="shared" si="76"/>
        <v>0</v>
      </c>
      <c r="I327" s="410">
        <f t="shared" si="77"/>
        <v>0</v>
      </c>
      <c r="J327" s="410">
        <v>0</v>
      </c>
      <c r="K327" s="410">
        <v>0</v>
      </c>
      <c r="L327" s="410">
        <f t="shared" si="78"/>
        <v>0</v>
      </c>
      <c r="M327" s="410">
        <v>0</v>
      </c>
      <c r="N327" s="410">
        <v>0</v>
      </c>
    </row>
    <row r="328" spans="1:14" s="434" customFormat="1" ht="15" hidden="1" customHeight="1">
      <c r="A328" s="1022"/>
      <c r="B328" s="1030"/>
      <c r="C328" s="1022"/>
      <c r="D328" s="1030"/>
      <c r="E328" s="1028"/>
      <c r="F328" s="1029"/>
      <c r="G328" s="412" t="s">
        <v>2</v>
      </c>
      <c r="H328" s="410">
        <f t="shared" si="76"/>
        <v>70000</v>
      </c>
      <c r="I328" s="410">
        <f t="shared" si="77"/>
        <v>0</v>
      </c>
      <c r="J328" s="410">
        <f t="shared" ref="J328:K328" si="139">J326+J327</f>
        <v>0</v>
      </c>
      <c r="K328" s="410">
        <f t="shared" si="139"/>
        <v>0</v>
      </c>
      <c r="L328" s="410">
        <f t="shared" si="78"/>
        <v>70000</v>
      </c>
      <c r="M328" s="410">
        <f t="shared" ref="M328:N328" si="140">M326+M327</f>
        <v>0</v>
      </c>
      <c r="N328" s="410">
        <f t="shared" si="140"/>
        <v>70000</v>
      </c>
    </row>
    <row r="329" spans="1:14" s="434" customFormat="1" ht="15" hidden="1" customHeight="1">
      <c r="A329" s="1022"/>
      <c r="B329" s="1023"/>
      <c r="C329" s="1022"/>
      <c r="D329" s="1023"/>
      <c r="E329" s="1024" t="s">
        <v>757</v>
      </c>
      <c r="F329" s="1025"/>
      <c r="G329" s="409" t="s">
        <v>0</v>
      </c>
      <c r="H329" s="410">
        <f t="shared" si="76"/>
        <v>260000</v>
      </c>
      <c r="I329" s="410">
        <f t="shared" si="77"/>
        <v>0</v>
      </c>
      <c r="J329" s="410">
        <v>0</v>
      </c>
      <c r="K329" s="410">
        <v>0</v>
      </c>
      <c r="L329" s="410">
        <f t="shared" si="78"/>
        <v>260000</v>
      </c>
      <c r="M329" s="410">
        <v>0</v>
      </c>
      <c r="N329" s="410">
        <v>260000</v>
      </c>
    </row>
    <row r="330" spans="1:14" s="434" customFormat="1" ht="15" hidden="1" customHeight="1">
      <c r="A330" s="1022"/>
      <c r="B330" s="1030"/>
      <c r="C330" s="1022"/>
      <c r="D330" s="1030"/>
      <c r="E330" s="1026"/>
      <c r="F330" s="1027"/>
      <c r="G330" s="412" t="s">
        <v>1</v>
      </c>
      <c r="H330" s="410">
        <f t="shared" si="76"/>
        <v>0</v>
      </c>
      <c r="I330" s="410">
        <f t="shared" si="77"/>
        <v>0</v>
      </c>
      <c r="J330" s="410">
        <v>0</v>
      </c>
      <c r="K330" s="410">
        <v>0</v>
      </c>
      <c r="L330" s="410">
        <f t="shared" si="78"/>
        <v>0</v>
      </c>
      <c r="M330" s="410">
        <v>0</v>
      </c>
      <c r="N330" s="410">
        <v>0</v>
      </c>
    </row>
    <row r="331" spans="1:14" s="434" customFormat="1" ht="15" hidden="1" customHeight="1">
      <c r="A331" s="1022"/>
      <c r="B331" s="1030"/>
      <c r="C331" s="1022"/>
      <c r="D331" s="1030"/>
      <c r="E331" s="1028"/>
      <c r="F331" s="1029"/>
      <c r="G331" s="412" t="s">
        <v>2</v>
      </c>
      <c r="H331" s="410">
        <f t="shared" si="76"/>
        <v>260000</v>
      </c>
      <c r="I331" s="410">
        <f t="shared" si="77"/>
        <v>0</v>
      </c>
      <c r="J331" s="410">
        <f t="shared" ref="J331:K331" si="141">J329+J330</f>
        <v>0</v>
      </c>
      <c r="K331" s="410">
        <f t="shared" si="141"/>
        <v>0</v>
      </c>
      <c r="L331" s="410">
        <f t="shared" si="78"/>
        <v>260000</v>
      </c>
      <c r="M331" s="410">
        <f t="shared" ref="M331:N331" si="142">M329+M330</f>
        <v>0</v>
      </c>
      <c r="N331" s="410">
        <f t="shared" si="142"/>
        <v>260000</v>
      </c>
    </row>
    <row r="332" spans="1:14" s="434" customFormat="1" ht="15" hidden="1" customHeight="1">
      <c r="A332" s="1022"/>
      <c r="B332" s="1023"/>
      <c r="C332" s="1022"/>
      <c r="D332" s="1023"/>
      <c r="E332" s="1024" t="s">
        <v>758</v>
      </c>
      <c r="F332" s="1025"/>
      <c r="G332" s="409" t="s">
        <v>0</v>
      </c>
      <c r="H332" s="410">
        <f t="shared" si="76"/>
        <v>1098000</v>
      </c>
      <c r="I332" s="410">
        <f t="shared" si="77"/>
        <v>1098000</v>
      </c>
      <c r="J332" s="410">
        <v>670000</v>
      </c>
      <c r="K332" s="410">
        <v>428000</v>
      </c>
      <c r="L332" s="410">
        <f t="shared" si="78"/>
        <v>0</v>
      </c>
      <c r="M332" s="410">
        <v>0</v>
      </c>
      <c r="N332" s="410">
        <v>0</v>
      </c>
    </row>
    <row r="333" spans="1:14" s="434" customFormat="1" ht="15" hidden="1" customHeight="1">
      <c r="A333" s="1022"/>
      <c r="B333" s="1030"/>
      <c r="C333" s="1022"/>
      <c r="D333" s="1030"/>
      <c r="E333" s="1026"/>
      <c r="F333" s="1027"/>
      <c r="G333" s="412" t="s">
        <v>1</v>
      </c>
      <c r="H333" s="410">
        <f t="shared" si="76"/>
        <v>0</v>
      </c>
      <c r="I333" s="410">
        <f t="shared" si="77"/>
        <v>0</v>
      </c>
      <c r="J333" s="410">
        <v>0</v>
      </c>
      <c r="K333" s="410">
        <v>0</v>
      </c>
      <c r="L333" s="410">
        <f t="shared" si="78"/>
        <v>0</v>
      </c>
      <c r="M333" s="410">
        <v>0</v>
      </c>
      <c r="N333" s="410">
        <v>0</v>
      </c>
    </row>
    <row r="334" spans="1:14" s="434" customFormat="1" ht="15" hidden="1" customHeight="1">
      <c r="A334" s="1022"/>
      <c r="B334" s="1030"/>
      <c r="C334" s="1022"/>
      <c r="D334" s="1030"/>
      <c r="E334" s="1028"/>
      <c r="F334" s="1029"/>
      <c r="G334" s="412" t="s">
        <v>2</v>
      </c>
      <c r="H334" s="410">
        <f t="shared" si="76"/>
        <v>1098000</v>
      </c>
      <c r="I334" s="410">
        <f t="shared" si="77"/>
        <v>1098000</v>
      </c>
      <c r="J334" s="410">
        <f t="shared" ref="J334:K334" si="143">J332+J333</f>
        <v>670000</v>
      </c>
      <c r="K334" s="410">
        <f t="shared" si="143"/>
        <v>428000</v>
      </c>
      <c r="L334" s="410">
        <f t="shared" si="78"/>
        <v>0</v>
      </c>
      <c r="M334" s="410">
        <f t="shared" ref="M334:N334" si="144">M332+M333</f>
        <v>0</v>
      </c>
      <c r="N334" s="410">
        <f t="shared" si="144"/>
        <v>0</v>
      </c>
    </row>
    <row r="335" spans="1:14" s="434" customFormat="1" ht="15" hidden="1" customHeight="1">
      <c r="A335" s="1022"/>
      <c r="B335" s="1023"/>
      <c r="C335" s="1022"/>
      <c r="D335" s="1023"/>
      <c r="E335" s="1024" t="s">
        <v>759</v>
      </c>
      <c r="F335" s="1025"/>
      <c r="G335" s="409" t="s">
        <v>0</v>
      </c>
      <c r="H335" s="410">
        <f t="shared" si="76"/>
        <v>1300000</v>
      </c>
      <c r="I335" s="410">
        <f t="shared" si="77"/>
        <v>1300000</v>
      </c>
      <c r="J335" s="410">
        <v>1300000</v>
      </c>
      <c r="K335" s="410">
        <v>0</v>
      </c>
      <c r="L335" s="410">
        <f t="shared" si="78"/>
        <v>0</v>
      </c>
      <c r="M335" s="410">
        <v>0</v>
      </c>
      <c r="N335" s="410">
        <v>0</v>
      </c>
    </row>
    <row r="336" spans="1:14" s="434" customFormat="1" ht="15" hidden="1" customHeight="1">
      <c r="A336" s="1022"/>
      <c r="B336" s="1030"/>
      <c r="C336" s="1022"/>
      <c r="D336" s="1030"/>
      <c r="E336" s="1026"/>
      <c r="F336" s="1027"/>
      <c r="G336" s="412" t="s">
        <v>1</v>
      </c>
      <c r="H336" s="410">
        <f t="shared" si="76"/>
        <v>0</v>
      </c>
      <c r="I336" s="410">
        <f t="shared" si="77"/>
        <v>0</v>
      </c>
      <c r="J336" s="410">
        <v>0</v>
      </c>
      <c r="K336" s="410">
        <v>0</v>
      </c>
      <c r="L336" s="410">
        <f t="shared" si="78"/>
        <v>0</v>
      </c>
      <c r="M336" s="410">
        <v>0</v>
      </c>
      <c r="N336" s="410">
        <v>0</v>
      </c>
    </row>
    <row r="337" spans="1:14" s="434" customFormat="1" ht="15" hidden="1" customHeight="1">
      <c r="A337" s="1022"/>
      <c r="B337" s="1030"/>
      <c r="C337" s="1022"/>
      <c r="D337" s="1030"/>
      <c r="E337" s="1028"/>
      <c r="F337" s="1029"/>
      <c r="G337" s="412" t="s">
        <v>2</v>
      </c>
      <c r="H337" s="410">
        <f t="shared" si="76"/>
        <v>1300000</v>
      </c>
      <c r="I337" s="410">
        <f t="shared" si="77"/>
        <v>1300000</v>
      </c>
      <c r="J337" s="410">
        <f t="shared" ref="J337:K337" si="145">J335+J336</f>
        <v>1300000</v>
      </c>
      <c r="K337" s="410">
        <f t="shared" si="145"/>
        <v>0</v>
      </c>
      <c r="L337" s="410">
        <f t="shared" si="78"/>
        <v>0</v>
      </c>
      <c r="M337" s="410">
        <f t="shared" ref="M337:N337" si="146">M335+M336</f>
        <v>0</v>
      </c>
      <c r="N337" s="410">
        <f t="shared" si="146"/>
        <v>0</v>
      </c>
    </row>
    <row r="338" spans="1:14" s="434" customFormat="1" ht="15" hidden="1" customHeight="1">
      <c r="A338" s="1022"/>
      <c r="B338" s="1023"/>
      <c r="C338" s="1022"/>
      <c r="D338" s="1023"/>
      <c r="E338" s="1024" t="s">
        <v>760</v>
      </c>
      <c r="F338" s="1025"/>
      <c r="G338" s="409" t="s">
        <v>0</v>
      </c>
      <c r="H338" s="410">
        <f t="shared" si="76"/>
        <v>640000</v>
      </c>
      <c r="I338" s="410">
        <f t="shared" si="77"/>
        <v>640000</v>
      </c>
      <c r="J338" s="410">
        <v>640000</v>
      </c>
      <c r="K338" s="410">
        <v>0</v>
      </c>
      <c r="L338" s="410">
        <f t="shared" si="78"/>
        <v>0</v>
      </c>
      <c r="M338" s="410">
        <v>0</v>
      </c>
      <c r="N338" s="410">
        <v>0</v>
      </c>
    </row>
    <row r="339" spans="1:14" s="434" customFormat="1" ht="15" hidden="1" customHeight="1">
      <c r="A339" s="1022"/>
      <c r="B339" s="1030"/>
      <c r="C339" s="1022"/>
      <c r="D339" s="1030"/>
      <c r="E339" s="1026"/>
      <c r="F339" s="1027"/>
      <c r="G339" s="412" t="s">
        <v>1</v>
      </c>
      <c r="H339" s="410">
        <f t="shared" si="76"/>
        <v>0</v>
      </c>
      <c r="I339" s="410">
        <f t="shared" si="77"/>
        <v>0</v>
      </c>
      <c r="J339" s="410">
        <v>0</v>
      </c>
      <c r="K339" s="410">
        <v>0</v>
      </c>
      <c r="L339" s="410">
        <f t="shared" si="78"/>
        <v>0</v>
      </c>
      <c r="M339" s="410">
        <v>0</v>
      </c>
      <c r="N339" s="410">
        <v>0</v>
      </c>
    </row>
    <row r="340" spans="1:14" s="434" customFormat="1" ht="15" hidden="1" customHeight="1">
      <c r="A340" s="1022"/>
      <c r="B340" s="1030"/>
      <c r="C340" s="1031"/>
      <c r="D340" s="1032"/>
      <c r="E340" s="1028"/>
      <c r="F340" s="1029"/>
      <c r="G340" s="412" t="s">
        <v>2</v>
      </c>
      <c r="H340" s="410">
        <f t="shared" si="76"/>
        <v>640000</v>
      </c>
      <c r="I340" s="410">
        <f t="shared" si="77"/>
        <v>640000</v>
      </c>
      <c r="J340" s="410">
        <f t="shared" ref="J340:K340" si="147">J338+J339</f>
        <v>640000</v>
      </c>
      <c r="K340" s="410">
        <f t="shared" si="147"/>
        <v>0</v>
      </c>
      <c r="L340" s="410">
        <f t="shared" si="78"/>
        <v>0</v>
      </c>
      <c r="M340" s="410">
        <f t="shared" ref="M340:N340" si="148">M338+M339</f>
        <v>0</v>
      </c>
      <c r="N340" s="410">
        <f t="shared" si="148"/>
        <v>0</v>
      </c>
    </row>
    <row r="341" spans="1:14" s="353" customFormat="1" ht="15" hidden="1" customHeight="1">
      <c r="A341" s="1033"/>
      <c r="B341" s="1034"/>
      <c r="C341" s="1035" t="s">
        <v>675</v>
      </c>
      <c r="D341" s="1036"/>
      <c r="E341" s="1024" t="s">
        <v>761</v>
      </c>
      <c r="F341" s="1025"/>
      <c r="G341" s="409" t="s">
        <v>0</v>
      </c>
      <c r="H341" s="446">
        <f>I341+L341</f>
        <v>250000</v>
      </c>
      <c r="I341" s="446">
        <f>J341+K341</f>
        <v>0</v>
      </c>
      <c r="J341" s="446">
        <v>0</v>
      </c>
      <c r="K341" s="446">
        <v>0</v>
      </c>
      <c r="L341" s="446">
        <f>M341+N341</f>
        <v>250000</v>
      </c>
      <c r="M341" s="446">
        <v>0</v>
      </c>
      <c r="N341" s="446">
        <v>250000</v>
      </c>
    </row>
    <row r="342" spans="1:14" s="353" customFormat="1" ht="15" hidden="1" customHeight="1">
      <c r="A342" s="1033"/>
      <c r="B342" s="1030"/>
      <c r="C342" s="1033"/>
      <c r="D342" s="1030"/>
      <c r="E342" s="1026"/>
      <c r="F342" s="1027"/>
      <c r="G342" s="412" t="s">
        <v>1</v>
      </c>
      <c r="H342" s="446">
        <f t="shared" ref="H342:H343" si="149">I342+L342</f>
        <v>0</v>
      </c>
      <c r="I342" s="446">
        <f t="shared" ref="I342:I343" si="150">J342+K342</f>
        <v>0</v>
      </c>
      <c r="J342" s="446">
        <v>0</v>
      </c>
      <c r="K342" s="446">
        <v>0</v>
      </c>
      <c r="L342" s="446">
        <f t="shared" ref="L342:L343" si="151">M342+N342</f>
        <v>0</v>
      </c>
      <c r="M342" s="446">
        <v>0</v>
      </c>
      <c r="N342" s="446">
        <v>0</v>
      </c>
    </row>
    <row r="343" spans="1:14" s="353" customFormat="1" ht="15" hidden="1" customHeight="1">
      <c r="A343" s="1033"/>
      <c r="B343" s="1030"/>
      <c r="C343" s="1033"/>
      <c r="D343" s="1030"/>
      <c r="E343" s="1028"/>
      <c r="F343" s="1029"/>
      <c r="G343" s="412" t="s">
        <v>2</v>
      </c>
      <c r="H343" s="410">
        <f t="shared" si="149"/>
        <v>250000</v>
      </c>
      <c r="I343" s="410">
        <f t="shared" si="150"/>
        <v>0</v>
      </c>
      <c r="J343" s="410">
        <f t="shared" ref="J343:K343" si="152">J341+J342</f>
        <v>0</v>
      </c>
      <c r="K343" s="410">
        <f t="shared" si="152"/>
        <v>0</v>
      </c>
      <c r="L343" s="410">
        <f t="shared" si="151"/>
        <v>250000</v>
      </c>
      <c r="M343" s="410">
        <f t="shared" ref="M343:N343" si="153">M341+M342</f>
        <v>0</v>
      </c>
      <c r="N343" s="410">
        <f t="shared" si="153"/>
        <v>250000</v>
      </c>
    </row>
    <row r="344" spans="1:14" s="353" customFormat="1" ht="15" hidden="1" customHeight="1">
      <c r="A344" s="1033"/>
      <c r="B344" s="1034"/>
      <c r="C344" s="1033"/>
      <c r="D344" s="1034"/>
      <c r="E344" s="1024" t="s">
        <v>762</v>
      </c>
      <c r="F344" s="1025"/>
      <c r="G344" s="409" t="s">
        <v>0</v>
      </c>
      <c r="H344" s="446">
        <f>I344+L344</f>
        <v>1990001</v>
      </c>
      <c r="I344" s="446">
        <f>J344+K344</f>
        <v>0</v>
      </c>
      <c r="J344" s="446">
        <v>0</v>
      </c>
      <c r="K344" s="446">
        <v>0</v>
      </c>
      <c r="L344" s="446">
        <f>M344+N344</f>
        <v>1990001</v>
      </c>
      <c r="M344" s="446">
        <v>0</v>
      </c>
      <c r="N344" s="446">
        <v>1990001</v>
      </c>
    </row>
    <row r="345" spans="1:14" s="353" customFormat="1" ht="15" hidden="1" customHeight="1">
      <c r="A345" s="1033"/>
      <c r="B345" s="1030"/>
      <c r="C345" s="1033"/>
      <c r="D345" s="1030"/>
      <c r="E345" s="1026"/>
      <c r="F345" s="1027"/>
      <c r="G345" s="412" t="s">
        <v>1</v>
      </c>
      <c r="H345" s="446">
        <f t="shared" ref="H345:H346" si="154">I345+L345</f>
        <v>0</v>
      </c>
      <c r="I345" s="446">
        <f t="shared" ref="I345:I346" si="155">J345+K345</f>
        <v>0</v>
      </c>
      <c r="J345" s="446">
        <v>0</v>
      </c>
      <c r="K345" s="446">
        <v>0</v>
      </c>
      <c r="L345" s="446">
        <f t="shared" ref="L345:L346" si="156">M345+N345</f>
        <v>0</v>
      </c>
      <c r="M345" s="446">
        <v>0</v>
      </c>
      <c r="N345" s="446">
        <v>0</v>
      </c>
    </row>
    <row r="346" spans="1:14" s="353" customFormat="1" ht="15" hidden="1" customHeight="1">
      <c r="A346" s="1039"/>
      <c r="B346" s="1032"/>
      <c r="C346" s="1039"/>
      <c r="D346" s="1032"/>
      <c r="E346" s="1028"/>
      <c r="F346" s="1029"/>
      <c r="G346" s="412" t="s">
        <v>2</v>
      </c>
      <c r="H346" s="410">
        <f t="shared" si="154"/>
        <v>1990001</v>
      </c>
      <c r="I346" s="410">
        <f t="shared" si="155"/>
        <v>0</v>
      </c>
      <c r="J346" s="410">
        <f t="shared" ref="J346:K346" si="157">J344+J345</f>
        <v>0</v>
      </c>
      <c r="K346" s="410">
        <f t="shared" si="157"/>
        <v>0</v>
      </c>
      <c r="L346" s="410">
        <f t="shared" si="156"/>
        <v>1990001</v>
      </c>
      <c r="M346" s="410">
        <f t="shared" ref="M346:N346" si="158">M344+M345</f>
        <v>0</v>
      </c>
      <c r="N346" s="410">
        <f t="shared" si="158"/>
        <v>1990001</v>
      </c>
    </row>
    <row r="347" spans="1:14" s="434" customFormat="1" ht="15" hidden="1" customHeight="1">
      <c r="A347" s="1037" t="s">
        <v>25</v>
      </c>
      <c r="B347" s="1038"/>
      <c r="C347" s="1037" t="s">
        <v>763</v>
      </c>
      <c r="D347" s="1038"/>
      <c r="E347" s="1024" t="s">
        <v>764</v>
      </c>
      <c r="F347" s="1025"/>
      <c r="G347" s="409" t="s">
        <v>0</v>
      </c>
      <c r="H347" s="446">
        <f t="shared" si="76"/>
        <v>35000</v>
      </c>
      <c r="I347" s="446">
        <f t="shared" si="77"/>
        <v>35000</v>
      </c>
      <c r="J347" s="446">
        <v>0</v>
      </c>
      <c r="K347" s="446">
        <v>35000</v>
      </c>
      <c r="L347" s="446">
        <f t="shared" si="78"/>
        <v>0</v>
      </c>
      <c r="M347" s="446">
        <v>0</v>
      </c>
      <c r="N347" s="446">
        <v>0</v>
      </c>
    </row>
    <row r="348" spans="1:14" s="434" customFormat="1" ht="15" hidden="1" customHeight="1">
      <c r="A348" s="1022"/>
      <c r="B348" s="1030"/>
      <c r="C348" s="1022"/>
      <c r="D348" s="1030"/>
      <c r="E348" s="1026"/>
      <c r="F348" s="1027"/>
      <c r="G348" s="412" t="s">
        <v>1</v>
      </c>
      <c r="H348" s="446">
        <f t="shared" si="76"/>
        <v>0</v>
      </c>
      <c r="I348" s="446">
        <f t="shared" si="77"/>
        <v>0</v>
      </c>
      <c r="J348" s="446">
        <v>0</v>
      </c>
      <c r="K348" s="446">
        <v>0</v>
      </c>
      <c r="L348" s="446">
        <f t="shared" si="78"/>
        <v>0</v>
      </c>
      <c r="M348" s="446">
        <v>0</v>
      </c>
      <c r="N348" s="446">
        <v>0</v>
      </c>
    </row>
    <row r="349" spans="1:14" s="434" customFormat="1" ht="15" hidden="1" customHeight="1">
      <c r="A349" s="1022"/>
      <c r="B349" s="1030"/>
      <c r="C349" s="1022"/>
      <c r="D349" s="1030"/>
      <c r="E349" s="1028"/>
      <c r="F349" s="1029"/>
      <c r="G349" s="412" t="s">
        <v>2</v>
      </c>
      <c r="H349" s="410">
        <f t="shared" si="76"/>
        <v>35000</v>
      </c>
      <c r="I349" s="410">
        <f t="shared" si="77"/>
        <v>35000</v>
      </c>
      <c r="J349" s="410">
        <f t="shared" ref="J349:K349" si="159">J347+J348</f>
        <v>0</v>
      </c>
      <c r="K349" s="410">
        <f t="shared" si="159"/>
        <v>35000</v>
      </c>
      <c r="L349" s="410">
        <f t="shared" si="78"/>
        <v>0</v>
      </c>
      <c r="M349" s="410">
        <f t="shared" ref="M349:N349" si="160">M347+M348</f>
        <v>0</v>
      </c>
      <c r="N349" s="410">
        <f t="shared" si="160"/>
        <v>0</v>
      </c>
    </row>
    <row r="350" spans="1:14" s="353" customFormat="1" ht="15" hidden="1" customHeight="1">
      <c r="A350" s="1033"/>
      <c r="B350" s="1034"/>
      <c r="C350" s="1033"/>
      <c r="D350" s="1034"/>
      <c r="E350" s="1024" t="s">
        <v>765</v>
      </c>
      <c r="F350" s="1025"/>
      <c r="G350" s="409" t="s">
        <v>0</v>
      </c>
      <c r="H350" s="410">
        <f t="shared" si="76"/>
        <v>40000</v>
      </c>
      <c r="I350" s="410">
        <f t="shared" si="77"/>
        <v>0</v>
      </c>
      <c r="J350" s="410">
        <v>0</v>
      </c>
      <c r="K350" s="410">
        <v>0</v>
      </c>
      <c r="L350" s="410">
        <f t="shared" si="78"/>
        <v>40000</v>
      </c>
      <c r="M350" s="410">
        <v>0</v>
      </c>
      <c r="N350" s="410">
        <v>40000</v>
      </c>
    </row>
    <row r="351" spans="1:14" s="353" customFormat="1" ht="15" hidden="1" customHeight="1">
      <c r="A351" s="1033"/>
      <c r="B351" s="1030"/>
      <c r="C351" s="1033"/>
      <c r="D351" s="1030"/>
      <c r="E351" s="1026"/>
      <c r="F351" s="1027"/>
      <c r="G351" s="412" t="s">
        <v>1</v>
      </c>
      <c r="H351" s="410">
        <f t="shared" si="76"/>
        <v>0</v>
      </c>
      <c r="I351" s="410">
        <f t="shared" si="77"/>
        <v>0</v>
      </c>
      <c r="J351" s="410">
        <v>0</v>
      </c>
      <c r="K351" s="410">
        <v>0</v>
      </c>
      <c r="L351" s="410">
        <f t="shared" si="78"/>
        <v>0</v>
      </c>
      <c r="M351" s="410">
        <v>0</v>
      </c>
      <c r="N351" s="410">
        <v>0</v>
      </c>
    </row>
    <row r="352" spans="1:14" s="353" customFormat="1" ht="15" hidden="1" customHeight="1">
      <c r="A352" s="1039"/>
      <c r="B352" s="1032"/>
      <c r="C352" s="1039"/>
      <c r="D352" s="1032"/>
      <c r="E352" s="1028"/>
      <c r="F352" s="1029"/>
      <c r="G352" s="412" t="s">
        <v>2</v>
      </c>
      <c r="H352" s="410">
        <f t="shared" si="76"/>
        <v>40000</v>
      </c>
      <c r="I352" s="410">
        <f t="shared" si="77"/>
        <v>0</v>
      </c>
      <c r="J352" s="410">
        <f t="shared" ref="J352:K352" si="161">J350+J351</f>
        <v>0</v>
      </c>
      <c r="K352" s="410">
        <f t="shared" si="161"/>
        <v>0</v>
      </c>
      <c r="L352" s="410">
        <f t="shared" si="78"/>
        <v>40000</v>
      </c>
      <c r="M352" s="410">
        <f t="shared" ref="M352:N352" si="162">M350+M351</f>
        <v>0</v>
      </c>
      <c r="N352" s="410">
        <f t="shared" si="162"/>
        <v>40000</v>
      </c>
    </row>
    <row r="353" spans="1:14" s="353" customFormat="1" ht="15" hidden="1" customHeight="1">
      <c r="A353" s="1035" t="s">
        <v>64</v>
      </c>
      <c r="B353" s="1036"/>
      <c r="C353" s="1035" t="s">
        <v>766</v>
      </c>
      <c r="D353" s="1036"/>
      <c r="E353" s="1024" t="s">
        <v>767</v>
      </c>
      <c r="F353" s="1025"/>
      <c r="G353" s="409" t="s">
        <v>0</v>
      </c>
      <c r="H353" s="410">
        <f t="shared" si="76"/>
        <v>450000</v>
      </c>
      <c r="I353" s="410">
        <f t="shared" si="77"/>
        <v>277334</v>
      </c>
      <c r="J353" s="410">
        <v>0</v>
      </c>
      <c r="K353" s="410">
        <v>277334</v>
      </c>
      <c r="L353" s="410">
        <f t="shared" si="78"/>
        <v>172666</v>
      </c>
      <c r="M353" s="410">
        <v>0</v>
      </c>
      <c r="N353" s="410">
        <v>172666</v>
      </c>
    </row>
    <row r="354" spans="1:14" s="353" customFormat="1" ht="15" hidden="1" customHeight="1">
      <c r="A354" s="1033"/>
      <c r="B354" s="1030"/>
      <c r="C354" s="1033"/>
      <c r="D354" s="1030"/>
      <c r="E354" s="1026"/>
      <c r="F354" s="1027"/>
      <c r="G354" s="412" t="s">
        <v>1</v>
      </c>
      <c r="H354" s="410">
        <f t="shared" si="76"/>
        <v>0</v>
      </c>
      <c r="I354" s="410">
        <f t="shared" si="77"/>
        <v>0</v>
      </c>
      <c r="J354" s="410">
        <v>0</v>
      </c>
      <c r="K354" s="410">
        <v>0</v>
      </c>
      <c r="L354" s="410">
        <f t="shared" si="78"/>
        <v>0</v>
      </c>
      <c r="M354" s="410">
        <v>0</v>
      </c>
      <c r="N354" s="410">
        <v>0</v>
      </c>
    </row>
    <row r="355" spans="1:14" s="353" customFormat="1" ht="15" hidden="1" customHeight="1">
      <c r="A355" s="1033"/>
      <c r="B355" s="1030"/>
      <c r="C355" s="1039"/>
      <c r="D355" s="1032"/>
      <c r="E355" s="1028"/>
      <c r="F355" s="1029"/>
      <c r="G355" s="412" t="s">
        <v>2</v>
      </c>
      <c r="H355" s="410">
        <f t="shared" si="76"/>
        <v>450000</v>
      </c>
      <c r="I355" s="410">
        <f t="shared" si="77"/>
        <v>277334</v>
      </c>
      <c r="J355" s="410">
        <f t="shared" ref="J355:K355" si="163">J353+J354</f>
        <v>0</v>
      </c>
      <c r="K355" s="410">
        <f t="shared" si="163"/>
        <v>277334</v>
      </c>
      <c r="L355" s="410">
        <f t="shared" si="78"/>
        <v>172666</v>
      </c>
      <c r="M355" s="410">
        <f t="shared" ref="M355:N355" si="164">M353+M354</f>
        <v>0</v>
      </c>
      <c r="N355" s="410">
        <f t="shared" si="164"/>
        <v>172666</v>
      </c>
    </row>
    <row r="356" spans="1:14" s="434" customFormat="1" ht="15" hidden="1" customHeight="1">
      <c r="A356" s="1022"/>
      <c r="B356" s="1023"/>
      <c r="C356" s="1037" t="s">
        <v>715</v>
      </c>
      <c r="D356" s="1038"/>
      <c r="E356" s="1024" t="s">
        <v>768</v>
      </c>
      <c r="F356" s="1025"/>
      <c r="G356" s="409" t="s">
        <v>0</v>
      </c>
      <c r="H356" s="410">
        <f t="shared" si="76"/>
        <v>150000</v>
      </c>
      <c r="I356" s="410">
        <f t="shared" si="77"/>
        <v>0</v>
      </c>
      <c r="J356" s="410">
        <v>0</v>
      </c>
      <c r="K356" s="410">
        <v>0</v>
      </c>
      <c r="L356" s="410">
        <f t="shared" si="78"/>
        <v>150000</v>
      </c>
      <c r="M356" s="410">
        <v>0</v>
      </c>
      <c r="N356" s="410">
        <v>150000</v>
      </c>
    </row>
    <row r="357" spans="1:14" s="434" customFormat="1" ht="15" hidden="1" customHeight="1">
      <c r="A357" s="1022"/>
      <c r="B357" s="1030"/>
      <c r="C357" s="1022"/>
      <c r="D357" s="1030"/>
      <c r="E357" s="1026"/>
      <c r="F357" s="1027"/>
      <c r="G357" s="412" t="s">
        <v>1</v>
      </c>
      <c r="H357" s="410">
        <f t="shared" si="76"/>
        <v>0</v>
      </c>
      <c r="I357" s="410">
        <f t="shared" si="77"/>
        <v>0</v>
      </c>
      <c r="J357" s="410">
        <v>0</v>
      </c>
      <c r="K357" s="410">
        <v>0</v>
      </c>
      <c r="L357" s="410">
        <f t="shared" si="78"/>
        <v>0</v>
      </c>
      <c r="M357" s="410">
        <v>0</v>
      </c>
      <c r="N357" s="410">
        <v>0</v>
      </c>
    </row>
    <row r="358" spans="1:14" s="434" customFormat="1" ht="15" hidden="1" customHeight="1">
      <c r="A358" s="1031"/>
      <c r="B358" s="1032"/>
      <c r="C358" s="1031"/>
      <c r="D358" s="1032"/>
      <c r="E358" s="1028"/>
      <c r="F358" s="1029"/>
      <c r="G358" s="412" t="s">
        <v>2</v>
      </c>
      <c r="H358" s="410">
        <f t="shared" si="76"/>
        <v>150000</v>
      </c>
      <c r="I358" s="410">
        <f t="shared" si="77"/>
        <v>0</v>
      </c>
      <c r="J358" s="410">
        <f t="shared" ref="J358:K358" si="165">J356+J357</f>
        <v>0</v>
      </c>
      <c r="K358" s="410">
        <f t="shared" si="165"/>
        <v>0</v>
      </c>
      <c r="L358" s="410">
        <f t="shared" si="78"/>
        <v>150000</v>
      </c>
      <c r="M358" s="410">
        <f t="shared" ref="M358:N358" si="166">M356+M357</f>
        <v>0</v>
      </c>
      <c r="N358" s="410">
        <f t="shared" si="166"/>
        <v>150000</v>
      </c>
    </row>
    <row r="359" spans="1:14" s="353" customFormat="1" ht="15" hidden="1" customHeight="1">
      <c r="A359" s="1035" t="s">
        <v>26</v>
      </c>
      <c r="B359" s="1036"/>
      <c r="C359" s="1035" t="s">
        <v>769</v>
      </c>
      <c r="D359" s="1036"/>
      <c r="E359" s="1024" t="s">
        <v>770</v>
      </c>
      <c r="F359" s="1025"/>
      <c r="G359" s="409" t="s">
        <v>0</v>
      </c>
      <c r="H359" s="410">
        <f t="shared" si="76"/>
        <v>298200</v>
      </c>
      <c r="I359" s="410">
        <f t="shared" si="77"/>
        <v>298200</v>
      </c>
      <c r="J359" s="410">
        <v>0</v>
      </c>
      <c r="K359" s="410">
        <v>298200</v>
      </c>
      <c r="L359" s="410">
        <f t="shared" si="78"/>
        <v>0</v>
      </c>
      <c r="M359" s="410">
        <v>0</v>
      </c>
      <c r="N359" s="410">
        <v>0</v>
      </c>
    </row>
    <row r="360" spans="1:14" s="353" customFormat="1" ht="15" hidden="1" customHeight="1">
      <c r="A360" s="1033"/>
      <c r="B360" s="1030"/>
      <c r="C360" s="1033"/>
      <c r="D360" s="1030"/>
      <c r="E360" s="1026"/>
      <c r="F360" s="1027"/>
      <c r="G360" s="412" t="s">
        <v>1</v>
      </c>
      <c r="H360" s="410">
        <f t="shared" si="76"/>
        <v>0</v>
      </c>
      <c r="I360" s="410">
        <f t="shared" si="77"/>
        <v>0</v>
      </c>
      <c r="J360" s="410">
        <v>0</v>
      </c>
      <c r="K360" s="410">
        <v>0</v>
      </c>
      <c r="L360" s="410">
        <f t="shared" si="78"/>
        <v>0</v>
      </c>
      <c r="M360" s="410">
        <v>0</v>
      </c>
      <c r="N360" s="410">
        <v>0</v>
      </c>
    </row>
    <row r="361" spans="1:14" s="353" customFormat="1" ht="15" hidden="1" customHeight="1">
      <c r="A361" s="1039"/>
      <c r="B361" s="1032"/>
      <c r="C361" s="1039"/>
      <c r="D361" s="1032"/>
      <c r="E361" s="1028"/>
      <c r="F361" s="1029"/>
      <c r="G361" s="412" t="s">
        <v>2</v>
      </c>
      <c r="H361" s="410">
        <f t="shared" si="76"/>
        <v>298200</v>
      </c>
      <c r="I361" s="410">
        <f t="shared" si="77"/>
        <v>298200</v>
      </c>
      <c r="J361" s="410">
        <f t="shared" ref="J361:K361" si="167">J359+J360</f>
        <v>0</v>
      </c>
      <c r="K361" s="410">
        <f t="shared" si="167"/>
        <v>298200</v>
      </c>
      <c r="L361" s="410">
        <f t="shared" si="78"/>
        <v>0</v>
      </c>
      <c r="M361" s="410">
        <f t="shared" ref="M361:N361" si="168">M359+M360</f>
        <v>0</v>
      </c>
      <c r="N361" s="410">
        <f t="shared" si="168"/>
        <v>0</v>
      </c>
    </row>
    <row r="362" spans="1:14" s="353" customFormat="1" ht="14.1" customHeight="1">
      <c r="A362" s="1035" t="s">
        <v>26</v>
      </c>
      <c r="B362" s="1036"/>
      <c r="C362" s="1035" t="s">
        <v>771</v>
      </c>
      <c r="D362" s="1036"/>
      <c r="E362" s="1024" t="s">
        <v>772</v>
      </c>
      <c r="F362" s="1025"/>
      <c r="G362" s="409" t="s">
        <v>0</v>
      </c>
      <c r="H362" s="410">
        <f t="shared" si="76"/>
        <v>0</v>
      </c>
      <c r="I362" s="410">
        <f t="shared" si="77"/>
        <v>0</v>
      </c>
      <c r="J362" s="410">
        <v>0</v>
      </c>
      <c r="K362" s="410">
        <v>0</v>
      </c>
      <c r="L362" s="410">
        <f t="shared" si="78"/>
        <v>0</v>
      </c>
      <c r="M362" s="410">
        <v>0</v>
      </c>
      <c r="N362" s="410">
        <v>0</v>
      </c>
    </row>
    <row r="363" spans="1:14" s="353" customFormat="1" ht="14.1" customHeight="1">
      <c r="A363" s="1033"/>
      <c r="B363" s="1030"/>
      <c r="C363" s="1033"/>
      <c r="D363" s="1030"/>
      <c r="E363" s="1026"/>
      <c r="F363" s="1027"/>
      <c r="G363" s="412" t="s">
        <v>1</v>
      </c>
      <c r="H363" s="410">
        <f t="shared" si="76"/>
        <v>275000</v>
      </c>
      <c r="I363" s="410">
        <f t="shared" si="77"/>
        <v>0</v>
      </c>
      <c r="J363" s="410">
        <v>0</v>
      </c>
      <c r="K363" s="410">
        <v>0</v>
      </c>
      <c r="L363" s="410">
        <f t="shared" si="78"/>
        <v>275000</v>
      </c>
      <c r="M363" s="410">
        <v>0</v>
      </c>
      <c r="N363" s="410">
        <v>275000</v>
      </c>
    </row>
    <row r="364" spans="1:14" s="353" customFormat="1" ht="14.1" customHeight="1">
      <c r="A364" s="1039"/>
      <c r="B364" s="1032"/>
      <c r="C364" s="1039"/>
      <c r="D364" s="1032"/>
      <c r="E364" s="1028"/>
      <c r="F364" s="1029"/>
      <c r="G364" s="412" t="s">
        <v>2</v>
      </c>
      <c r="H364" s="410">
        <f t="shared" si="76"/>
        <v>275000</v>
      </c>
      <c r="I364" s="410">
        <f t="shared" si="77"/>
        <v>0</v>
      </c>
      <c r="J364" s="410">
        <f t="shared" ref="J364:K364" si="169">J362+J363</f>
        <v>0</v>
      </c>
      <c r="K364" s="410">
        <f t="shared" si="169"/>
        <v>0</v>
      </c>
      <c r="L364" s="410">
        <f t="shared" si="78"/>
        <v>275000</v>
      </c>
      <c r="M364" s="410">
        <f t="shared" ref="M364:N364" si="170">M362+M363</f>
        <v>0</v>
      </c>
      <c r="N364" s="410">
        <f t="shared" si="170"/>
        <v>275000</v>
      </c>
    </row>
    <row r="365" spans="1:14" s="353" customFormat="1" ht="15" hidden="1" customHeight="1">
      <c r="A365" s="1035" t="s">
        <v>84</v>
      </c>
      <c r="B365" s="1036"/>
      <c r="C365" s="1035" t="s">
        <v>773</v>
      </c>
      <c r="D365" s="1036"/>
      <c r="E365" s="1024" t="s">
        <v>774</v>
      </c>
      <c r="F365" s="1025"/>
      <c r="G365" s="409" t="s">
        <v>0</v>
      </c>
      <c r="H365" s="410">
        <f t="shared" si="76"/>
        <v>375839.4</v>
      </c>
      <c r="I365" s="410">
        <f t="shared" si="77"/>
        <v>0</v>
      </c>
      <c r="J365" s="410">
        <v>0</v>
      </c>
      <c r="K365" s="410">
        <v>0</v>
      </c>
      <c r="L365" s="410">
        <f t="shared" si="78"/>
        <v>375839.4</v>
      </c>
      <c r="M365" s="410">
        <v>0</v>
      </c>
      <c r="N365" s="410">
        <v>375839.4</v>
      </c>
    </row>
    <row r="366" spans="1:14" s="353" customFormat="1" ht="15" hidden="1" customHeight="1">
      <c r="A366" s="1033"/>
      <c r="B366" s="1030"/>
      <c r="C366" s="1033"/>
      <c r="D366" s="1030"/>
      <c r="E366" s="1026"/>
      <c r="F366" s="1027"/>
      <c r="G366" s="412" t="s">
        <v>1</v>
      </c>
      <c r="H366" s="410">
        <f t="shared" si="76"/>
        <v>0</v>
      </c>
      <c r="I366" s="410">
        <f t="shared" si="77"/>
        <v>0</v>
      </c>
      <c r="J366" s="410">
        <v>0</v>
      </c>
      <c r="K366" s="410">
        <v>0</v>
      </c>
      <c r="L366" s="410">
        <f t="shared" si="78"/>
        <v>0</v>
      </c>
      <c r="M366" s="410">
        <v>0</v>
      </c>
      <c r="N366" s="410">
        <v>0</v>
      </c>
    </row>
    <row r="367" spans="1:14" s="353" customFormat="1" ht="15" hidden="1" customHeight="1">
      <c r="A367" s="1033"/>
      <c r="B367" s="1030"/>
      <c r="C367" s="1039"/>
      <c r="D367" s="1032"/>
      <c r="E367" s="1028"/>
      <c r="F367" s="1029"/>
      <c r="G367" s="412" t="s">
        <v>2</v>
      </c>
      <c r="H367" s="410">
        <f t="shared" si="76"/>
        <v>375839.4</v>
      </c>
      <c r="I367" s="410">
        <f t="shared" si="77"/>
        <v>0</v>
      </c>
      <c r="J367" s="410">
        <f t="shared" ref="J367:K367" si="171">J365+J366</f>
        <v>0</v>
      </c>
      <c r="K367" s="410">
        <f t="shared" si="171"/>
        <v>0</v>
      </c>
      <c r="L367" s="410">
        <f t="shared" si="78"/>
        <v>375839.4</v>
      </c>
      <c r="M367" s="410">
        <f t="shared" ref="M367:N367" si="172">M365+M366</f>
        <v>0</v>
      </c>
      <c r="N367" s="410">
        <f t="shared" si="172"/>
        <v>375839.4</v>
      </c>
    </row>
    <row r="368" spans="1:14" s="353" customFormat="1" ht="15" hidden="1" customHeight="1">
      <c r="A368" s="1033"/>
      <c r="B368" s="1034"/>
      <c r="C368" s="1035" t="s">
        <v>719</v>
      </c>
      <c r="D368" s="1036"/>
      <c r="E368" s="1024" t="s">
        <v>775</v>
      </c>
      <c r="F368" s="1025"/>
      <c r="G368" s="409" t="s">
        <v>0</v>
      </c>
      <c r="H368" s="410">
        <f t="shared" si="76"/>
        <v>200000</v>
      </c>
      <c r="I368" s="410">
        <f t="shared" si="77"/>
        <v>0</v>
      </c>
      <c r="J368" s="410">
        <v>0</v>
      </c>
      <c r="K368" s="410">
        <v>0</v>
      </c>
      <c r="L368" s="410">
        <f t="shared" si="78"/>
        <v>200000</v>
      </c>
      <c r="M368" s="410">
        <v>0</v>
      </c>
      <c r="N368" s="410">
        <v>200000</v>
      </c>
    </row>
    <row r="369" spans="1:14" s="353" customFormat="1" ht="15" hidden="1" customHeight="1">
      <c r="A369" s="1033"/>
      <c r="B369" s="1030"/>
      <c r="C369" s="1033"/>
      <c r="D369" s="1030"/>
      <c r="E369" s="1026"/>
      <c r="F369" s="1027"/>
      <c r="G369" s="412" t="s">
        <v>1</v>
      </c>
      <c r="H369" s="410">
        <f t="shared" si="76"/>
        <v>0</v>
      </c>
      <c r="I369" s="410">
        <f t="shared" si="77"/>
        <v>0</v>
      </c>
      <c r="J369" s="410">
        <v>0</v>
      </c>
      <c r="K369" s="410">
        <v>0</v>
      </c>
      <c r="L369" s="410">
        <f t="shared" si="78"/>
        <v>0</v>
      </c>
      <c r="M369" s="410">
        <v>0</v>
      </c>
      <c r="N369" s="410">
        <v>0</v>
      </c>
    </row>
    <row r="370" spans="1:14" s="353" customFormat="1" ht="15" hidden="1" customHeight="1">
      <c r="A370" s="1033"/>
      <c r="B370" s="1030"/>
      <c r="C370" s="1033"/>
      <c r="D370" s="1030"/>
      <c r="E370" s="1028"/>
      <c r="F370" s="1029"/>
      <c r="G370" s="412" t="s">
        <v>2</v>
      </c>
      <c r="H370" s="410">
        <f t="shared" si="76"/>
        <v>200000</v>
      </c>
      <c r="I370" s="410">
        <f t="shared" si="77"/>
        <v>0</v>
      </c>
      <c r="J370" s="410">
        <f t="shared" ref="J370:K370" si="173">J368+J369</f>
        <v>0</v>
      </c>
      <c r="K370" s="410">
        <f t="shared" si="173"/>
        <v>0</v>
      </c>
      <c r="L370" s="410">
        <f t="shared" si="78"/>
        <v>200000</v>
      </c>
      <c r="M370" s="410">
        <f t="shared" ref="M370:N370" si="174">M368+M369</f>
        <v>0</v>
      </c>
      <c r="N370" s="410">
        <f t="shared" si="174"/>
        <v>200000</v>
      </c>
    </row>
    <row r="371" spans="1:14" s="353" customFormat="1" ht="15" hidden="1" customHeight="1">
      <c r="A371" s="1033"/>
      <c r="B371" s="1034"/>
      <c r="C371" s="1033"/>
      <c r="D371" s="1034"/>
      <c r="E371" s="1024" t="s">
        <v>776</v>
      </c>
      <c r="F371" s="1025"/>
      <c r="G371" s="409" t="s">
        <v>0</v>
      </c>
      <c r="H371" s="410">
        <f t="shared" si="76"/>
        <v>300000</v>
      </c>
      <c r="I371" s="410">
        <f t="shared" si="77"/>
        <v>0</v>
      </c>
      <c r="J371" s="410">
        <v>0</v>
      </c>
      <c r="K371" s="410">
        <v>0</v>
      </c>
      <c r="L371" s="410">
        <f t="shared" si="78"/>
        <v>300000</v>
      </c>
      <c r="M371" s="410">
        <v>0</v>
      </c>
      <c r="N371" s="410">
        <v>300000</v>
      </c>
    </row>
    <row r="372" spans="1:14" s="353" customFormat="1" ht="15" hidden="1" customHeight="1">
      <c r="A372" s="1033"/>
      <c r="B372" s="1030"/>
      <c r="C372" s="1033"/>
      <c r="D372" s="1030"/>
      <c r="E372" s="1026"/>
      <c r="F372" s="1027"/>
      <c r="G372" s="412" t="s">
        <v>1</v>
      </c>
      <c r="H372" s="410">
        <f t="shared" si="76"/>
        <v>0</v>
      </c>
      <c r="I372" s="410">
        <f t="shared" si="77"/>
        <v>0</v>
      </c>
      <c r="J372" s="410">
        <v>0</v>
      </c>
      <c r="K372" s="410">
        <v>0</v>
      </c>
      <c r="L372" s="410">
        <f t="shared" si="78"/>
        <v>0</v>
      </c>
      <c r="M372" s="410">
        <v>0</v>
      </c>
      <c r="N372" s="410">
        <v>0</v>
      </c>
    </row>
    <row r="373" spans="1:14" s="353" customFormat="1" ht="15" hidden="1" customHeight="1">
      <c r="A373" s="1033"/>
      <c r="B373" s="1030"/>
      <c r="C373" s="1033"/>
      <c r="D373" s="1030"/>
      <c r="E373" s="1028"/>
      <c r="F373" s="1029"/>
      <c r="G373" s="412" t="s">
        <v>2</v>
      </c>
      <c r="H373" s="410">
        <f t="shared" si="76"/>
        <v>300000</v>
      </c>
      <c r="I373" s="410">
        <f t="shared" si="77"/>
        <v>0</v>
      </c>
      <c r="J373" s="410">
        <f t="shared" ref="J373:K373" si="175">J371+J372</f>
        <v>0</v>
      </c>
      <c r="K373" s="410">
        <f t="shared" si="175"/>
        <v>0</v>
      </c>
      <c r="L373" s="410">
        <f t="shared" si="78"/>
        <v>300000</v>
      </c>
      <c r="M373" s="410">
        <f t="shared" ref="M373:N373" si="176">M371+M372</f>
        <v>0</v>
      </c>
      <c r="N373" s="410">
        <f t="shared" si="176"/>
        <v>300000</v>
      </c>
    </row>
    <row r="374" spans="1:14" s="353" customFormat="1" ht="15" hidden="1" customHeight="1">
      <c r="A374" s="1033"/>
      <c r="B374" s="1034"/>
      <c r="C374" s="1033"/>
      <c r="D374" s="1034"/>
      <c r="E374" s="1024" t="s">
        <v>777</v>
      </c>
      <c r="F374" s="1025"/>
      <c r="G374" s="409" t="s">
        <v>0</v>
      </c>
      <c r="H374" s="410">
        <f t="shared" si="76"/>
        <v>200000</v>
      </c>
      <c r="I374" s="410">
        <f t="shared" si="77"/>
        <v>0</v>
      </c>
      <c r="J374" s="410">
        <v>0</v>
      </c>
      <c r="K374" s="410">
        <v>0</v>
      </c>
      <c r="L374" s="410">
        <f t="shared" si="78"/>
        <v>200000</v>
      </c>
      <c r="M374" s="410">
        <v>0</v>
      </c>
      <c r="N374" s="410">
        <v>200000</v>
      </c>
    </row>
    <row r="375" spans="1:14" s="353" customFormat="1" ht="15" hidden="1" customHeight="1">
      <c r="A375" s="1033"/>
      <c r="B375" s="1030"/>
      <c r="C375" s="1033"/>
      <c r="D375" s="1030"/>
      <c r="E375" s="1026"/>
      <c r="F375" s="1027"/>
      <c r="G375" s="412" t="s">
        <v>1</v>
      </c>
      <c r="H375" s="410">
        <f t="shared" si="76"/>
        <v>0</v>
      </c>
      <c r="I375" s="410">
        <f t="shared" si="77"/>
        <v>0</v>
      </c>
      <c r="J375" s="410">
        <v>0</v>
      </c>
      <c r="K375" s="410">
        <v>0</v>
      </c>
      <c r="L375" s="410">
        <f t="shared" si="78"/>
        <v>0</v>
      </c>
      <c r="M375" s="410">
        <v>0</v>
      </c>
      <c r="N375" s="410">
        <v>0</v>
      </c>
    </row>
    <row r="376" spans="1:14" s="353" customFormat="1" ht="15" hidden="1" customHeight="1">
      <c r="A376" s="1033"/>
      <c r="B376" s="1030"/>
      <c r="C376" s="1033"/>
      <c r="D376" s="1030"/>
      <c r="E376" s="1028"/>
      <c r="F376" s="1029"/>
      <c r="G376" s="412" t="s">
        <v>2</v>
      </c>
      <c r="H376" s="410">
        <f t="shared" si="76"/>
        <v>200000</v>
      </c>
      <c r="I376" s="410">
        <f t="shared" si="77"/>
        <v>0</v>
      </c>
      <c r="J376" s="410">
        <f t="shared" ref="J376:K376" si="177">J374+J375</f>
        <v>0</v>
      </c>
      <c r="K376" s="410">
        <f t="shared" si="177"/>
        <v>0</v>
      </c>
      <c r="L376" s="410">
        <f t="shared" si="78"/>
        <v>200000</v>
      </c>
      <c r="M376" s="410">
        <f t="shared" ref="M376:N376" si="178">M374+M375</f>
        <v>0</v>
      </c>
      <c r="N376" s="410">
        <f t="shared" si="178"/>
        <v>200000</v>
      </c>
    </row>
    <row r="377" spans="1:14" s="434" customFormat="1" ht="15" hidden="1" customHeight="1">
      <c r="A377" s="1022"/>
      <c r="B377" s="1023"/>
      <c r="C377" s="1022"/>
      <c r="D377" s="1023"/>
      <c r="E377" s="1024" t="s">
        <v>778</v>
      </c>
      <c r="F377" s="1025"/>
      <c r="G377" s="409" t="s">
        <v>0</v>
      </c>
      <c r="H377" s="446">
        <f t="shared" si="76"/>
        <v>300000</v>
      </c>
      <c r="I377" s="446">
        <f t="shared" si="77"/>
        <v>0</v>
      </c>
      <c r="J377" s="446">
        <v>0</v>
      </c>
      <c r="K377" s="446">
        <v>0</v>
      </c>
      <c r="L377" s="446">
        <f t="shared" si="78"/>
        <v>300000</v>
      </c>
      <c r="M377" s="446">
        <v>0</v>
      </c>
      <c r="N377" s="446">
        <v>300000</v>
      </c>
    </row>
    <row r="378" spans="1:14" s="434" customFormat="1" ht="15" hidden="1" customHeight="1">
      <c r="A378" s="1022"/>
      <c r="B378" s="1030"/>
      <c r="C378" s="1022"/>
      <c r="D378" s="1030"/>
      <c r="E378" s="1026"/>
      <c r="F378" s="1027"/>
      <c r="G378" s="412" t="s">
        <v>1</v>
      </c>
      <c r="H378" s="446">
        <f t="shared" si="76"/>
        <v>0</v>
      </c>
      <c r="I378" s="446">
        <f t="shared" si="77"/>
        <v>0</v>
      </c>
      <c r="J378" s="446">
        <v>0</v>
      </c>
      <c r="K378" s="446">
        <v>0</v>
      </c>
      <c r="L378" s="446">
        <f t="shared" si="78"/>
        <v>0</v>
      </c>
      <c r="M378" s="446">
        <v>0</v>
      </c>
      <c r="N378" s="446">
        <v>0</v>
      </c>
    </row>
    <row r="379" spans="1:14" s="434" customFormat="1" ht="15" hidden="1" customHeight="1">
      <c r="A379" s="1022"/>
      <c r="B379" s="1030"/>
      <c r="C379" s="1022"/>
      <c r="D379" s="1030"/>
      <c r="E379" s="1028"/>
      <c r="F379" s="1029"/>
      <c r="G379" s="412" t="s">
        <v>2</v>
      </c>
      <c r="H379" s="410">
        <f t="shared" si="76"/>
        <v>300000</v>
      </c>
      <c r="I379" s="410">
        <f t="shared" si="77"/>
        <v>0</v>
      </c>
      <c r="J379" s="410">
        <f t="shared" ref="J379:K379" si="179">J377+J378</f>
        <v>0</v>
      </c>
      <c r="K379" s="410">
        <f t="shared" si="179"/>
        <v>0</v>
      </c>
      <c r="L379" s="410">
        <f t="shared" si="78"/>
        <v>300000</v>
      </c>
      <c r="M379" s="410">
        <f t="shared" ref="M379:N379" si="180">M377+M378</f>
        <v>0</v>
      </c>
      <c r="N379" s="410">
        <f t="shared" si="180"/>
        <v>300000</v>
      </c>
    </row>
    <row r="380" spans="1:14" s="434" customFormat="1" ht="15" hidden="1" customHeight="1">
      <c r="A380" s="1022"/>
      <c r="B380" s="1023"/>
      <c r="C380" s="1022"/>
      <c r="D380" s="1023"/>
      <c r="E380" s="1024" t="s">
        <v>779</v>
      </c>
      <c r="F380" s="1025"/>
      <c r="G380" s="409" t="s">
        <v>0</v>
      </c>
      <c r="H380" s="446">
        <f t="shared" si="76"/>
        <v>300000</v>
      </c>
      <c r="I380" s="446">
        <f t="shared" si="77"/>
        <v>0</v>
      </c>
      <c r="J380" s="446">
        <v>0</v>
      </c>
      <c r="K380" s="446">
        <v>0</v>
      </c>
      <c r="L380" s="446">
        <f t="shared" si="78"/>
        <v>300000</v>
      </c>
      <c r="M380" s="446">
        <v>0</v>
      </c>
      <c r="N380" s="446">
        <v>300000</v>
      </c>
    </row>
    <row r="381" spans="1:14" s="434" customFormat="1" ht="15" hidden="1" customHeight="1">
      <c r="A381" s="1022"/>
      <c r="B381" s="1030"/>
      <c r="C381" s="1022"/>
      <c r="D381" s="1030"/>
      <c r="E381" s="1026"/>
      <c r="F381" s="1027"/>
      <c r="G381" s="412" t="s">
        <v>1</v>
      </c>
      <c r="H381" s="446">
        <f t="shared" si="76"/>
        <v>0</v>
      </c>
      <c r="I381" s="446">
        <f t="shared" si="77"/>
        <v>0</v>
      </c>
      <c r="J381" s="446">
        <v>0</v>
      </c>
      <c r="K381" s="446">
        <v>0</v>
      </c>
      <c r="L381" s="446">
        <f t="shared" si="78"/>
        <v>0</v>
      </c>
      <c r="M381" s="446">
        <v>0</v>
      </c>
      <c r="N381" s="446">
        <v>0</v>
      </c>
    </row>
    <row r="382" spans="1:14" s="434" customFormat="1" ht="15" hidden="1" customHeight="1">
      <c r="A382" s="1031"/>
      <c r="B382" s="1032"/>
      <c r="C382" s="1031"/>
      <c r="D382" s="1032"/>
      <c r="E382" s="1028"/>
      <c r="F382" s="1029"/>
      <c r="G382" s="412" t="s">
        <v>2</v>
      </c>
      <c r="H382" s="410">
        <f t="shared" si="76"/>
        <v>300000</v>
      </c>
      <c r="I382" s="410">
        <f t="shared" si="77"/>
        <v>0</v>
      </c>
      <c r="J382" s="410">
        <f t="shared" ref="J382:K382" si="181">J380+J381</f>
        <v>0</v>
      </c>
      <c r="K382" s="410">
        <f t="shared" si="181"/>
        <v>0</v>
      </c>
      <c r="L382" s="410">
        <f t="shared" si="78"/>
        <v>300000</v>
      </c>
      <c r="M382" s="410">
        <f t="shared" ref="M382:N382" si="182">M380+M381</f>
        <v>0</v>
      </c>
      <c r="N382" s="410">
        <f t="shared" si="182"/>
        <v>300000</v>
      </c>
    </row>
    <row r="383" spans="1:14" s="434" customFormat="1" ht="13.7" customHeight="1">
      <c r="A383" s="1037" t="s">
        <v>67</v>
      </c>
      <c r="B383" s="1038"/>
      <c r="C383" s="1037" t="s">
        <v>277</v>
      </c>
      <c r="D383" s="1038"/>
      <c r="E383" s="1046" t="s">
        <v>780</v>
      </c>
      <c r="F383" s="1025"/>
      <c r="G383" s="471" t="s">
        <v>0</v>
      </c>
      <c r="H383" s="410">
        <f>I383+L383</f>
        <v>0</v>
      </c>
      <c r="I383" s="410">
        <f>J383+K383</f>
        <v>0</v>
      </c>
      <c r="J383" s="410">
        <v>0</v>
      </c>
      <c r="K383" s="410">
        <v>0</v>
      </c>
      <c r="L383" s="410">
        <f>M383+N383</f>
        <v>0</v>
      </c>
      <c r="M383" s="410">
        <v>0</v>
      </c>
      <c r="N383" s="410">
        <v>0</v>
      </c>
    </row>
    <row r="384" spans="1:14" s="434" customFormat="1" ht="13.7" customHeight="1">
      <c r="A384" s="1022"/>
      <c r="B384" s="1040"/>
      <c r="C384" s="1022"/>
      <c r="D384" s="1040"/>
      <c r="E384" s="1026"/>
      <c r="F384" s="1027"/>
      <c r="G384" s="471" t="s">
        <v>1</v>
      </c>
      <c r="H384" s="410">
        <f t="shared" ref="H384:H391" si="183">I384+L384</f>
        <v>340000</v>
      </c>
      <c r="I384" s="410">
        <f t="shared" ref="I384:I391" si="184">J384+K384</f>
        <v>340000</v>
      </c>
      <c r="J384" s="410">
        <v>0</v>
      </c>
      <c r="K384" s="410">
        <v>340000</v>
      </c>
      <c r="L384" s="410">
        <f t="shared" ref="L384:L391" si="185">M384+N384</f>
        <v>0</v>
      </c>
      <c r="M384" s="410">
        <v>0</v>
      </c>
      <c r="N384" s="410">
        <v>0</v>
      </c>
    </row>
    <row r="385" spans="1:14" s="434" customFormat="1" ht="13.7" customHeight="1">
      <c r="A385" s="1022"/>
      <c r="B385" s="1040"/>
      <c r="C385" s="1022"/>
      <c r="D385" s="1040"/>
      <c r="E385" s="1028"/>
      <c r="F385" s="1029"/>
      <c r="G385" s="471" t="s">
        <v>2</v>
      </c>
      <c r="H385" s="410">
        <f t="shared" si="183"/>
        <v>340000</v>
      </c>
      <c r="I385" s="410">
        <f t="shared" si="184"/>
        <v>340000</v>
      </c>
      <c r="J385" s="410">
        <f>J383+J384</f>
        <v>0</v>
      </c>
      <c r="K385" s="410">
        <f>K383+K384</f>
        <v>340000</v>
      </c>
      <c r="L385" s="410">
        <f t="shared" si="185"/>
        <v>0</v>
      </c>
      <c r="M385" s="410">
        <f>M383+M384</f>
        <v>0</v>
      </c>
      <c r="N385" s="410">
        <f>N383+N384</f>
        <v>0</v>
      </c>
    </row>
    <row r="386" spans="1:14" s="434" customFormat="1" ht="13.7" customHeight="1">
      <c r="A386" s="1022"/>
      <c r="B386" s="1023"/>
      <c r="C386" s="1022"/>
      <c r="D386" s="1023"/>
      <c r="E386" s="1024" t="s">
        <v>781</v>
      </c>
      <c r="F386" s="1025"/>
      <c r="G386" s="471" t="s">
        <v>0</v>
      </c>
      <c r="H386" s="410">
        <f t="shared" si="183"/>
        <v>0</v>
      </c>
      <c r="I386" s="410">
        <f t="shared" si="184"/>
        <v>0</v>
      </c>
      <c r="J386" s="410">
        <v>0</v>
      </c>
      <c r="K386" s="410">
        <v>0</v>
      </c>
      <c r="L386" s="410">
        <f t="shared" si="185"/>
        <v>0</v>
      </c>
      <c r="M386" s="410">
        <v>0</v>
      </c>
      <c r="N386" s="410">
        <v>0</v>
      </c>
    </row>
    <row r="387" spans="1:14" s="434" customFormat="1" ht="13.7" customHeight="1">
      <c r="A387" s="1022"/>
      <c r="B387" s="1040"/>
      <c r="C387" s="1022"/>
      <c r="D387" s="1040"/>
      <c r="E387" s="1026"/>
      <c r="F387" s="1027"/>
      <c r="G387" s="471" t="s">
        <v>1</v>
      </c>
      <c r="H387" s="410">
        <f t="shared" si="183"/>
        <v>260000</v>
      </c>
      <c r="I387" s="410">
        <f t="shared" si="184"/>
        <v>260000</v>
      </c>
      <c r="J387" s="410">
        <v>0</v>
      </c>
      <c r="K387" s="410">
        <v>260000</v>
      </c>
      <c r="L387" s="410">
        <f t="shared" si="185"/>
        <v>0</v>
      </c>
      <c r="M387" s="410">
        <v>0</v>
      </c>
      <c r="N387" s="410">
        <v>0</v>
      </c>
    </row>
    <row r="388" spans="1:14" s="434" customFormat="1" ht="13.7" customHeight="1">
      <c r="A388" s="1022"/>
      <c r="B388" s="1040"/>
      <c r="C388" s="1022"/>
      <c r="D388" s="1040"/>
      <c r="E388" s="1028"/>
      <c r="F388" s="1029"/>
      <c r="G388" s="471" t="s">
        <v>2</v>
      </c>
      <c r="H388" s="410">
        <f t="shared" si="183"/>
        <v>260000</v>
      </c>
      <c r="I388" s="410">
        <f t="shared" si="184"/>
        <v>260000</v>
      </c>
      <c r="J388" s="410">
        <f>J386+J387</f>
        <v>0</v>
      </c>
      <c r="K388" s="410">
        <f>K386+K387</f>
        <v>260000</v>
      </c>
      <c r="L388" s="410">
        <f t="shared" si="185"/>
        <v>0</v>
      </c>
      <c r="M388" s="410">
        <f>M386+M387</f>
        <v>0</v>
      </c>
      <c r="N388" s="410">
        <f>N386+N387</f>
        <v>0</v>
      </c>
    </row>
    <row r="389" spans="1:14" s="434" customFormat="1" ht="13.7" customHeight="1">
      <c r="A389" s="1022"/>
      <c r="B389" s="1023"/>
      <c r="C389" s="1022"/>
      <c r="D389" s="1023"/>
      <c r="E389" s="1024" t="s">
        <v>782</v>
      </c>
      <c r="F389" s="1025"/>
      <c r="G389" s="471" t="s">
        <v>0</v>
      </c>
      <c r="H389" s="410">
        <f t="shared" si="183"/>
        <v>0</v>
      </c>
      <c r="I389" s="410">
        <f t="shared" si="184"/>
        <v>0</v>
      </c>
      <c r="J389" s="410">
        <v>0</v>
      </c>
      <c r="K389" s="410">
        <v>0</v>
      </c>
      <c r="L389" s="410">
        <f t="shared" si="185"/>
        <v>0</v>
      </c>
      <c r="M389" s="410">
        <v>0</v>
      </c>
      <c r="N389" s="410">
        <v>0</v>
      </c>
    </row>
    <row r="390" spans="1:14" s="434" customFormat="1" ht="13.7" customHeight="1">
      <c r="A390" s="1022"/>
      <c r="B390" s="1040"/>
      <c r="C390" s="1022"/>
      <c r="D390" s="1040"/>
      <c r="E390" s="1026"/>
      <c r="F390" s="1027"/>
      <c r="G390" s="471" t="s">
        <v>1</v>
      </c>
      <c r="H390" s="410">
        <f t="shared" si="183"/>
        <v>40000</v>
      </c>
      <c r="I390" s="410">
        <f t="shared" si="184"/>
        <v>40000</v>
      </c>
      <c r="J390" s="410">
        <v>0</v>
      </c>
      <c r="K390" s="410">
        <v>40000</v>
      </c>
      <c r="L390" s="410">
        <f t="shared" si="185"/>
        <v>0</v>
      </c>
      <c r="M390" s="410">
        <v>0</v>
      </c>
      <c r="N390" s="410">
        <v>0</v>
      </c>
    </row>
    <row r="391" spans="1:14" s="434" customFormat="1" ht="13.7" customHeight="1">
      <c r="A391" s="1022"/>
      <c r="B391" s="1040"/>
      <c r="C391" s="1031"/>
      <c r="D391" s="1047"/>
      <c r="E391" s="1028"/>
      <c r="F391" s="1029"/>
      <c r="G391" s="471" t="s">
        <v>2</v>
      </c>
      <c r="H391" s="410">
        <f t="shared" si="183"/>
        <v>40000</v>
      </c>
      <c r="I391" s="410">
        <f t="shared" si="184"/>
        <v>40000</v>
      </c>
      <c r="J391" s="410">
        <f>J389+J390</f>
        <v>0</v>
      </c>
      <c r="K391" s="410">
        <f>K389+K390</f>
        <v>40000</v>
      </c>
      <c r="L391" s="410">
        <f t="shared" si="185"/>
        <v>0</v>
      </c>
      <c r="M391" s="410">
        <f>M389+M390</f>
        <v>0</v>
      </c>
      <c r="N391" s="410">
        <f>N389+N390</f>
        <v>0</v>
      </c>
    </row>
    <row r="392" spans="1:14" s="434" customFormat="1" ht="15" hidden="1" customHeight="1">
      <c r="A392" s="1022"/>
      <c r="B392" s="1023"/>
      <c r="C392" s="1037" t="s">
        <v>410</v>
      </c>
      <c r="D392" s="1038"/>
      <c r="E392" s="1046" t="s">
        <v>783</v>
      </c>
      <c r="F392" s="1025"/>
      <c r="G392" s="409" t="s">
        <v>0</v>
      </c>
      <c r="H392" s="410">
        <f>I392+L392</f>
        <v>57850</v>
      </c>
      <c r="I392" s="410">
        <f>J392+K392</f>
        <v>57850</v>
      </c>
      <c r="J392" s="410">
        <v>57850</v>
      </c>
      <c r="K392" s="410">
        <v>0</v>
      </c>
      <c r="L392" s="410">
        <f>M392+N392</f>
        <v>0</v>
      </c>
      <c r="M392" s="410">
        <v>0</v>
      </c>
      <c r="N392" s="410">
        <v>0</v>
      </c>
    </row>
    <row r="393" spans="1:14" s="434" customFormat="1" ht="15" hidden="1" customHeight="1">
      <c r="A393" s="1022"/>
      <c r="B393" s="1030"/>
      <c r="C393" s="1022"/>
      <c r="D393" s="1030"/>
      <c r="E393" s="1026"/>
      <c r="F393" s="1027"/>
      <c r="G393" s="412" t="s">
        <v>1</v>
      </c>
      <c r="H393" s="410">
        <f t="shared" ref="H393:H394" si="186">I393+L393</f>
        <v>0</v>
      </c>
      <c r="I393" s="410">
        <f t="shared" ref="I393:I394" si="187">J393+K393</f>
        <v>0</v>
      </c>
      <c r="J393" s="410">
        <v>0</v>
      </c>
      <c r="K393" s="410">
        <v>0</v>
      </c>
      <c r="L393" s="410">
        <f t="shared" ref="L393:L394" si="188">M393+N393</f>
        <v>0</v>
      </c>
      <c r="M393" s="410">
        <v>0</v>
      </c>
      <c r="N393" s="410">
        <v>0</v>
      </c>
    </row>
    <row r="394" spans="1:14" s="434" customFormat="1" ht="15" hidden="1" customHeight="1">
      <c r="A394" s="1022"/>
      <c r="B394" s="1030"/>
      <c r="C394" s="1022"/>
      <c r="D394" s="1030"/>
      <c r="E394" s="1028"/>
      <c r="F394" s="1029"/>
      <c r="G394" s="412" t="s">
        <v>2</v>
      </c>
      <c r="H394" s="410">
        <f t="shared" si="186"/>
        <v>57850</v>
      </c>
      <c r="I394" s="410">
        <f t="shared" si="187"/>
        <v>57850</v>
      </c>
      <c r="J394" s="410">
        <f t="shared" ref="J394:K394" si="189">J392+J393</f>
        <v>57850</v>
      </c>
      <c r="K394" s="410">
        <f t="shared" si="189"/>
        <v>0</v>
      </c>
      <c r="L394" s="410">
        <f t="shared" si="188"/>
        <v>0</v>
      </c>
      <c r="M394" s="410">
        <f t="shared" ref="M394:N394" si="190">M392+M393</f>
        <v>0</v>
      </c>
      <c r="N394" s="410">
        <f t="shared" si="190"/>
        <v>0</v>
      </c>
    </row>
    <row r="395" spans="1:14" s="434" customFormat="1" ht="14.1" hidden="1" customHeight="1">
      <c r="A395" s="1022"/>
      <c r="B395" s="1023"/>
      <c r="C395" s="1022"/>
      <c r="D395" s="1023"/>
      <c r="E395" s="1024" t="s">
        <v>784</v>
      </c>
      <c r="F395" s="1025"/>
      <c r="G395" s="409" t="s">
        <v>0</v>
      </c>
      <c r="H395" s="410">
        <f>I395+L395</f>
        <v>82185602</v>
      </c>
      <c r="I395" s="410">
        <f>J395+K395</f>
        <v>82185602</v>
      </c>
      <c r="J395" s="410">
        <v>81424530</v>
      </c>
      <c r="K395" s="410">
        <v>761072</v>
      </c>
      <c r="L395" s="410">
        <f>M395+N395</f>
        <v>0</v>
      </c>
      <c r="M395" s="410">
        <v>0</v>
      </c>
      <c r="N395" s="410">
        <v>0</v>
      </c>
    </row>
    <row r="396" spans="1:14" s="434" customFormat="1" ht="14.1" hidden="1" customHeight="1">
      <c r="A396" s="1022"/>
      <c r="B396" s="1030"/>
      <c r="C396" s="1022"/>
      <c r="D396" s="1030"/>
      <c r="E396" s="1026"/>
      <c r="F396" s="1027"/>
      <c r="G396" s="412" t="s">
        <v>1</v>
      </c>
      <c r="H396" s="410">
        <f t="shared" ref="H396:H403" si="191">I396+L396</f>
        <v>0</v>
      </c>
      <c r="I396" s="410">
        <f t="shared" ref="I396:I403" si="192">J396+K396</f>
        <v>0</v>
      </c>
      <c r="J396" s="410">
        <v>0</v>
      </c>
      <c r="K396" s="410">
        <v>0</v>
      </c>
      <c r="L396" s="410">
        <f t="shared" ref="L396:L403" si="193">M396+N396</f>
        <v>0</v>
      </c>
      <c r="M396" s="410">
        <v>0</v>
      </c>
      <c r="N396" s="410">
        <v>0</v>
      </c>
    </row>
    <row r="397" spans="1:14" s="434" customFormat="1" ht="14.1" hidden="1" customHeight="1">
      <c r="A397" s="1022"/>
      <c r="B397" s="1030"/>
      <c r="C397" s="1022"/>
      <c r="D397" s="1030"/>
      <c r="E397" s="1028"/>
      <c r="F397" s="1029"/>
      <c r="G397" s="412" t="s">
        <v>2</v>
      </c>
      <c r="H397" s="410">
        <f t="shared" si="191"/>
        <v>82185602</v>
      </c>
      <c r="I397" s="410">
        <f t="shared" si="192"/>
        <v>82185602</v>
      </c>
      <c r="J397" s="410">
        <f t="shared" ref="J397:K397" si="194">J395+J396</f>
        <v>81424530</v>
      </c>
      <c r="K397" s="410">
        <f t="shared" si="194"/>
        <v>761072</v>
      </c>
      <c r="L397" s="410">
        <f t="shared" si="193"/>
        <v>0</v>
      </c>
      <c r="M397" s="410">
        <f t="shared" ref="M397:N397" si="195">M395+M396</f>
        <v>0</v>
      </c>
      <c r="N397" s="410">
        <f t="shared" si="195"/>
        <v>0</v>
      </c>
    </row>
    <row r="398" spans="1:14" s="434" customFormat="1" ht="15" hidden="1" customHeight="1">
      <c r="A398" s="1022"/>
      <c r="B398" s="1023"/>
      <c r="C398" s="1022"/>
      <c r="D398" s="1023"/>
      <c r="E398" s="1024" t="s">
        <v>785</v>
      </c>
      <c r="F398" s="1025"/>
      <c r="G398" s="409" t="s">
        <v>0</v>
      </c>
      <c r="H398" s="410">
        <f t="shared" si="191"/>
        <v>290400</v>
      </c>
      <c r="I398" s="410">
        <f t="shared" si="192"/>
        <v>290400</v>
      </c>
      <c r="J398" s="410">
        <v>270800</v>
      </c>
      <c r="K398" s="410">
        <v>19600</v>
      </c>
      <c r="L398" s="410">
        <f t="shared" si="193"/>
        <v>0</v>
      </c>
      <c r="M398" s="410">
        <v>0</v>
      </c>
      <c r="N398" s="410">
        <v>0</v>
      </c>
    </row>
    <row r="399" spans="1:14" s="434" customFormat="1" ht="15" hidden="1" customHeight="1">
      <c r="A399" s="1022"/>
      <c r="B399" s="1030"/>
      <c r="C399" s="1022"/>
      <c r="D399" s="1030"/>
      <c r="E399" s="1026"/>
      <c r="F399" s="1027"/>
      <c r="G399" s="412" t="s">
        <v>1</v>
      </c>
      <c r="H399" s="410">
        <f t="shared" si="191"/>
        <v>0</v>
      </c>
      <c r="I399" s="410">
        <f t="shared" si="192"/>
        <v>0</v>
      </c>
      <c r="J399" s="410">
        <v>0</v>
      </c>
      <c r="K399" s="410">
        <v>0</v>
      </c>
      <c r="L399" s="410">
        <f t="shared" si="193"/>
        <v>0</v>
      </c>
      <c r="M399" s="410">
        <v>0</v>
      </c>
      <c r="N399" s="410">
        <v>0</v>
      </c>
    </row>
    <row r="400" spans="1:14" s="434" customFormat="1" ht="15" hidden="1" customHeight="1">
      <c r="A400" s="1022"/>
      <c r="B400" s="1030"/>
      <c r="C400" s="1022"/>
      <c r="D400" s="1030"/>
      <c r="E400" s="1028"/>
      <c r="F400" s="1029"/>
      <c r="G400" s="412" t="s">
        <v>2</v>
      </c>
      <c r="H400" s="410">
        <f t="shared" si="191"/>
        <v>290400</v>
      </c>
      <c r="I400" s="410">
        <f t="shared" si="192"/>
        <v>290400</v>
      </c>
      <c r="J400" s="410">
        <f t="shared" ref="J400:K400" si="196">J398+J399</f>
        <v>270800</v>
      </c>
      <c r="K400" s="410">
        <f t="shared" si="196"/>
        <v>19600</v>
      </c>
      <c r="L400" s="410">
        <f t="shared" si="193"/>
        <v>0</v>
      </c>
      <c r="M400" s="410">
        <f t="shared" ref="M400:N400" si="197">M398+M399</f>
        <v>0</v>
      </c>
      <c r="N400" s="410">
        <f t="shared" si="197"/>
        <v>0</v>
      </c>
    </row>
    <row r="401" spans="1:14" s="434" customFormat="1" ht="14.1" hidden="1" customHeight="1">
      <c r="A401" s="1022"/>
      <c r="B401" s="1023"/>
      <c r="C401" s="1022"/>
      <c r="D401" s="1023"/>
      <c r="E401" s="1024" t="s">
        <v>786</v>
      </c>
      <c r="F401" s="1025"/>
      <c r="G401" s="409" t="s">
        <v>0</v>
      </c>
      <c r="H401" s="410">
        <f t="shared" si="191"/>
        <v>5160318</v>
      </c>
      <c r="I401" s="410">
        <f t="shared" si="192"/>
        <v>5160318</v>
      </c>
      <c r="J401" s="410">
        <v>5160318</v>
      </c>
      <c r="K401" s="410">
        <v>0</v>
      </c>
      <c r="L401" s="410">
        <f t="shared" si="193"/>
        <v>0</v>
      </c>
      <c r="M401" s="410">
        <v>0</v>
      </c>
      <c r="N401" s="410">
        <v>0</v>
      </c>
    </row>
    <row r="402" spans="1:14" s="434" customFormat="1" ht="14.1" hidden="1" customHeight="1">
      <c r="A402" s="1022"/>
      <c r="B402" s="1030"/>
      <c r="C402" s="1022"/>
      <c r="D402" s="1030"/>
      <c r="E402" s="1026"/>
      <c r="F402" s="1027"/>
      <c r="G402" s="412" t="s">
        <v>1</v>
      </c>
      <c r="H402" s="410">
        <f t="shared" si="191"/>
        <v>0</v>
      </c>
      <c r="I402" s="410">
        <f t="shared" si="192"/>
        <v>0</v>
      </c>
      <c r="J402" s="410">
        <v>0</v>
      </c>
      <c r="K402" s="410">
        <v>0</v>
      </c>
      <c r="L402" s="410">
        <f t="shared" si="193"/>
        <v>0</v>
      </c>
      <c r="M402" s="410">
        <v>0</v>
      </c>
      <c r="N402" s="410">
        <v>0</v>
      </c>
    </row>
    <row r="403" spans="1:14" s="434" customFormat="1" ht="14.1" hidden="1" customHeight="1">
      <c r="A403" s="1022"/>
      <c r="B403" s="1030"/>
      <c r="C403" s="1022"/>
      <c r="D403" s="1030"/>
      <c r="E403" s="1028"/>
      <c r="F403" s="1029"/>
      <c r="G403" s="412" t="s">
        <v>2</v>
      </c>
      <c r="H403" s="410">
        <f t="shared" si="191"/>
        <v>5160318</v>
      </c>
      <c r="I403" s="410">
        <f t="shared" si="192"/>
        <v>5160318</v>
      </c>
      <c r="J403" s="410">
        <f t="shared" ref="J403:K403" si="198">J401+J402</f>
        <v>5160318</v>
      </c>
      <c r="K403" s="410">
        <f t="shared" si="198"/>
        <v>0</v>
      </c>
      <c r="L403" s="410">
        <f t="shared" si="193"/>
        <v>0</v>
      </c>
      <c r="M403" s="410">
        <f t="shared" ref="M403:N403" si="199">M401+M402</f>
        <v>0</v>
      </c>
      <c r="N403" s="410">
        <f t="shared" si="199"/>
        <v>0</v>
      </c>
    </row>
    <row r="404" spans="1:14" s="434" customFormat="1" ht="15" hidden="1" customHeight="1">
      <c r="A404" s="1022"/>
      <c r="B404" s="1023"/>
      <c r="C404" s="1022"/>
      <c r="D404" s="1023"/>
      <c r="E404" s="1024" t="s">
        <v>787</v>
      </c>
      <c r="F404" s="1025"/>
      <c r="G404" s="409" t="s">
        <v>0</v>
      </c>
      <c r="H404" s="410">
        <f t="shared" si="76"/>
        <v>2588594</v>
      </c>
      <c r="I404" s="410">
        <f t="shared" si="77"/>
        <v>2588594</v>
      </c>
      <c r="J404" s="410">
        <v>2588594</v>
      </c>
      <c r="K404" s="410">
        <v>0</v>
      </c>
      <c r="L404" s="410">
        <f t="shared" si="78"/>
        <v>0</v>
      </c>
      <c r="M404" s="410">
        <v>0</v>
      </c>
      <c r="N404" s="410">
        <v>0</v>
      </c>
    </row>
    <row r="405" spans="1:14" s="434" customFormat="1" ht="15" hidden="1" customHeight="1">
      <c r="A405" s="1022"/>
      <c r="B405" s="1030"/>
      <c r="C405" s="1022"/>
      <c r="D405" s="1030"/>
      <c r="E405" s="1026"/>
      <c r="F405" s="1027"/>
      <c r="G405" s="412" t="s">
        <v>1</v>
      </c>
      <c r="H405" s="410">
        <f t="shared" si="76"/>
        <v>0</v>
      </c>
      <c r="I405" s="410">
        <f t="shared" si="77"/>
        <v>0</v>
      </c>
      <c r="J405" s="410">
        <v>0</v>
      </c>
      <c r="K405" s="410">
        <v>0</v>
      </c>
      <c r="L405" s="410">
        <f t="shared" si="78"/>
        <v>0</v>
      </c>
      <c r="M405" s="410">
        <v>0</v>
      </c>
      <c r="N405" s="410">
        <v>0</v>
      </c>
    </row>
    <row r="406" spans="1:14" s="434" customFormat="1" ht="15" hidden="1" customHeight="1">
      <c r="A406" s="1022"/>
      <c r="B406" s="1030"/>
      <c r="C406" s="1022"/>
      <c r="D406" s="1030"/>
      <c r="E406" s="1028"/>
      <c r="F406" s="1029"/>
      <c r="G406" s="412" t="s">
        <v>2</v>
      </c>
      <c r="H406" s="410">
        <f t="shared" si="76"/>
        <v>2588594</v>
      </c>
      <c r="I406" s="410">
        <f t="shared" si="77"/>
        <v>2588594</v>
      </c>
      <c r="J406" s="410">
        <f t="shared" ref="J406:K406" si="200">J404+J405</f>
        <v>2588594</v>
      </c>
      <c r="K406" s="410">
        <f t="shared" si="200"/>
        <v>0</v>
      </c>
      <c r="L406" s="410">
        <f t="shared" si="78"/>
        <v>0</v>
      </c>
      <c r="M406" s="410">
        <f t="shared" ref="M406:N406" si="201">M404+M405</f>
        <v>0</v>
      </c>
      <c r="N406" s="410">
        <f t="shared" si="201"/>
        <v>0</v>
      </c>
    </row>
    <row r="407" spans="1:14" s="434" customFormat="1" ht="13.7" customHeight="1">
      <c r="A407" s="1022"/>
      <c r="B407" s="1023"/>
      <c r="C407" s="1022" t="s">
        <v>410</v>
      </c>
      <c r="D407" s="1023"/>
      <c r="E407" s="1024" t="s">
        <v>788</v>
      </c>
      <c r="F407" s="1025"/>
      <c r="G407" s="409" t="s">
        <v>0</v>
      </c>
      <c r="H407" s="410">
        <f t="shared" si="76"/>
        <v>0</v>
      </c>
      <c r="I407" s="410">
        <f t="shared" si="77"/>
        <v>0</v>
      </c>
      <c r="J407" s="410">
        <v>0</v>
      </c>
      <c r="K407" s="410">
        <v>0</v>
      </c>
      <c r="L407" s="410">
        <f t="shared" si="78"/>
        <v>0</v>
      </c>
      <c r="M407" s="410">
        <v>0</v>
      </c>
      <c r="N407" s="410">
        <v>0</v>
      </c>
    </row>
    <row r="408" spans="1:14" s="434" customFormat="1" ht="13.7" customHeight="1">
      <c r="A408" s="1022"/>
      <c r="B408" s="1045"/>
      <c r="C408" s="1022"/>
      <c r="D408" s="1045"/>
      <c r="E408" s="1041"/>
      <c r="F408" s="1042"/>
      <c r="G408" s="409" t="s">
        <v>1</v>
      </c>
      <c r="H408" s="410">
        <f t="shared" si="76"/>
        <v>540000</v>
      </c>
      <c r="I408" s="410">
        <f t="shared" si="77"/>
        <v>540000</v>
      </c>
      <c r="J408" s="410">
        <v>540000</v>
      </c>
      <c r="K408" s="410">
        <v>0</v>
      </c>
      <c r="L408" s="410">
        <f t="shared" si="78"/>
        <v>0</v>
      </c>
      <c r="M408" s="410">
        <v>0</v>
      </c>
      <c r="N408" s="410">
        <v>0</v>
      </c>
    </row>
    <row r="409" spans="1:14" s="434" customFormat="1" ht="13.7" customHeight="1">
      <c r="A409" s="1022"/>
      <c r="B409" s="1045"/>
      <c r="C409" s="1022"/>
      <c r="D409" s="1045"/>
      <c r="E409" s="1043"/>
      <c r="F409" s="1044"/>
      <c r="G409" s="409" t="s">
        <v>2</v>
      </c>
      <c r="H409" s="410">
        <f>I409+L409</f>
        <v>540000</v>
      </c>
      <c r="I409" s="410">
        <f t="shared" si="77"/>
        <v>540000</v>
      </c>
      <c r="J409" s="410">
        <f>J407+J408</f>
        <v>540000</v>
      </c>
      <c r="K409" s="410">
        <f>K407+K408</f>
        <v>0</v>
      </c>
      <c r="L409" s="410">
        <f>M409+N409</f>
        <v>0</v>
      </c>
      <c r="M409" s="410">
        <f>M407+M408</f>
        <v>0</v>
      </c>
      <c r="N409" s="410">
        <f>N407+N408</f>
        <v>0</v>
      </c>
    </row>
    <row r="410" spans="1:14" s="434" customFormat="1" ht="15" hidden="1" customHeight="1">
      <c r="A410" s="1022"/>
      <c r="B410" s="1023"/>
      <c r="C410" s="1022" t="s">
        <v>531</v>
      </c>
      <c r="D410" s="1023"/>
      <c r="E410" s="1024" t="s">
        <v>789</v>
      </c>
      <c r="F410" s="1025"/>
      <c r="G410" s="409" t="s">
        <v>0</v>
      </c>
      <c r="H410" s="410">
        <f t="shared" si="76"/>
        <v>13823174</v>
      </c>
      <c r="I410" s="410">
        <f t="shared" si="77"/>
        <v>13823174</v>
      </c>
      <c r="J410" s="410">
        <v>13823174</v>
      </c>
      <c r="K410" s="410">
        <v>0</v>
      </c>
      <c r="L410" s="410">
        <f t="shared" si="78"/>
        <v>0</v>
      </c>
      <c r="M410" s="410">
        <v>0</v>
      </c>
      <c r="N410" s="410">
        <v>0</v>
      </c>
    </row>
    <row r="411" spans="1:14" s="434" customFormat="1" ht="15" hidden="1" customHeight="1">
      <c r="A411" s="1022"/>
      <c r="B411" s="1030"/>
      <c r="C411" s="1022"/>
      <c r="D411" s="1030"/>
      <c r="E411" s="1026"/>
      <c r="F411" s="1027"/>
      <c r="G411" s="412" t="s">
        <v>1</v>
      </c>
      <c r="H411" s="410">
        <f t="shared" si="76"/>
        <v>0</v>
      </c>
      <c r="I411" s="410">
        <f t="shared" si="77"/>
        <v>0</v>
      </c>
      <c r="J411" s="410">
        <v>0</v>
      </c>
      <c r="K411" s="410">
        <v>0</v>
      </c>
      <c r="L411" s="410">
        <f t="shared" si="78"/>
        <v>0</v>
      </c>
      <c r="M411" s="410">
        <v>0</v>
      </c>
      <c r="N411" s="410">
        <v>0</v>
      </c>
    </row>
    <row r="412" spans="1:14" s="434" customFormat="1" ht="15" hidden="1" customHeight="1">
      <c r="A412" s="1022"/>
      <c r="B412" s="1030"/>
      <c r="C412" s="1031"/>
      <c r="D412" s="1032"/>
      <c r="E412" s="1028"/>
      <c r="F412" s="1029"/>
      <c r="G412" s="412" t="s">
        <v>2</v>
      </c>
      <c r="H412" s="410">
        <f t="shared" si="76"/>
        <v>13823174</v>
      </c>
      <c r="I412" s="410">
        <f t="shared" si="77"/>
        <v>13823174</v>
      </c>
      <c r="J412" s="410">
        <f t="shared" ref="J412:K412" si="202">J410+J411</f>
        <v>13823174</v>
      </c>
      <c r="K412" s="410">
        <f t="shared" si="202"/>
        <v>0</v>
      </c>
      <c r="L412" s="410">
        <f t="shared" si="78"/>
        <v>0</v>
      </c>
      <c r="M412" s="410">
        <f t="shared" ref="M412:N412" si="203">M410+M411</f>
        <v>0</v>
      </c>
      <c r="N412" s="410">
        <f t="shared" si="203"/>
        <v>0</v>
      </c>
    </row>
    <row r="413" spans="1:14" s="434" customFormat="1" ht="14.1" customHeight="1">
      <c r="A413" s="1022"/>
      <c r="B413" s="1023"/>
      <c r="C413" s="1037" t="s">
        <v>418</v>
      </c>
      <c r="D413" s="1038"/>
      <c r="E413" s="1024" t="s">
        <v>790</v>
      </c>
      <c r="F413" s="1025"/>
      <c r="G413" s="409" t="s">
        <v>0</v>
      </c>
      <c r="H413" s="410">
        <f t="shared" si="76"/>
        <v>1662681</v>
      </c>
      <c r="I413" s="410">
        <f t="shared" si="77"/>
        <v>1662681</v>
      </c>
      <c r="J413" s="410">
        <v>1662681</v>
      </c>
      <c r="K413" s="410">
        <v>0</v>
      </c>
      <c r="L413" s="410">
        <f t="shared" si="78"/>
        <v>0</v>
      </c>
      <c r="M413" s="410">
        <v>0</v>
      </c>
      <c r="N413" s="410">
        <v>0</v>
      </c>
    </row>
    <row r="414" spans="1:14" s="434" customFormat="1" ht="14.1" customHeight="1">
      <c r="A414" s="1022"/>
      <c r="B414" s="1030"/>
      <c r="C414" s="1022"/>
      <c r="D414" s="1030"/>
      <c r="E414" s="1026"/>
      <c r="F414" s="1027"/>
      <c r="G414" s="412" t="s">
        <v>1</v>
      </c>
      <c r="H414" s="410">
        <f t="shared" si="76"/>
        <v>187813</v>
      </c>
      <c r="I414" s="410">
        <f t="shared" si="77"/>
        <v>187813</v>
      </c>
      <c r="J414" s="410">
        <v>187813</v>
      </c>
      <c r="K414" s="410">
        <v>0</v>
      </c>
      <c r="L414" s="410">
        <f t="shared" si="78"/>
        <v>0</v>
      </c>
      <c r="M414" s="410">
        <v>0</v>
      </c>
      <c r="N414" s="410">
        <v>0</v>
      </c>
    </row>
    <row r="415" spans="1:14" s="434" customFormat="1" ht="14.1" customHeight="1">
      <c r="A415" s="1022"/>
      <c r="B415" s="1030"/>
      <c r="C415" s="1022"/>
      <c r="D415" s="1030"/>
      <c r="E415" s="1028"/>
      <c r="F415" s="1029"/>
      <c r="G415" s="412" t="s">
        <v>2</v>
      </c>
      <c r="H415" s="410">
        <f t="shared" si="76"/>
        <v>1850494</v>
      </c>
      <c r="I415" s="410">
        <f t="shared" si="77"/>
        <v>1850494</v>
      </c>
      <c r="J415" s="410">
        <f t="shared" ref="J415:K415" si="204">J413+J414</f>
        <v>1850494</v>
      </c>
      <c r="K415" s="410">
        <f t="shared" si="204"/>
        <v>0</v>
      </c>
      <c r="L415" s="410">
        <f t="shared" si="78"/>
        <v>0</v>
      </c>
      <c r="M415" s="410">
        <f t="shared" ref="M415:N415" si="205">M413+M414</f>
        <v>0</v>
      </c>
      <c r="N415" s="410">
        <f t="shared" si="205"/>
        <v>0</v>
      </c>
    </row>
    <row r="416" spans="1:14" s="434" customFormat="1" ht="15" hidden="1" customHeight="1">
      <c r="A416" s="1022"/>
      <c r="B416" s="1023"/>
      <c r="C416" s="1022"/>
      <c r="D416" s="1023"/>
      <c r="E416" s="1024" t="s">
        <v>791</v>
      </c>
      <c r="F416" s="1025"/>
      <c r="G416" s="409" t="s">
        <v>0</v>
      </c>
      <c r="H416" s="410">
        <f t="shared" si="76"/>
        <v>10966806</v>
      </c>
      <c r="I416" s="410">
        <f t="shared" si="77"/>
        <v>10966806</v>
      </c>
      <c r="J416" s="410">
        <v>10561054</v>
      </c>
      <c r="K416" s="410">
        <v>405752</v>
      </c>
      <c r="L416" s="410">
        <f t="shared" si="78"/>
        <v>0</v>
      </c>
      <c r="M416" s="410">
        <v>0</v>
      </c>
      <c r="N416" s="410">
        <v>0</v>
      </c>
    </row>
    <row r="417" spans="1:14" s="434" customFormat="1" ht="15" hidden="1" customHeight="1">
      <c r="A417" s="1022"/>
      <c r="B417" s="1030"/>
      <c r="C417" s="1022"/>
      <c r="D417" s="1030"/>
      <c r="E417" s="1026"/>
      <c r="F417" s="1027"/>
      <c r="G417" s="412" t="s">
        <v>1</v>
      </c>
      <c r="H417" s="410">
        <f t="shared" si="76"/>
        <v>0</v>
      </c>
      <c r="I417" s="410">
        <f t="shared" si="77"/>
        <v>0</v>
      </c>
      <c r="J417" s="410">
        <v>0</v>
      </c>
      <c r="K417" s="410">
        <v>0</v>
      </c>
      <c r="L417" s="410">
        <f t="shared" si="78"/>
        <v>0</v>
      </c>
      <c r="M417" s="410">
        <v>0</v>
      </c>
      <c r="N417" s="410">
        <v>0</v>
      </c>
    </row>
    <row r="418" spans="1:14" s="434" customFormat="1" ht="15" hidden="1" customHeight="1">
      <c r="A418" s="1022"/>
      <c r="B418" s="1030"/>
      <c r="C418" s="1022"/>
      <c r="D418" s="1030"/>
      <c r="E418" s="1028"/>
      <c r="F418" s="1029"/>
      <c r="G418" s="412" t="s">
        <v>2</v>
      </c>
      <c r="H418" s="410">
        <f t="shared" si="76"/>
        <v>10966806</v>
      </c>
      <c r="I418" s="410">
        <f t="shared" si="77"/>
        <v>10966806</v>
      </c>
      <c r="J418" s="410">
        <f t="shared" ref="J418:K418" si="206">J416+J417</f>
        <v>10561054</v>
      </c>
      <c r="K418" s="410">
        <f t="shared" si="206"/>
        <v>405752</v>
      </c>
      <c r="L418" s="410">
        <f t="shared" si="78"/>
        <v>0</v>
      </c>
      <c r="M418" s="410">
        <f t="shared" ref="M418:N418" si="207">M416+M417</f>
        <v>0</v>
      </c>
      <c r="N418" s="410">
        <f t="shared" si="207"/>
        <v>0</v>
      </c>
    </row>
    <row r="419" spans="1:14" s="434" customFormat="1" ht="14.1" customHeight="1">
      <c r="A419" s="1022"/>
      <c r="B419" s="1023"/>
      <c r="C419" s="1022"/>
      <c r="D419" s="1023"/>
      <c r="E419" s="1024" t="s">
        <v>792</v>
      </c>
      <c r="F419" s="1025"/>
      <c r="G419" s="409" t="s">
        <v>0</v>
      </c>
      <c r="H419" s="410">
        <f t="shared" si="76"/>
        <v>12030617</v>
      </c>
      <c r="I419" s="410">
        <f t="shared" si="77"/>
        <v>12030617</v>
      </c>
      <c r="J419" s="410">
        <v>11575627</v>
      </c>
      <c r="K419" s="410">
        <v>454990</v>
      </c>
      <c r="L419" s="410">
        <f t="shared" si="78"/>
        <v>0</v>
      </c>
      <c r="M419" s="410">
        <v>0</v>
      </c>
      <c r="N419" s="410">
        <v>0</v>
      </c>
    </row>
    <row r="420" spans="1:14" s="434" customFormat="1" ht="14.1" customHeight="1">
      <c r="A420" s="1022"/>
      <c r="B420" s="1030"/>
      <c r="C420" s="1022"/>
      <c r="D420" s="1030"/>
      <c r="E420" s="1026"/>
      <c r="F420" s="1027"/>
      <c r="G420" s="412" t="s">
        <v>1</v>
      </c>
      <c r="H420" s="410">
        <f t="shared" si="76"/>
        <v>323376</v>
      </c>
      <c r="I420" s="410">
        <f t="shared" si="77"/>
        <v>323376</v>
      </c>
      <c r="J420" s="410">
        <v>288737</v>
      </c>
      <c r="K420" s="410">
        <v>34639</v>
      </c>
      <c r="L420" s="410">
        <f t="shared" si="78"/>
        <v>0</v>
      </c>
      <c r="M420" s="410">
        <v>0</v>
      </c>
      <c r="N420" s="410">
        <v>0</v>
      </c>
    </row>
    <row r="421" spans="1:14" s="434" customFormat="1" ht="14.1" customHeight="1">
      <c r="A421" s="1022"/>
      <c r="B421" s="1030"/>
      <c r="C421" s="1022"/>
      <c r="D421" s="1030"/>
      <c r="E421" s="1028"/>
      <c r="F421" s="1029"/>
      <c r="G421" s="412" t="s">
        <v>2</v>
      </c>
      <c r="H421" s="410">
        <f t="shared" si="76"/>
        <v>12353993</v>
      </c>
      <c r="I421" s="410">
        <f t="shared" si="77"/>
        <v>12353993</v>
      </c>
      <c r="J421" s="410">
        <f t="shared" ref="J421:K421" si="208">J419+J420</f>
        <v>11864364</v>
      </c>
      <c r="K421" s="410">
        <f t="shared" si="208"/>
        <v>489629</v>
      </c>
      <c r="L421" s="410">
        <f t="shared" si="78"/>
        <v>0</v>
      </c>
      <c r="M421" s="410">
        <f t="shared" ref="M421:N421" si="209">M419+M420</f>
        <v>0</v>
      </c>
      <c r="N421" s="410">
        <f t="shared" si="209"/>
        <v>0</v>
      </c>
    </row>
    <row r="422" spans="1:14" s="434" customFormat="1" ht="15" hidden="1" customHeight="1">
      <c r="A422" s="1022"/>
      <c r="B422" s="1023"/>
      <c r="C422" s="1022"/>
      <c r="D422" s="1023"/>
      <c r="E422" s="1024" t="s">
        <v>793</v>
      </c>
      <c r="F422" s="1025"/>
      <c r="G422" s="409" t="s">
        <v>0</v>
      </c>
      <c r="H422" s="410">
        <f t="shared" si="76"/>
        <v>5520000</v>
      </c>
      <c r="I422" s="410">
        <f t="shared" si="77"/>
        <v>5520000</v>
      </c>
      <c r="J422" s="410">
        <v>5520000</v>
      </c>
      <c r="K422" s="410">
        <v>0</v>
      </c>
      <c r="L422" s="410">
        <f t="shared" si="78"/>
        <v>0</v>
      </c>
      <c r="M422" s="410">
        <v>0</v>
      </c>
      <c r="N422" s="410">
        <v>0</v>
      </c>
    </row>
    <row r="423" spans="1:14" s="434" customFormat="1" ht="15" hidden="1" customHeight="1">
      <c r="A423" s="1022"/>
      <c r="B423" s="1030"/>
      <c r="C423" s="1022"/>
      <c r="D423" s="1030"/>
      <c r="E423" s="1026"/>
      <c r="F423" s="1027"/>
      <c r="G423" s="412" t="s">
        <v>1</v>
      </c>
      <c r="H423" s="410">
        <f t="shared" si="76"/>
        <v>0</v>
      </c>
      <c r="I423" s="410">
        <f t="shared" si="77"/>
        <v>0</v>
      </c>
      <c r="J423" s="410">
        <v>0</v>
      </c>
      <c r="K423" s="410">
        <v>0</v>
      </c>
      <c r="L423" s="410">
        <f t="shared" si="78"/>
        <v>0</v>
      </c>
      <c r="M423" s="410">
        <v>0</v>
      </c>
      <c r="N423" s="410">
        <v>0</v>
      </c>
    </row>
    <row r="424" spans="1:14" s="434" customFormat="1" ht="15" hidden="1" customHeight="1">
      <c r="A424" s="1022"/>
      <c r="B424" s="1030"/>
      <c r="C424" s="1022"/>
      <c r="D424" s="1030"/>
      <c r="E424" s="1028"/>
      <c r="F424" s="1029"/>
      <c r="G424" s="412" t="s">
        <v>2</v>
      </c>
      <c r="H424" s="410">
        <f t="shared" si="76"/>
        <v>5520000</v>
      </c>
      <c r="I424" s="410">
        <f t="shared" si="77"/>
        <v>5520000</v>
      </c>
      <c r="J424" s="410">
        <f t="shared" ref="J424:K424" si="210">J422+J423</f>
        <v>5520000</v>
      </c>
      <c r="K424" s="410">
        <f t="shared" si="210"/>
        <v>0</v>
      </c>
      <c r="L424" s="410">
        <f t="shared" si="78"/>
        <v>0</v>
      </c>
      <c r="M424" s="410">
        <f t="shared" ref="M424:N424" si="211">M422+M423</f>
        <v>0</v>
      </c>
      <c r="N424" s="410">
        <f t="shared" si="211"/>
        <v>0</v>
      </c>
    </row>
    <row r="425" spans="1:14" s="434" customFormat="1" ht="14.1" customHeight="1">
      <c r="A425" s="1022"/>
      <c r="B425" s="1023"/>
      <c r="C425" s="1022"/>
      <c r="D425" s="1023"/>
      <c r="E425" s="1024" t="s">
        <v>794</v>
      </c>
      <c r="F425" s="1025"/>
      <c r="G425" s="409" t="s">
        <v>0</v>
      </c>
      <c r="H425" s="410">
        <f t="shared" si="76"/>
        <v>975000</v>
      </c>
      <c r="I425" s="410">
        <f t="shared" si="77"/>
        <v>975000</v>
      </c>
      <c r="J425" s="410">
        <v>975000</v>
      </c>
      <c r="K425" s="410">
        <v>0</v>
      </c>
      <c r="L425" s="410">
        <f t="shared" si="78"/>
        <v>0</v>
      </c>
      <c r="M425" s="410">
        <v>0</v>
      </c>
      <c r="N425" s="410">
        <v>0</v>
      </c>
    </row>
    <row r="426" spans="1:14" s="434" customFormat="1" ht="14.1" customHeight="1">
      <c r="A426" s="1022"/>
      <c r="B426" s="1030"/>
      <c r="C426" s="1022"/>
      <c r="D426" s="1030"/>
      <c r="E426" s="1026"/>
      <c r="F426" s="1027"/>
      <c r="G426" s="412" t="s">
        <v>1</v>
      </c>
      <c r="H426" s="410">
        <f t="shared" si="76"/>
        <v>25000</v>
      </c>
      <c r="I426" s="410">
        <f t="shared" si="77"/>
        <v>25000</v>
      </c>
      <c r="J426" s="410">
        <v>25000</v>
      </c>
      <c r="K426" s="410">
        <v>0</v>
      </c>
      <c r="L426" s="410">
        <f t="shared" si="78"/>
        <v>0</v>
      </c>
      <c r="M426" s="410">
        <v>0</v>
      </c>
      <c r="N426" s="410">
        <v>0</v>
      </c>
    </row>
    <row r="427" spans="1:14" s="434" customFormat="1" ht="14.1" customHeight="1">
      <c r="A427" s="1022"/>
      <c r="B427" s="1030"/>
      <c r="C427" s="1022"/>
      <c r="D427" s="1030"/>
      <c r="E427" s="1028"/>
      <c r="F427" s="1029"/>
      <c r="G427" s="412" t="s">
        <v>2</v>
      </c>
      <c r="H427" s="410">
        <f t="shared" si="76"/>
        <v>1000000</v>
      </c>
      <c r="I427" s="410">
        <f t="shared" si="77"/>
        <v>1000000</v>
      </c>
      <c r="J427" s="410">
        <f t="shared" ref="J427:K427" si="212">J425+J426</f>
        <v>1000000</v>
      </c>
      <c r="K427" s="410">
        <f t="shared" si="212"/>
        <v>0</v>
      </c>
      <c r="L427" s="410">
        <f t="shared" si="78"/>
        <v>0</v>
      </c>
      <c r="M427" s="410">
        <f t="shared" ref="M427:N427" si="213">M425+M426</f>
        <v>0</v>
      </c>
      <c r="N427" s="410">
        <f t="shared" si="213"/>
        <v>0</v>
      </c>
    </row>
    <row r="428" spans="1:14" s="434" customFormat="1" ht="15" hidden="1" customHeight="1">
      <c r="A428" s="1022"/>
      <c r="B428" s="1023"/>
      <c r="C428" s="1022"/>
      <c r="D428" s="1023"/>
      <c r="E428" s="1024" t="s">
        <v>795</v>
      </c>
      <c r="F428" s="1025"/>
      <c r="G428" s="409" t="s">
        <v>0</v>
      </c>
      <c r="H428" s="410">
        <f t="shared" si="76"/>
        <v>369000</v>
      </c>
      <c r="I428" s="410">
        <f t="shared" si="77"/>
        <v>369000</v>
      </c>
      <c r="J428" s="410">
        <v>369000</v>
      </c>
      <c r="K428" s="410">
        <v>0</v>
      </c>
      <c r="L428" s="410">
        <f t="shared" si="78"/>
        <v>0</v>
      </c>
      <c r="M428" s="410">
        <v>0</v>
      </c>
      <c r="N428" s="410">
        <v>0</v>
      </c>
    </row>
    <row r="429" spans="1:14" s="434" customFormat="1" ht="15" hidden="1" customHeight="1">
      <c r="A429" s="1022"/>
      <c r="B429" s="1030"/>
      <c r="C429" s="1022"/>
      <c r="D429" s="1030"/>
      <c r="E429" s="1026"/>
      <c r="F429" s="1027"/>
      <c r="G429" s="412" t="s">
        <v>1</v>
      </c>
      <c r="H429" s="410">
        <f t="shared" si="76"/>
        <v>0</v>
      </c>
      <c r="I429" s="410">
        <f t="shared" si="77"/>
        <v>0</v>
      </c>
      <c r="J429" s="410">
        <v>0</v>
      </c>
      <c r="K429" s="410">
        <v>0</v>
      </c>
      <c r="L429" s="410">
        <f t="shared" si="78"/>
        <v>0</v>
      </c>
      <c r="M429" s="410">
        <v>0</v>
      </c>
      <c r="N429" s="410">
        <v>0</v>
      </c>
    </row>
    <row r="430" spans="1:14" s="434" customFormat="1" ht="15" hidden="1" customHeight="1">
      <c r="A430" s="1022"/>
      <c r="B430" s="1030"/>
      <c r="C430" s="1022"/>
      <c r="D430" s="1030"/>
      <c r="E430" s="1028"/>
      <c r="F430" s="1029"/>
      <c r="G430" s="412" t="s">
        <v>2</v>
      </c>
      <c r="H430" s="410">
        <f t="shared" si="76"/>
        <v>369000</v>
      </c>
      <c r="I430" s="410">
        <f t="shared" si="77"/>
        <v>369000</v>
      </c>
      <c r="J430" s="410">
        <f t="shared" ref="J430:K430" si="214">J428+J429</f>
        <v>369000</v>
      </c>
      <c r="K430" s="410">
        <f t="shared" si="214"/>
        <v>0</v>
      </c>
      <c r="L430" s="410">
        <f t="shared" si="78"/>
        <v>0</v>
      </c>
      <c r="M430" s="410">
        <f t="shared" ref="M430:N430" si="215">M428+M429</f>
        <v>0</v>
      </c>
      <c r="N430" s="410">
        <f t="shared" si="215"/>
        <v>0</v>
      </c>
    </row>
    <row r="431" spans="1:14" s="434" customFormat="1" ht="13.7" customHeight="1">
      <c r="A431" s="1022"/>
      <c r="B431" s="1023"/>
      <c r="C431" s="1022"/>
      <c r="D431" s="1023"/>
      <c r="E431" s="1024" t="s">
        <v>796</v>
      </c>
      <c r="F431" s="1025"/>
      <c r="G431" s="409" t="s">
        <v>0</v>
      </c>
      <c r="H431" s="410">
        <f t="shared" si="76"/>
        <v>0</v>
      </c>
      <c r="I431" s="410">
        <f t="shared" si="77"/>
        <v>0</v>
      </c>
      <c r="J431" s="410">
        <v>0</v>
      </c>
      <c r="K431" s="410">
        <v>0</v>
      </c>
      <c r="L431" s="410">
        <f t="shared" si="78"/>
        <v>0</v>
      </c>
      <c r="M431" s="410">
        <v>0</v>
      </c>
      <c r="N431" s="410">
        <v>0</v>
      </c>
    </row>
    <row r="432" spans="1:14" s="434" customFormat="1" ht="13.7" customHeight="1">
      <c r="A432" s="1022"/>
      <c r="B432" s="1030"/>
      <c r="C432" s="1022"/>
      <c r="D432" s="1030"/>
      <c r="E432" s="1026"/>
      <c r="F432" s="1027"/>
      <c r="G432" s="412" t="s">
        <v>1</v>
      </c>
      <c r="H432" s="410">
        <f t="shared" si="76"/>
        <v>328117</v>
      </c>
      <c r="I432" s="410">
        <f t="shared" si="77"/>
        <v>328117</v>
      </c>
      <c r="J432" s="410">
        <v>328117</v>
      </c>
      <c r="K432" s="410">
        <v>0</v>
      </c>
      <c r="L432" s="410">
        <f t="shared" si="78"/>
        <v>0</v>
      </c>
      <c r="M432" s="410">
        <v>0</v>
      </c>
      <c r="N432" s="410">
        <v>0</v>
      </c>
    </row>
    <row r="433" spans="1:14" s="434" customFormat="1" ht="13.7" customHeight="1">
      <c r="A433" s="1022"/>
      <c r="B433" s="1030"/>
      <c r="C433" s="1022"/>
      <c r="D433" s="1030"/>
      <c r="E433" s="1028"/>
      <c r="F433" s="1029"/>
      <c r="G433" s="412" t="s">
        <v>2</v>
      </c>
      <c r="H433" s="410">
        <f t="shared" si="76"/>
        <v>328117</v>
      </c>
      <c r="I433" s="410">
        <f t="shared" si="77"/>
        <v>328117</v>
      </c>
      <c r="J433" s="410">
        <f t="shared" ref="J433:K433" si="216">J431+J432</f>
        <v>328117</v>
      </c>
      <c r="K433" s="410">
        <f t="shared" si="216"/>
        <v>0</v>
      </c>
      <c r="L433" s="410">
        <f t="shared" si="78"/>
        <v>0</v>
      </c>
      <c r="M433" s="410">
        <f t="shared" ref="M433:N433" si="217">M431+M432</f>
        <v>0</v>
      </c>
      <c r="N433" s="410">
        <f t="shared" si="217"/>
        <v>0</v>
      </c>
    </row>
    <row r="434" spans="1:14" s="434" customFormat="1" ht="13.7" customHeight="1">
      <c r="A434" s="1022"/>
      <c r="B434" s="1023"/>
      <c r="C434" s="1022"/>
      <c r="D434" s="1023"/>
      <c r="E434" s="1024" t="s">
        <v>797</v>
      </c>
      <c r="F434" s="1025"/>
      <c r="G434" s="409" t="s">
        <v>0</v>
      </c>
      <c r="H434" s="410">
        <f t="shared" si="76"/>
        <v>0</v>
      </c>
      <c r="I434" s="410">
        <f t="shared" si="77"/>
        <v>0</v>
      </c>
      <c r="J434" s="410">
        <v>0</v>
      </c>
      <c r="K434" s="410">
        <v>0</v>
      </c>
      <c r="L434" s="410">
        <f t="shared" si="78"/>
        <v>0</v>
      </c>
      <c r="M434" s="410">
        <v>0</v>
      </c>
      <c r="N434" s="410">
        <v>0</v>
      </c>
    </row>
    <row r="435" spans="1:14" s="434" customFormat="1" ht="13.7" customHeight="1">
      <c r="A435" s="1022"/>
      <c r="B435" s="1030"/>
      <c r="C435" s="1022"/>
      <c r="D435" s="1030"/>
      <c r="E435" s="1026"/>
      <c r="F435" s="1027"/>
      <c r="G435" s="412" t="s">
        <v>1</v>
      </c>
      <c r="H435" s="410">
        <f t="shared" si="76"/>
        <v>330000</v>
      </c>
      <c r="I435" s="410">
        <f t="shared" si="77"/>
        <v>330000</v>
      </c>
      <c r="J435" s="410">
        <v>330000</v>
      </c>
      <c r="K435" s="410">
        <v>0</v>
      </c>
      <c r="L435" s="410">
        <f t="shared" si="78"/>
        <v>0</v>
      </c>
      <c r="M435" s="410">
        <v>0</v>
      </c>
      <c r="N435" s="410">
        <v>0</v>
      </c>
    </row>
    <row r="436" spans="1:14" s="434" customFormat="1" ht="13.7" customHeight="1">
      <c r="A436" s="1022"/>
      <c r="B436" s="1030"/>
      <c r="C436" s="1022"/>
      <c r="D436" s="1030"/>
      <c r="E436" s="1028"/>
      <c r="F436" s="1029"/>
      <c r="G436" s="412" t="s">
        <v>2</v>
      </c>
      <c r="H436" s="410">
        <f t="shared" si="76"/>
        <v>330000</v>
      </c>
      <c r="I436" s="410">
        <f t="shared" si="77"/>
        <v>330000</v>
      </c>
      <c r="J436" s="410">
        <f t="shared" ref="J436:K436" si="218">J434+J435</f>
        <v>330000</v>
      </c>
      <c r="K436" s="410">
        <f t="shared" si="218"/>
        <v>0</v>
      </c>
      <c r="L436" s="410">
        <f t="shared" si="78"/>
        <v>0</v>
      </c>
      <c r="M436" s="410">
        <f t="shared" ref="M436:N436" si="219">M434+M435</f>
        <v>0</v>
      </c>
      <c r="N436" s="410">
        <f t="shared" si="219"/>
        <v>0</v>
      </c>
    </row>
    <row r="437" spans="1:14" s="434" customFormat="1" ht="15" hidden="1" customHeight="1">
      <c r="A437" s="1022"/>
      <c r="B437" s="1023"/>
      <c r="C437" s="1022"/>
      <c r="D437" s="1023"/>
      <c r="E437" s="1024" t="s">
        <v>798</v>
      </c>
      <c r="F437" s="1025"/>
      <c r="G437" s="409" t="s">
        <v>0</v>
      </c>
      <c r="H437" s="410">
        <f t="shared" si="76"/>
        <v>19065</v>
      </c>
      <c r="I437" s="410">
        <f t="shared" si="77"/>
        <v>19065</v>
      </c>
      <c r="J437" s="410">
        <v>19065</v>
      </c>
      <c r="K437" s="410">
        <v>0</v>
      </c>
      <c r="L437" s="410">
        <f t="shared" si="78"/>
        <v>0</v>
      </c>
      <c r="M437" s="410">
        <v>0</v>
      </c>
      <c r="N437" s="410">
        <v>0</v>
      </c>
    </row>
    <row r="438" spans="1:14" s="434" customFormat="1" ht="15" hidden="1" customHeight="1">
      <c r="A438" s="1022"/>
      <c r="B438" s="1030"/>
      <c r="C438" s="1022"/>
      <c r="D438" s="1030"/>
      <c r="E438" s="1026"/>
      <c r="F438" s="1027"/>
      <c r="G438" s="412" t="s">
        <v>1</v>
      </c>
      <c r="H438" s="410">
        <f t="shared" si="76"/>
        <v>0</v>
      </c>
      <c r="I438" s="410">
        <f t="shared" si="77"/>
        <v>0</v>
      </c>
      <c r="J438" s="410">
        <v>0</v>
      </c>
      <c r="K438" s="410">
        <v>0</v>
      </c>
      <c r="L438" s="410">
        <f t="shared" si="78"/>
        <v>0</v>
      </c>
      <c r="M438" s="410">
        <v>0</v>
      </c>
      <c r="N438" s="410">
        <v>0</v>
      </c>
    </row>
    <row r="439" spans="1:14" s="434" customFormat="1" ht="15" hidden="1" customHeight="1">
      <c r="A439" s="1022"/>
      <c r="B439" s="1030"/>
      <c r="C439" s="1022"/>
      <c r="D439" s="1030"/>
      <c r="E439" s="1028"/>
      <c r="F439" s="1029"/>
      <c r="G439" s="412" t="s">
        <v>2</v>
      </c>
      <c r="H439" s="410">
        <f t="shared" si="76"/>
        <v>19065</v>
      </c>
      <c r="I439" s="410">
        <f t="shared" si="77"/>
        <v>19065</v>
      </c>
      <c r="J439" s="410">
        <f t="shared" ref="J439:K439" si="220">J437+J438</f>
        <v>19065</v>
      </c>
      <c r="K439" s="410">
        <f t="shared" si="220"/>
        <v>0</v>
      </c>
      <c r="L439" s="410">
        <f t="shared" si="78"/>
        <v>0</v>
      </c>
      <c r="M439" s="410">
        <f t="shared" ref="M439:N439" si="221">M437+M438</f>
        <v>0</v>
      </c>
      <c r="N439" s="410">
        <f t="shared" si="221"/>
        <v>0</v>
      </c>
    </row>
    <row r="440" spans="1:14" s="434" customFormat="1" ht="15" hidden="1" customHeight="1">
      <c r="A440" s="1022"/>
      <c r="B440" s="1023"/>
      <c r="C440" s="1022"/>
      <c r="D440" s="1023"/>
      <c r="E440" s="1024" t="s">
        <v>799</v>
      </c>
      <c r="F440" s="1025"/>
      <c r="G440" s="409" t="s">
        <v>0</v>
      </c>
      <c r="H440" s="410">
        <f t="shared" si="76"/>
        <v>38000</v>
      </c>
      <c r="I440" s="410">
        <f t="shared" si="77"/>
        <v>38000</v>
      </c>
      <c r="J440" s="410">
        <v>0</v>
      </c>
      <c r="K440" s="410">
        <v>38000</v>
      </c>
      <c r="L440" s="410">
        <f t="shared" si="78"/>
        <v>0</v>
      </c>
      <c r="M440" s="410">
        <v>0</v>
      </c>
      <c r="N440" s="410">
        <v>0</v>
      </c>
    </row>
    <row r="441" spans="1:14" s="434" customFormat="1" ht="15" hidden="1" customHeight="1">
      <c r="A441" s="1022"/>
      <c r="B441" s="1030"/>
      <c r="C441" s="1022"/>
      <c r="D441" s="1030"/>
      <c r="E441" s="1026"/>
      <c r="F441" s="1027"/>
      <c r="G441" s="412" t="s">
        <v>1</v>
      </c>
      <c r="H441" s="410">
        <f t="shared" si="76"/>
        <v>0</v>
      </c>
      <c r="I441" s="410">
        <f t="shared" si="77"/>
        <v>0</v>
      </c>
      <c r="J441" s="410">
        <v>0</v>
      </c>
      <c r="K441" s="410">
        <v>0</v>
      </c>
      <c r="L441" s="410">
        <f t="shared" si="78"/>
        <v>0</v>
      </c>
      <c r="M441" s="410">
        <v>0</v>
      </c>
      <c r="N441" s="410">
        <v>0</v>
      </c>
    </row>
    <row r="442" spans="1:14" s="434" customFormat="1" ht="15" hidden="1" customHeight="1">
      <c r="A442" s="1022"/>
      <c r="B442" s="1030"/>
      <c r="C442" s="1022"/>
      <c r="D442" s="1030"/>
      <c r="E442" s="1028"/>
      <c r="F442" s="1029"/>
      <c r="G442" s="412" t="s">
        <v>2</v>
      </c>
      <c r="H442" s="410">
        <f t="shared" si="76"/>
        <v>38000</v>
      </c>
      <c r="I442" s="410">
        <f t="shared" si="77"/>
        <v>38000</v>
      </c>
      <c r="J442" s="410">
        <f t="shared" ref="J442:K442" si="222">J440+J441</f>
        <v>0</v>
      </c>
      <c r="K442" s="410">
        <f t="shared" si="222"/>
        <v>38000</v>
      </c>
      <c r="L442" s="410">
        <f t="shared" si="78"/>
        <v>0</v>
      </c>
      <c r="M442" s="410">
        <f t="shared" ref="M442:N442" si="223">M440+M441</f>
        <v>0</v>
      </c>
      <c r="N442" s="410">
        <f t="shared" si="223"/>
        <v>0</v>
      </c>
    </row>
    <row r="443" spans="1:14" s="434" customFormat="1" ht="15" hidden="1" customHeight="1">
      <c r="A443" s="1022"/>
      <c r="B443" s="1023"/>
      <c r="C443" s="1022"/>
      <c r="D443" s="1023"/>
      <c r="E443" s="1024" t="s">
        <v>800</v>
      </c>
      <c r="F443" s="1025"/>
      <c r="G443" s="409" t="s">
        <v>0</v>
      </c>
      <c r="H443" s="410">
        <f t="shared" si="76"/>
        <v>50000</v>
      </c>
      <c r="I443" s="410">
        <f t="shared" si="77"/>
        <v>50000</v>
      </c>
      <c r="J443" s="410">
        <v>50000</v>
      </c>
      <c r="K443" s="410">
        <v>0</v>
      </c>
      <c r="L443" s="410">
        <f t="shared" si="78"/>
        <v>0</v>
      </c>
      <c r="M443" s="410">
        <v>0</v>
      </c>
      <c r="N443" s="410">
        <v>0</v>
      </c>
    </row>
    <row r="444" spans="1:14" s="434" customFormat="1" ht="15" hidden="1" customHeight="1">
      <c r="A444" s="1022"/>
      <c r="B444" s="1030"/>
      <c r="C444" s="1022"/>
      <c r="D444" s="1030"/>
      <c r="E444" s="1026"/>
      <c r="F444" s="1027"/>
      <c r="G444" s="412" t="s">
        <v>1</v>
      </c>
      <c r="H444" s="410">
        <f t="shared" si="76"/>
        <v>0</v>
      </c>
      <c r="I444" s="410">
        <f t="shared" si="77"/>
        <v>0</v>
      </c>
      <c r="J444" s="410">
        <v>0</v>
      </c>
      <c r="K444" s="410">
        <v>0</v>
      </c>
      <c r="L444" s="410">
        <f t="shared" si="78"/>
        <v>0</v>
      </c>
      <c r="M444" s="410">
        <v>0</v>
      </c>
      <c r="N444" s="410">
        <v>0</v>
      </c>
    </row>
    <row r="445" spans="1:14" s="434" customFormat="1" ht="15" hidden="1" customHeight="1">
      <c r="A445" s="1022"/>
      <c r="B445" s="1030"/>
      <c r="C445" s="1022"/>
      <c r="D445" s="1030"/>
      <c r="E445" s="1028"/>
      <c r="F445" s="1029"/>
      <c r="G445" s="412" t="s">
        <v>2</v>
      </c>
      <c r="H445" s="410">
        <f t="shared" si="76"/>
        <v>50000</v>
      </c>
      <c r="I445" s="410">
        <f t="shared" si="77"/>
        <v>50000</v>
      </c>
      <c r="J445" s="410">
        <f t="shared" ref="J445:K445" si="224">J443+J444</f>
        <v>50000</v>
      </c>
      <c r="K445" s="410">
        <f t="shared" si="224"/>
        <v>0</v>
      </c>
      <c r="L445" s="410">
        <f t="shared" si="78"/>
        <v>0</v>
      </c>
      <c r="M445" s="410">
        <f t="shared" ref="M445:N445" si="225">M443+M444</f>
        <v>0</v>
      </c>
      <c r="N445" s="410">
        <f t="shared" si="225"/>
        <v>0</v>
      </c>
    </row>
    <row r="446" spans="1:14" s="434" customFormat="1" ht="14.1" customHeight="1">
      <c r="A446" s="1022"/>
      <c r="B446" s="1023"/>
      <c r="C446" s="1022"/>
      <c r="D446" s="1023"/>
      <c r="E446" s="1024" t="s">
        <v>801</v>
      </c>
      <c r="F446" s="1025"/>
      <c r="G446" s="409" t="s">
        <v>0</v>
      </c>
      <c r="H446" s="410">
        <f t="shared" si="76"/>
        <v>2800000</v>
      </c>
      <c r="I446" s="410">
        <f t="shared" si="77"/>
        <v>2800000</v>
      </c>
      <c r="J446" s="410">
        <v>2800000</v>
      </c>
      <c r="K446" s="410">
        <v>0</v>
      </c>
      <c r="L446" s="410">
        <f t="shared" si="78"/>
        <v>0</v>
      </c>
      <c r="M446" s="410">
        <v>0</v>
      </c>
      <c r="N446" s="410">
        <v>0</v>
      </c>
    </row>
    <row r="447" spans="1:14" s="434" customFormat="1" ht="14.1" customHeight="1">
      <c r="A447" s="1022"/>
      <c r="B447" s="1030"/>
      <c r="C447" s="1022"/>
      <c r="D447" s="1030"/>
      <c r="E447" s="1026"/>
      <c r="F447" s="1027"/>
      <c r="G447" s="412" t="s">
        <v>1</v>
      </c>
      <c r="H447" s="410">
        <f t="shared" si="76"/>
        <v>768525</v>
      </c>
      <c r="I447" s="410">
        <f t="shared" si="77"/>
        <v>768525</v>
      </c>
      <c r="J447" s="410">
        <v>768525</v>
      </c>
      <c r="K447" s="410">
        <v>0</v>
      </c>
      <c r="L447" s="410">
        <f t="shared" si="78"/>
        <v>0</v>
      </c>
      <c r="M447" s="410">
        <v>0</v>
      </c>
      <c r="N447" s="410">
        <v>0</v>
      </c>
    </row>
    <row r="448" spans="1:14" s="434" customFormat="1" ht="14.1" customHeight="1">
      <c r="A448" s="1031"/>
      <c r="B448" s="1032"/>
      <c r="C448" s="1031"/>
      <c r="D448" s="1032"/>
      <c r="E448" s="1028"/>
      <c r="F448" s="1029"/>
      <c r="G448" s="412" t="s">
        <v>2</v>
      </c>
      <c r="H448" s="410">
        <f t="shared" si="76"/>
        <v>3568525</v>
      </c>
      <c r="I448" s="410">
        <f t="shared" si="77"/>
        <v>3568525</v>
      </c>
      <c r="J448" s="410">
        <f t="shared" ref="J448:K448" si="226">J446+J447</f>
        <v>3568525</v>
      </c>
      <c r="K448" s="410">
        <f t="shared" si="226"/>
        <v>0</v>
      </c>
      <c r="L448" s="410">
        <f t="shared" si="78"/>
        <v>0</v>
      </c>
      <c r="M448" s="410">
        <f t="shared" ref="M448:N448" si="227">M446+M447</f>
        <v>0</v>
      </c>
      <c r="N448" s="410">
        <f t="shared" si="227"/>
        <v>0</v>
      </c>
    </row>
    <row r="449" spans="1:14" s="434" customFormat="1" ht="15" hidden="1" customHeight="1">
      <c r="A449" s="1022"/>
      <c r="B449" s="1023"/>
      <c r="C449" s="1022"/>
      <c r="D449" s="1023"/>
      <c r="E449" s="1041" t="s">
        <v>802</v>
      </c>
      <c r="F449" s="1042"/>
      <c r="G449" s="468" t="s">
        <v>0</v>
      </c>
      <c r="H449" s="472">
        <f t="shared" si="76"/>
        <v>618000</v>
      </c>
      <c r="I449" s="472">
        <f t="shared" si="77"/>
        <v>618000</v>
      </c>
      <c r="J449" s="472">
        <v>618000</v>
      </c>
      <c r="K449" s="472">
        <v>0</v>
      </c>
      <c r="L449" s="472">
        <f t="shared" si="78"/>
        <v>0</v>
      </c>
      <c r="M449" s="472">
        <v>0</v>
      </c>
      <c r="N449" s="472">
        <v>0</v>
      </c>
    </row>
    <row r="450" spans="1:14" s="434" customFormat="1" ht="15" hidden="1" customHeight="1">
      <c r="A450" s="1022"/>
      <c r="B450" s="1030"/>
      <c r="C450" s="1022"/>
      <c r="D450" s="1030"/>
      <c r="E450" s="1026"/>
      <c r="F450" s="1027"/>
      <c r="G450" s="412" t="s">
        <v>1</v>
      </c>
      <c r="H450" s="410">
        <f t="shared" si="76"/>
        <v>0</v>
      </c>
      <c r="I450" s="410">
        <f t="shared" si="77"/>
        <v>0</v>
      </c>
      <c r="J450" s="410">
        <v>0</v>
      </c>
      <c r="K450" s="410">
        <v>0</v>
      </c>
      <c r="L450" s="410">
        <f t="shared" si="78"/>
        <v>0</v>
      </c>
      <c r="M450" s="410">
        <v>0</v>
      </c>
      <c r="N450" s="410">
        <v>0</v>
      </c>
    </row>
    <row r="451" spans="1:14" s="434" customFormat="1" ht="15" hidden="1" customHeight="1">
      <c r="A451" s="1022"/>
      <c r="B451" s="1030"/>
      <c r="C451" s="1022"/>
      <c r="D451" s="1030"/>
      <c r="E451" s="1028"/>
      <c r="F451" s="1029"/>
      <c r="G451" s="412" t="s">
        <v>2</v>
      </c>
      <c r="H451" s="410">
        <f t="shared" si="76"/>
        <v>618000</v>
      </c>
      <c r="I451" s="410">
        <f t="shared" si="77"/>
        <v>618000</v>
      </c>
      <c r="J451" s="410">
        <f t="shared" ref="J451:K451" si="228">J449+J450</f>
        <v>618000</v>
      </c>
      <c r="K451" s="410">
        <f t="shared" si="228"/>
        <v>0</v>
      </c>
      <c r="L451" s="410">
        <f t="shared" si="78"/>
        <v>0</v>
      </c>
      <c r="M451" s="410">
        <f t="shared" ref="M451:N451" si="229">M449+M450</f>
        <v>0</v>
      </c>
      <c r="N451" s="410">
        <f t="shared" si="229"/>
        <v>0</v>
      </c>
    </row>
    <row r="452" spans="1:14" s="434" customFormat="1" ht="15" hidden="1" customHeight="1">
      <c r="A452" s="1022"/>
      <c r="B452" s="1023"/>
      <c r="C452" s="1022"/>
      <c r="D452" s="1023"/>
      <c r="E452" s="1024" t="s">
        <v>803</v>
      </c>
      <c r="F452" s="1025"/>
      <c r="G452" s="409" t="s">
        <v>0</v>
      </c>
      <c r="H452" s="410">
        <f t="shared" si="76"/>
        <v>20400</v>
      </c>
      <c r="I452" s="410">
        <f t="shared" si="77"/>
        <v>20400</v>
      </c>
      <c r="J452" s="410">
        <v>0</v>
      </c>
      <c r="K452" s="410">
        <v>20400</v>
      </c>
      <c r="L452" s="410">
        <f t="shared" si="78"/>
        <v>0</v>
      </c>
      <c r="M452" s="410">
        <v>0</v>
      </c>
      <c r="N452" s="410">
        <v>0</v>
      </c>
    </row>
    <row r="453" spans="1:14" s="434" customFormat="1" ht="15" hidden="1" customHeight="1">
      <c r="A453" s="1022"/>
      <c r="B453" s="1030"/>
      <c r="C453" s="1022"/>
      <c r="D453" s="1030"/>
      <c r="E453" s="1026"/>
      <c r="F453" s="1027"/>
      <c r="G453" s="412" t="s">
        <v>1</v>
      </c>
      <c r="H453" s="410">
        <f t="shared" si="76"/>
        <v>0</v>
      </c>
      <c r="I453" s="410">
        <f t="shared" si="77"/>
        <v>0</v>
      </c>
      <c r="J453" s="410">
        <v>0</v>
      </c>
      <c r="K453" s="410">
        <v>0</v>
      </c>
      <c r="L453" s="410">
        <f t="shared" si="78"/>
        <v>0</v>
      </c>
      <c r="M453" s="410">
        <v>0</v>
      </c>
      <c r="N453" s="410">
        <v>0</v>
      </c>
    </row>
    <row r="454" spans="1:14" s="434" customFormat="1" ht="15" hidden="1" customHeight="1">
      <c r="A454" s="1022"/>
      <c r="B454" s="1030"/>
      <c r="C454" s="1022"/>
      <c r="D454" s="1030"/>
      <c r="E454" s="1028"/>
      <c r="F454" s="1029"/>
      <c r="G454" s="412" t="s">
        <v>2</v>
      </c>
      <c r="H454" s="410">
        <f t="shared" si="76"/>
        <v>20400</v>
      </c>
      <c r="I454" s="410">
        <f t="shared" si="77"/>
        <v>20400</v>
      </c>
      <c r="J454" s="410">
        <f t="shared" ref="J454:K454" si="230">J452+J453</f>
        <v>0</v>
      </c>
      <c r="K454" s="410">
        <f t="shared" si="230"/>
        <v>20400</v>
      </c>
      <c r="L454" s="410">
        <f t="shared" si="78"/>
        <v>0</v>
      </c>
      <c r="M454" s="410">
        <f t="shared" ref="M454:N454" si="231">M452+M453</f>
        <v>0</v>
      </c>
      <c r="N454" s="410">
        <f t="shared" si="231"/>
        <v>0</v>
      </c>
    </row>
    <row r="455" spans="1:14" s="434" customFormat="1" ht="15" hidden="1" customHeight="1">
      <c r="A455" s="1022"/>
      <c r="B455" s="1023"/>
      <c r="C455" s="1022"/>
      <c r="D455" s="1023"/>
      <c r="E455" s="1024" t="s">
        <v>804</v>
      </c>
      <c r="F455" s="1025"/>
      <c r="G455" s="409" t="s">
        <v>0</v>
      </c>
      <c r="H455" s="410">
        <f>I455+L455</f>
        <v>44670</v>
      </c>
      <c r="I455" s="410">
        <f>J455+K455</f>
        <v>44670</v>
      </c>
      <c r="J455" s="410">
        <v>0</v>
      </c>
      <c r="K455" s="410">
        <v>44670</v>
      </c>
      <c r="L455" s="410">
        <f>M455+N455</f>
        <v>0</v>
      </c>
      <c r="M455" s="410">
        <v>0</v>
      </c>
      <c r="N455" s="410">
        <v>0</v>
      </c>
    </row>
    <row r="456" spans="1:14" s="434" customFormat="1" ht="15" hidden="1" customHeight="1">
      <c r="A456" s="1022"/>
      <c r="B456" s="1030"/>
      <c r="C456" s="1022"/>
      <c r="D456" s="1030"/>
      <c r="E456" s="1026"/>
      <c r="F456" s="1027"/>
      <c r="G456" s="412" t="s">
        <v>1</v>
      </c>
      <c r="H456" s="410">
        <f t="shared" ref="H456:H466" si="232">I456+L456</f>
        <v>0</v>
      </c>
      <c r="I456" s="410">
        <f t="shared" ref="I456:I466" si="233">J456+K456</f>
        <v>0</v>
      </c>
      <c r="J456" s="410">
        <v>0</v>
      </c>
      <c r="K456" s="410">
        <v>0</v>
      </c>
      <c r="L456" s="410">
        <f t="shared" ref="L456:L466" si="234">M456+N456</f>
        <v>0</v>
      </c>
      <c r="M456" s="410">
        <v>0</v>
      </c>
      <c r="N456" s="410">
        <v>0</v>
      </c>
    </row>
    <row r="457" spans="1:14" s="434" customFormat="1" ht="15" hidden="1" customHeight="1">
      <c r="A457" s="1022"/>
      <c r="B457" s="1030"/>
      <c r="C457" s="1031"/>
      <c r="D457" s="1032"/>
      <c r="E457" s="1028"/>
      <c r="F457" s="1029"/>
      <c r="G457" s="412" t="s">
        <v>2</v>
      </c>
      <c r="H457" s="410">
        <f t="shared" si="232"/>
        <v>44670</v>
      </c>
      <c r="I457" s="410">
        <f t="shared" si="233"/>
        <v>44670</v>
      </c>
      <c r="J457" s="410">
        <f t="shared" ref="J457:K457" si="235">J455+J456</f>
        <v>0</v>
      </c>
      <c r="K457" s="410">
        <f t="shared" si="235"/>
        <v>44670</v>
      </c>
      <c r="L457" s="410">
        <f t="shared" si="234"/>
        <v>0</v>
      </c>
      <c r="M457" s="410">
        <f t="shared" ref="M457:N457" si="236">M455+M456</f>
        <v>0</v>
      </c>
      <c r="N457" s="410">
        <f t="shared" si="236"/>
        <v>0</v>
      </c>
    </row>
    <row r="458" spans="1:14" s="434" customFormat="1" ht="15" hidden="1" customHeight="1">
      <c r="A458" s="1022"/>
      <c r="B458" s="1023"/>
      <c r="C458" s="1037" t="s">
        <v>425</v>
      </c>
      <c r="D458" s="1038"/>
      <c r="E458" s="1024" t="s">
        <v>805</v>
      </c>
      <c r="F458" s="1025"/>
      <c r="G458" s="409" t="s">
        <v>0</v>
      </c>
      <c r="H458" s="410">
        <f t="shared" si="232"/>
        <v>135756</v>
      </c>
      <c r="I458" s="410">
        <f t="shared" si="233"/>
        <v>135756</v>
      </c>
      <c r="J458" s="410">
        <v>135756</v>
      </c>
      <c r="K458" s="410">
        <v>0</v>
      </c>
      <c r="L458" s="410">
        <f t="shared" si="234"/>
        <v>0</v>
      </c>
      <c r="M458" s="410">
        <v>0</v>
      </c>
      <c r="N458" s="410">
        <v>0</v>
      </c>
    </row>
    <row r="459" spans="1:14" s="434" customFormat="1" ht="15" hidden="1" customHeight="1">
      <c r="A459" s="1022"/>
      <c r="B459" s="1030"/>
      <c r="C459" s="1022"/>
      <c r="D459" s="1030"/>
      <c r="E459" s="1026"/>
      <c r="F459" s="1027"/>
      <c r="G459" s="412" t="s">
        <v>1</v>
      </c>
      <c r="H459" s="410">
        <f t="shared" si="232"/>
        <v>0</v>
      </c>
      <c r="I459" s="410">
        <f t="shared" si="233"/>
        <v>0</v>
      </c>
      <c r="J459" s="410">
        <v>0</v>
      </c>
      <c r="K459" s="410">
        <v>0</v>
      </c>
      <c r="L459" s="410">
        <f t="shared" si="234"/>
        <v>0</v>
      </c>
      <c r="M459" s="410">
        <v>0</v>
      </c>
      <c r="N459" s="410">
        <v>0</v>
      </c>
    </row>
    <row r="460" spans="1:14" s="434" customFormat="1" ht="15" hidden="1" customHeight="1">
      <c r="A460" s="1022"/>
      <c r="B460" s="1030"/>
      <c r="C460" s="1022"/>
      <c r="D460" s="1030"/>
      <c r="E460" s="1026"/>
      <c r="F460" s="1027"/>
      <c r="G460" s="470" t="s">
        <v>2</v>
      </c>
      <c r="H460" s="446">
        <f t="shared" si="232"/>
        <v>135756</v>
      </c>
      <c r="I460" s="446">
        <f t="shared" si="233"/>
        <v>135756</v>
      </c>
      <c r="J460" s="446">
        <f t="shared" ref="J460:K460" si="237">J458+J459</f>
        <v>135756</v>
      </c>
      <c r="K460" s="446">
        <f t="shared" si="237"/>
        <v>0</v>
      </c>
      <c r="L460" s="446">
        <f t="shared" si="234"/>
        <v>0</v>
      </c>
      <c r="M460" s="446">
        <f t="shared" ref="M460:N460" si="238">M458+M459</f>
        <v>0</v>
      </c>
      <c r="N460" s="446">
        <f t="shared" si="238"/>
        <v>0</v>
      </c>
    </row>
    <row r="461" spans="1:14" s="434" customFormat="1" ht="14.1" customHeight="1">
      <c r="A461" s="1037"/>
      <c r="B461" s="1038"/>
      <c r="C461" s="1037" t="s">
        <v>425</v>
      </c>
      <c r="D461" s="1038"/>
      <c r="E461" s="1024" t="s">
        <v>806</v>
      </c>
      <c r="F461" s="1025"/>
      <c r="G461" s="471" t="s">
        <v>0</v>
      </c>
      <c r="H461" s="410">
        <f t="shared" si="232"/>
        <v>0</v>
      </c>
      <c r="I461" s="410">
        <f t="shared" si="233"/>
        <v>0</v>
      </c>
      <c r="J461" s="410">
        <v>0</v>
      </c>
      <c r="K461" s="410">
        <v>0</v>
      </c>
      <c r="L461" s="410">
        <f t="shared" si="234"/>
        <v>0</v>
      </c>
      <c r="M461" s="410">
        <v>0</v>
      </c>
      <c r="N461" s="410">
        <v>0</v>
      </c>
    </row>
    <row r="462" spans="1:14" s="434" customFormat="1" ht="14.1" customHeight="1">
      <c r="A462" s="1022"/>
      <c r="B462" s="1030"/>
      <c r="C462" s="1022"/>
      <c r="D462" s="1030"/>
      <c r="E462" s="1026"/>
      <c r="F462" s="1027"/>
      <c r="G462" s="471" t="s">
        <v>1</v>
      </c>
      <c r="H462" s="410">
        <f t="shared" si="232"/>
        <v>200000</v>
      </c>
      <c r="I462" s="410">
        <f t="shared" si="233"/>
        <v>200000</v>
      </c>
      <c r="J462" s="410">
        <v>200000</v>
      </c>
      <c r="K462" s="410">
        <v>0</v>
      </c>
      <c r="L462" s="410">
        <f t="shared" si="234"/>
        <v>0</v>
      </c>
      <c r="M462" s="410">
        <v>0</v>
      </c>
      <c r="N462" s="410">
        <v>0</v>
      </c>
    </row>
    <row r="463" spans="1:14" s="434" customFormat="1" ht="14.1" customHeight="1">
      <c r="A463" s="1022"/>
      <c r="B463" s="1030"/>
      <c r="C463" s="1031"/>
      <c r="D463" s="1032"/>
      <c r="E463" s="1028"/>
      <c r="F463" s="1029"/>
      <c r="G463" s="471" t="s">
        <v>2</v>
      </c>
      <c r="H463" s="410">
        <f t="shared" si="232"/>
        <v>200000</v>
      </c>
      <c r="I463" s="410">
        <f t="shared" si="233"/>
        <v>200000</v>
      </c>
      <c r="J463" s="410">
        <f>J461+J462</f>
        <v>200000</v>
      </c>
      <c r="K463" s="410">
        <f>K461+K462</f>
        <v>0</v>
      </c>
      <c r="L463" s="410">
        <f t="shared" si="234"/>
        <v>0</v>
      </c>
      <c r="M463" s="410">
        <f>M461+M462</f>
        <v>0</v>
      </c>
      <c r="N463" s="410">
        <f>N461+N462</f>
        <v>0</v>
      </c>
    </row>
    <row r="464" spans="1:14" s="434" customFormat="1" ht="15" hidden="1" customHeight="1">
      <c r="A464" s="1022"/>
      <c r="B464" s="1023"/>
      <c r="C464" s="1022"/>
      <c r="D464" s="1023"/>
      <c r="E464" s="1041" t="s">
        <v>807</v>
      </c>
      <c r="F464" s="1042"/>
      <c r="G464" s="468" t="s">
        <v>0</v>
      </c>
      <c r="H464" s="472">
        <f t="shared" si="232"/>
        <v>21000</v>
      </c>
      <c r="I464" s="472">
        <f t="shared" si="233"/>
        <v>21000</v>
      </c>
      <c r="J464" s="472">
        <v>0</v>
      </c>
      <c r="K464" s="472">
        <v>21000</v>
      </c>
      <c r="L464" s="472">
        <f t="shared" si="234"/>
        <v>0</v>
      </c>
      <c r="M464" s="472">
        <v>0</v>
      </c>
      <c r="N464" s="472">
        <v>0</v>
      </c>
    </row>
    <row r="465" spans="1:14" s="434" customFormat="1" ht="15" hidden="1" customHeight="1">
      <c r="A465" s="1022"/>
      <c r="B465" s="1030"/>
      <c r="C465" s="1022"/>
      <c r="D465" s="1030"/>
      <c r="E465" s="1026"/>
      <c r="F465" s="1027"/>
      <c r="G465" s="412" t="s">
        <v>1</v>
      </c>
      <c r="H465" s="410">
        <f t="shared" si="232"/>
        <v>0</v>
      </c>
      <c r="I465" s="410">
        <f t="shared" si="233"/>
        <v>0</v>
      </c>
      <c r="J465" s="410">
        <v>0</v>
      </c>
      <c r="K465" s="410">
        <v>0</v>
      </c>
      <c r="L465" s="410">
        <f t="shared" si="234"/>
        <v>0</v>
      </c>
      <c r="M465" s="410">
        <v>0</v>
      </c>
      <c r="N465" s="410">
        <v>0</v>
      </c>
    </row>
    <row r="466" spans="1:14" s="434" customFormat="1" ht="15" hidden="1" customHeight="1">
      <c r="A466" s="1022"/>
      <c r="B466" s="1030"/>
      <c r="C466" s="1031"/>
      <c r="D466" s="1032"/>
      <c r="E466" s="1028"/>
      <c r="F466" s="1029"/>
      <c r="G466" s="412" t="s">
        <v>2</v>
      </c>
      <c r="H466" s="410">
        <f t="shared" si="232"/>
        <v>21000</v>
      </c>
      <c r="I466" s="410">
        <f t="shared" si="233"/>
        <v>21000</v>
      </c>
      <c r="J466" s="410">
        <f t="shared" ref="J466:K466" si="239">J464+J465</f>
        <v>0</v>
      </c>
      <c r="K466" s="410">
        <f t="shared" si="239"/>
        <v>21000</v>
      </c>
      <c r="L466" s="410">
        <f t="shared" si="234"/>
        <v>0</v>
      </c>
      <c r="M466" s="410">
        <f t="shared" ref="M466:N466" si="240">M464+M465</f>
        <v>0</v>
      </c>
      <c r="N466" s="410">
        <f t="shared" si="240"/>
        <v>0</v>
      </c>
    </row>
    <row r="467" spans="1:14" s="434" customFormat="1" ht="15" hidden="1" customHeight="1">
      <c r="A467" s="1022"/>
      <c r="B467" s="1023"/>
      <c r="C467" s="1037" t="s">
        <v>428</v>
      </c>
      <c r="D467" s="1038"/>
      <c r="E467" s="1024" t="s">
        <v>808</v>
      </c>
      <c r="F467" s="1025"/>
      <c r="G467" s="409" t="s">
        <v>0</v>
      </c>
      <c r="H467" s="410">
        <f>I467+L467</f>
        <v>167050</v>
      </c>
      <c r="I467" s="410">
        <f>J467+K467</f>
        <v>167050</v>
      </c>
      <c r="J467" s="410">
        <v>80000</v>
      </c>
      <c r="K467" s="410">
        <v>87050</v>
      </c>
      <c r="L467" s="410">
        <f>M467+N467</f>
        <v>0</v>
      </c>
      <c r="M467" s="410">
        <v>0</v>
      </c>
      <c r="N467" s="410">
        <v>0</v>
      </c>
    </row>
    <row r="468" spans="1:14" s="434" customFormat="1" ht="15" hidden="1" customHeight="1">
      <c r="A468" s="1022"/>
      <c r="B468" s="1030"/>
      <c r="C468" s="1022"/>
      <c r="D468" s="1030"/>
      <c r="E468" s="1026"/>
      <c r="F468" s="1027"/>
      <c r="G468" s="412" t="s">
        <v>1</v>
      </c>
      <c r="H468" s="410">
        <f t="shared" ref="H468:H469" si="241">I468+L468</f>
        <v>0</v>
      </c>
      <c r="I468" s="410">
        <f t="shared" ref="I468:I469" si="242">J468+K468</f>
        <v>0</v>
      </c>
      <c r="J468" s="410">
        <v>0</v>
      </c>
      <c r="K468" s="410">
        <v>0</v>
      </c>
      <c r="L468" s="410">
        <f t="shared" ref="L468:L469" si="243">M468+N468</f>
        <v>0</v>
      </c>
      <c r="M468" s="410">
        <v>0</v>
      </c>
      <c r="N468" s="410">
        <v>0</v>
      </c>
    </row>
    <row r="469" spans="1:14" s="434" customFormat="1" ht="15" hidden="1" customHeight="1">
      <c r="A469" s="1022"/>
      <c r="B469" s="1030"/>
      <c r="C469" s="1022"/>
      <c r="D469" s="1030"/>
      <c r="E469" s="1028"/>
      <c r="F469" s="1029"/>
      <c r="G469" s="412" t="s">
        <v>2</v>
      </c>
      <c r="H469" s="410">
        <f t="shared" si="241"/>
        <v>167050</v>
      </c>
      <c r="I469" s="410">
        <f t="shared" si="242"/>
        <v>167050</v>
      </c>
      <c r="J469" s="410">
        <f t="shared" ref="J469:K469" si="244">J467+J468</f>
        <v>80000</v>
      </c>
      <c r="K469" s="410">
        <f t="shared" si="244"/>
        <v>87050</v>
      </c>
      <c r="L469" s="410">
        <f t="shared" si="243"/>
        <v>0</v>
      </c>
      <c r="M469" s="410">
        <f t="shared" ref="M469:N469" si="245">M467+M468</f>
        <v>0</v>
      </c>
      <c r="N469" s="410">
        <f t="shared" si="245"/>
        <v>0</v>
      </c>
    </row>
    <row r="470" spans="1:14" s="434" customFormat="1" ht="18" hidden="1" customHeight="1">
      <c r="A470" s="1022"/>
      <c r="B470" s="1023"/>
      <c r="C470" s="1022"/>
      <c r="D470" s="1023"/>
      <c r="E470" s="1024" t="s">
        <v>809</v>
      </c>
      <c r="F470" s="1025"/>
      <c r="G470" s="409" t="s">
        <v>0</v>
      </c>
      <c r="H470" s="410">
        <f>I470+L470</f>
        <v>8175022</v>
      </c>
      <c r="I470" s="410">
        <f>J470+K470</f>
        <v>8175022</v>
      </c>
      <c r="J470" s="410">
        <v>7947215</v>
      </c>
      <c r="K470" s="410">
        <v>227807</v>
      </c>
      <c r="L470" s="410">
        <f>M470+N470</f>
        <v>0</v>
      </c>
      <c r="M470" s="410">
        <v>0</v>
      </c>
      <c r="N470" s="410">
        <v>0</v>
      </c>
    </row>
    <row r="471" spans="1:14" s="434" customFormat="1" ht="18" hidden="1" customHeight="1">
      <c r="A471" s="1022"/>
      <c r="B471" s="1030"/>
      <c r="C471" s="1022"/>
      <c r="D471" s="1030"/>
      <c r="E471" s="1026"/>
      <c r="F471" s="1027"/>
      <c r="G471" s="412" t="s">
        <v>1</v>
      </c>
      <c r="H471" s="410">
        <f t="shared" ref="H471:H478" si="246">I471+L471</f>
        <v>0</v>
      </c>
      <c r="I471" s="410">
        <f t="shared" ref="I471:I478" si="247">J471+K471</f>
        <v>0</v>
      </c>
      <c r="J471" s="410">
        <v>0</v>
      </c>
      <c r="K471" s="410">
        <v>0</v>
      </c>
      <c r="L471" s="410">
        <f t="shared" ref="L471:L478" si="248">M471+N471</f>
        <v>0</v>
      </c>
      <c r="M471" s="410">
        <v>0</v>
      </c>
      <c r="N471" s="410">
        <v>0</v>
      </c>
    </row>
    <row r="472" spans="1:14" s="434" customFormat="1" ht="18" hidden="1" customHeight="1">
      <c r="A472" s="1022"/>
      <c r="B472" s="1030"/>
      <c r="C472" s="1022"/>
      <c r="D472" s="1030"/>
      <c r="E472" s="1026"/>
      <c r="F472" s="1027"/>
      <c r="G472" s="470" t="s">
        <v>2</v>
      </c>
      <c r="H472" s="446">
        <f t="shared" si="246"/>
        <v>8175022</v>
      </c>
      <c r="I472" s="446">
        <f t="shared" si="247"/>
        <v>8175022</v>
      </c>
      <c r="J472" s="446">
        <f t="shared" ref="J472:K472" si="249">J470+J471</f>
        <v>7947215</v>
      </c>
      <c r="K472" s="446">
        <f t="shared" si="249"/>
        <v>227807</v>
      </c>
      <c r="L472" s="446">
        <f t="shared" si="248"/>
        <v>0</v>
      </c>
      <c r="M472" s="446">
        <f t="shared" ref="M472:N472" si="250">M470+M471</f>
        <v>0</v>
      </c>
      <c r="N472" s="446">
        <f t="shared" si="250"/>
        <v>0</v>
      </c>
    </row>
    <row r="473" spans="1:14" s="434" customFormat="1" ht="14.1" customHeight="1">
      <c r="A473" s="1022"/>
      <c r="B473" s="1023"/>
      <c r="C473" s="1037" t="s">
        <v>428</v>
      </c>
      <c r="D473" s="1038"/>
      <c r="E473" s="1024" t="s">
        <v>782</v>
      </c>
      <c r="F473" s="1025"/>
      <c r="G473" s="471" t="s">
        <v>0</v>
      </c>
      <c r="H473" s="410">
        <f t="shared" si="246"/>
        <v>0</v>
      </c>
      <c r="I473" s="410">
        <f t="shared" si="247"/>
        <v>0</v>
      </c>
      <c r="J473" s="410">
        <v>0</v>
      </c>
      <c r="K473" s="410">
        <v>0</v>
      </c>
      <c r="L473" s="410">
        <f t="shared" si="248"/>
        <v>0</v>
      </c>
      <c r="M473" s="410">
        <v>0</v>
      </c>
      <c r="N473" s="410">
        <v>0</v>
      </c>
    </row>
    <row r="474" spans="1:14" s="434" customFormat="1" ht="14.1" customHeight="1">
      <c r="A474" s="1022"/>
      <c r="B474" s="1040"/>
      <c r="C474" s="1022"/>
      <c r="D474" s="1040"/>
      <c r="E474" s="1026"/>
      <c r="F474" s="1027"/>
      <c r="G474" s="471" t="s">
        <v>1</v>
      </c>
      <c r="H474" s="410">
        <f t="shared" si="246"/>
        <v>40000</v>
      </c>
      <c r="I474" s="410">
        <f t="shared" si="247"/>
        <v>40000</v>
      </c>
      <c r="J474" s="410">
        <v>0</v>
      </c>
      <c r="K474" s="410">
        <v>40000</v>
      </c>
      <c r="L474" s="410">
        <f t="shared" si="248"/>
        <v>0</v>
      </c>
      <c r="M474" s="410">
        <v>0</v>
      </c>
      <c r="N474" s="410">
        <v>0</v>
      </c>
    </row>
    <row r="475" spans="1:14" s="434" customFormat="1" ht="14.1" customHeight="1">
      <c r="A475" s="1022"/>
      <c r="B475" s="1040"/>
      <c r="C475" s="1022"/>
      <c r="D475" s="1040"/>
      <c r="E475" s="1028"/>
      <c r="F475" s="1029"/>
      <c r="G475" s="471" t="s">
        <v>2</v>
      </c>
      <c r="H475" s="410">
        <f t="shared" si="246"/>
        <v>40000</v>
      </c>
      <c r="I475" s="410">
        <f t="shared" si="247"/>
        <v>40000</v>
      </c>
      <c r="J475" s="410">
        <f>J473+J474</f>
        <v>0</v>
      </c>
      <c r="K475" s="410">
        <f>K473+K474</f>
        <v>40000</v>
      </c>
      <c r="L475" s="410">
        <f t="shared" si="248"/>
        <v>0</v>
      </c>
      <c r="M475" s="410">
        <f>M473+M474</f>
        <v>0</v>
      </c>
      <c r="N475" s="410">
        <f>N473+N474</f>
        <v>0</v>
      </c>
    </row>
    <row r="476" spans="1:14" s="434" customFormat="1" ht="14.1" customHeight="1">
      <c r="A476" s="1022"/>
      <c r="B476" s="1023"/>
      <c r="C476" s="1022"/>
      <c r="D476" s="1023"/>
      <c r="E476" s="1024" t="s">
        <v>810</v>
      </c>
      <c r="F476" s="1025"/>
      <c r="G476" s="409" t="s">
        <v>0</v>
      </c>
      <c r="H476" s="410">
        <f t="shared" si="246"/>
        <v>2869725</v>
      </c>
      <c r="I476" s="410">
        <f t="shared" si="247"/>
        <v>2869725</v>
      </c>
      <c r="J476" s="410">
        <v>2620841</v>
      </c>
      <c r="K476" s="410">
        <v>248884</v>
      </c>
      <c r="L476" s="410">
        <f t="shared" si="248"/>
        <v>0</v>
      </c>
      <c r="M476" s="410">
        <v>0</v>
      </c>
      <c r="N476" s="410">
        <v>0</v>
      </c>
    </row>
    <row r="477" spans="1:14" s="434" customFormat="1" ht="14.1" customHeight="1">
      <c r="A477" s="1022"/>
      <c r="B477" s="1030"/>
      <c r="C477" s="1022"/>
      <c r="D477" s="1030"/>
      <c r="E477" s="1026"/>
      <c r="F477" s="1027"/>
      <c r="G477" s="412" t="s">
        <v>1</v>
      </c>
      <c r="H477" s="410">
        <f t="shared" si="246"/>
        <v>1642395</v>
      </c>
      <c r="I477" s="410">
        <f t="shared" si="247"/>
        <v>1642395</v>
      </c>
      <c r="J477" s="410">
        <v>1344360</v>
      </c>
      <c r="K477" s="410">
        <v>298035</v>
      </c>
      <c r="L477" s="410">
        <f t="shared" si="248"/>
        <v>0</v>
      </c>
      <c r="M477" s="410">
        <v>0</v>
      </c>
      <c r="N477" s="410">
        <v>0</v>
      </c>
    </row>
    <row r="478" spans="1:14" s="434" customFormat="1" ht="14.1" customHeight="1">
      <c r="A478" s="1022"/>
      <c r="B478" s="1030"/>
      <c r="C478" s="1022"/>
      <c r="D478" s="1030"/>
      <c r="E478" s="1028"/>
      <c r="F478" s="1029"/>
      <c r="G478" s="412" t="s">
        <v>2</v>
      </c>
      <c r="H478" s="410">
        <f t="shared" si="246"/>
        <v>4512120</v>
      </c>
      <c r="I478" s="410">
        <f t="shared" si="247"/>
        <v>4512120</v>
      </c>
      <c r="J478" s="410">
        <f t="shared" ref="J478:K478" si="251">J476+J477</f>
        <v>3965201</v>
      </c>
      <c r="K478" s="410">
        <f t="shared" si="251"/>
        <v>546919</v>
      </c>
      <c r="L478" s="410">
        <f t="shared" si="248"/>
        <v>0</v>
      </c>
      <c r="M478" s="410">
        <f t="shared" ref="M478:N478" si="252">M476+M477</f>
        <v>0</v>
      </c>
      <c r="N478" s="410">
        <f t="shared" si="252"/>
        <v>0</v>
      </c>
    </row>
    <row r="479" spans="1:14" s="434" customFormat="1" ht="15" hidden="1" customHeight="1">
      <c r="A479" s="1022"/>
      <c r="B479" s="1023"/>
      <c r="C479" s="1022"/>
      <c r="D479" s="1023"/>
      <c r="E479" s="1024" t="s">
        <v>811</v>
      </c>
      <c r="F479" s="1025"/>
      <c r="G479" s="409" t="s">
        <v>0</v>
      </c>
      <c r="H479" s="410">
        <f>I479+L479</f>
        <v>62426</v>
      </c>
      <c r="I479" s="410">
        <f>J479+K479</f>
        <v>62426</v>
      </c>
      <c r="J479" s="410">
        <v>0</v>
      </c>
      <c r="K479" s="410">
        <v>62426</v>
      </c>
      <c r="L479" s="410">
        <f>M479+N479</f>
        <v>0</v>
      </c>
      <c r="M479" s="410">
        <v>0</v>
      </c>
      <c r="N479" s="410">
        <v>0</v>
      </c>
    </row>
    <row r="480" spans="1:14" s="434" customFormat="1" ht="15" hidden="1" customHeight="1">
      <c r="A480" s="1022"/>
      <c r="B480" s="1030"/>
      <c r="C480" s="1022"/>
      <c r="D480" s="1030"/>
      <c r="E480" s="1026"/>
      <c r="F480" s="1027"/>
      <c r="G480" s="412" t="s">
        <v>1</v>
      </c>
      <c r="H480" s="410">
        <f t="shared" ref="H480:H481" si="253">I480+L480</f>
        <v>0</v>
      </c>
      <c r="I480" s="410">
        <f t="shared" ref="I480:I481" si="254">J480+K480</f>
        <v>0</v>
      </c>
      <c r="J480" s="410">
        <v>0</v>
      </c>
      <c r="K480" s="410">
        <v>0</v>
      </c>
      <c r="L480" s="410">
        <f t="shared" ref="L480:L481" si="255">M480+N480</f>
        <v>0</v>
      </c>
      <c r="M480" s="410">
        <v>0</v>
      </c>
      <c r="N480" s="410">
        <v>0</v>
      </c>
    </row>
    <row r="481" spans="1:14" s="434" customFormat="1" ht="15" hidden="1" customHeight="1">
      <c r="A481" s="1022"/>
      <c r="B481" s="1030"/>
      <c r="C481" s="1022"/>
      <c r="D481" s="1030"/>
      <c r="E481" s="1028"/>
      <c r="F481" s="1029"/>
      <c r="G481" s="412" t="s">
        <v>2</v>
      </c>
      <c r="H481" s="410">
        <f t="shared" si="253"/>
        <v>62426</v>
      </c>
      <c r="I481" s="410">
        <f t="shared" si="254"/>
        <v>62426</v>
      </c>
      <c r="J481" s="410">
        <f t="shared" ref="J481:K481" si="256">J479+J480</f>
        <v>0</v>
      </c>
      <c r="K481" s="410">
        <f t="shared" si="256"/>
        <v>62426</v>
      </c>
      <c r="L481" s="410">
        <f t="shared" si="255"/>
        <v>0</v>
      </c>
      <c r="M481" s="410">
        <f t="shared" ref="M481:N481" si="257">M479+M480</f>
        <v>0</v>
      </c>
      <c r="N481" s="410">
        <f t="shared" si="257"/>
        <v>0</v>
      </c>
    </row>
    <row r="482" spans="1:14" s="434" customFormat="1" ht="15" hidden="1" customHeight="1">
      <c r="A482" s="1022"/>
      <c r="B482" s="1023"/>
      <c r="C482" s="1022"/>
      <c r="D482" s="1023"/>
      <c r="E482" s="1024" t="s">
        <v>812</v>
      </c>
      <c r="F482" s="1025"/>
      <c r="G482" s="409" t="s">
        <v>0</v>
      </c>
      <c r="H482" s="410">
        <f>I482+L482</f>
        <v>149477</v>
      </c>
      <c r="I482" s="410">
        <f>J482+K482</f>
        <v>149477</v>
      </c>
      <c r="J482" s="410">
        <v>149477</v>
      </c>
      <c r="K482" s="410">
        <v>0</v>
      </c>
      <c r="L482" s="410">
        <f>M482+N482</f>
        <v>0</v>
      </c>
      <c r="M482" s="410">
        <v>0</v>
      </c>
      <c r="N482" s="410">
        <v>0</v>
      </c>
    </row>
    <row r="483" spans="1:14" s="434" customFormat="1" ht="15" hidden="1" customHeight="1">
      <c r="A483" s="1022"/>
      <c r="B483" s="1030"/>
      <c r="C483" s="1022"/>
      <c r="D483" s="1030"/>
      <c r="E483" s="1026"/>
      <c r="F483" s="1027"/>
      <c r="G483" s="412" t="s">
        <v>1</v>
      </c>
      <c r="H483" s="410">
        <f t="shared" ref="H483:H484" si="258">I483+L483</f>
        <v>0</v>
      </c>
      <c r="I483" s="410">
        <f t="shared" ref="I483:I484" si="259">J483+K483</f>
        <v>0</v>
      </c>
      <c r="J483" s="410">
        <v>0</v>
      </c>
      <c r="K483" s="410">
        <v>0</v>
      </c>
      <c r="L483" s="410">
        <f t="shared" ref="L483:L484" si="260">M483+N483</f>
        <v>0</v>
      </c>
      <c r="M483" s="410">
        <v>0</v>
      </c>
      <c r="N483" s="410">
        <v>0</v>
      </c>
    </row>
    <row r="484" spans="1:14" s="434" customFormat="1" ht="15" hidden="1" customHeight="1">
      <c r="A484" s="1022"/>
      <c r="B484" s="1030"/>
      <c r="C484" s="1022"/>
      <c r="D484" s="1030"/>
      <c r="E484" s="1028"/>
      <c r="F484" s="1029"/>
      <c r="G484" s="412" t="s">
        <v>2</v>
      </c>
      <c r="H484" s="410">
        <f t="shared" si="258"/>
        <v>149477</v>
      </c>
      <c r="I484" s="410">
        <f t="shared" si="259"/>
        <v>149477</v>
      </c>
      <c r="J484" s="410">
        <f t="shared" ref="J484:K484" si="261">J482+J483</f>
        <v>149477</v>
      </c>
      <c r="K484" s="410">
        <f t="shared" si="261"/>
        <v>0</v>
      </c>
      <c r="L484" s="410">
        <f t="shared" si="260"/>
        <v>0</v>
      </c>
      <c r="M484" s="410">
        <f t="shared" ref="M484:N484" si="262">M482+M483</f>
        <v>0</v>
      </c>
      <c r="N484" s="410">
        <f t="shared" si="262"/>
        <v>0</v>
      </c>
    </row>
    <row r="485" spans="1:14" s="434" customFormat="1" ht="15" hidden="1" customHeight="1">
      <c r="A485" s="1022"/>
      <c r="B485" s="1023"/>
      <c r="C485" s="1022"/>
      <c r="D485" s="1023"/>
      <c r="E485" s="1024" t="s">
        <v>813</v>
      </c>
      <c r="F485" s="1025"/>
      <c r="G485" s="409" t="s">
        <v>0</v>
      </c>
      <c r="H485" s="410">
        <f>I485+L485</f>
        <v>1700</v>
      </c>
      <c r="I485" s="410">
        <f>J485+K485</f>
        <v>1700</v>
      </c>
      <c r="J485" s="410">
        <v>1700</v>
      </c>
      <c r="K485" s="410">
        <v>0</v>
      </c>
      <c r="L485" s="410">
        <f>M485+N485</f>
        <v>0</v>
      </c>
      <c r="M485" s="410">
        <v>0</v>
      </c>
      <c r="N485" s="410">
        <v>0</v>
      </c>
    </row>
    <row r="486" spans="1:14" s="434" customFormat="1" ht="15" hidden="1" customHeight="1">
      <c r="A486" s="1022"/>
      <c r="B486" s="1030"/>
      <c r="C486" s="1022"/>
      <c r="D486" s="1030"/>
      <c r="E486" s="1026"/>
      <c r="F486" s="1027"/>
      <c r="G486" s="412" t="s">
        <v>1</v>
      </c>
      <c r="H486" s="410">
        <f t="shared" ref="H486:H487" si="263">I486+L486</f>
        <v>0</v>
      </c>
      <c r="I486" s="410">
        <f t="shared" ref="I486:I487" si="264">J486+K486</f>
        <v>0</v>
      </c>
      <c r="J486" s="410">
        <v>0</v>
      </c>
      <c r="K486" s="410">
        <v>0</v>
      </c>
      <c r="L486" s="410">
        <f t="shared" ref="L486:L487" si="265">M486+N486</f>
        <v>0</v>
      </c>
      <c r="M486" s="410">
        <v>0</v>
      </c>
      <c r="N486" s="410">
        <v>0</v>
      </c>
    </row>
    <row r="487" spans="1:14" s="434" customFormat="1" ht="15" hidden="1" customHeight="1">
      <c r="A487" s="1022"/>
      <c r="B487" s="1030"/>
      <c r="C487" s="1022"/>
      <c r="D487" s="1030"/>
      <c r="E487" s="1028"/>
      <c r="F487" s="1029"/>
      <c r="G487" s="412" t="s">
        <v>2</v>
      </c>
      <c r="H487" s="410">
        <f t="shared" si="263"/>
        <v>1700</v>
      </c>
      <c r="I487" s="410">
        <f t="shared" si="264"/>
        <v>1700</v>
      </c>
      <c r="J487" s="410">
        <f t="shared" ref="J487:K487" si="266">J485+J486</f>
        <v>1700</v>
      </c>
      <c r="K487" s="410">
        <f t="shared" si="266"/>
        <v>0</v>
      </c>
      <c r="L487" s="410">
        <f t="shared" si="265"/>
        <v>0</v>
      </c>
      <c r="M487" s="410">
        <f t="shared" ref="M487:N487" si="267">M485+M486</f>
        <v>0</v>
      </c>
      <c r="N487" s="410">
        <f t="shared" si="267"/>
        <v>0</v>
      </c>
    </row>
    <row r="488" spans="1:14" s="434" customFormat="1" ht="14.1" customHeight="1">
      <c r="A488" s="1022"/>
      <c r="B488" s="1023"/>
      <c r="C488" s="1022"/>
      <c r="D488" s="1023"/>
      <c r="E488" s="1024" t="s">
        <v>814</v>
      </c>
      <c r="F488" s="1025"/>
      <c r="G488" s="409" t="s">
        <v>0</v>
      </c>
      <c r="H488" s="410">
        <f>I488+L488</f>
        <v>250000</v>
      </c>
      <c r="I488" s="410">
        <f>J488+K488</f>
        <v>250000</v>
      </c>
      <c r="J488" s="410">
        <v>0</v>
      </c>
      <c r="K488" s="410">
        <v>250000</v>
      </c>
      <c r="L488" s="410">
        <f>M488+N488</f>
        <v>0</v>
      </c>
      <c r="M488" s="410">
        <v>0</v>
      </c>
      <c r="N488" s="410">
        <v>0</v>
      </c>
    </row>
    <row r="489" spans="1:14" s="434" customFormat="1" ht="14.1" customHeight="1">
      <c r="A489" s="1022"/>
      <c r="B489" s="1030"/>
      <c r="C489" s="1022"/>
      <c r="D489" s="1030"/>
      <c r="E489" s="1026"/>
      <c r="F489" s="1027"/>
      <c r="G489" s="412" t="s">
        <v>1</v>
      </c>
      <c r="H489" s="410">
        <f t="shared" ref="H489:H490" si="268">I489+L489</f>
        <v>-115400</v>
      </c>
      <c r="I489" s="410">
        <f t="shared" ref="I489:I490" si="269">J489+K489</f>
        <v>-115400</v>
      </c>
      <c r="J489" s="410">
        <v>0</v>
      </c>
      <c r="K489" s="410">
        <v>-115400</v>
      </c>
      <c r="L489" s="410">
        <f t="shared" ref="L489:L490" si="270">M489+N489</f>
        <v>0</v>
      </c>
      <c r="M489" s="410">
        <v>0</v>
      </c>
      <c r="N489" s="410">
        <v>0</v>
      </c>
    </row>
    <row r="490" spans="1:14" s="434" customFormat="1" ht="14.1" customHeight="1">
      <c r="A490" s="1022"/>
      <c r="B490" s="1030"/>
      <c r="C490" s="1022"/>
      <c r="D490" s="1030"/>
      <c r="E490" s="1028"/>
      <c r="F490" s="1029"/>
      <c r="G490" s="412" t="s">
        <v>2</v>
      </c>
      <c r="H490" s="410">
        <f t="shared" si="268"/>
        <v>134600</v>
      </c>
      <c r="I490" s="410">
        <f t="shared" si="269"/>
        <v>134600</v>
      </c>
      <c r="J490" s="410">
        <f t="shared" ref="J490:K490" si="271">J488+J489</f>
        <v>0</v>
      </c>
      <c r="K490" s="410">
        <f t="shared" si="271"/>
        <v>134600</v>
      </c>
      <c r="L490" s="410">
        <f t="shared" si="270"/>
        <v>0</v>
      </c>
      <c r="M490" s="410">
        <f t="shared" ref="M490:N490" si="272">M488+M489</f>
        <v>0</v>
      </c>
      <c r="N490" s="410">
        <f t="shared" si="272"/>
        <v>0</v>
      </c>
    </row>
    <row r="491" spans="1:14" s="434" customFormat="1" ht="14.1" customHeight="1">
      <c r="A491" s="1022"/>
      <c r="B491" s="1023"/>
      <c r="C491" s="1022"/>
      <c r="D491" s="1023"/>
      <c r="E491" s="1024" t="s">
        <v>815</v>
      </c>
      <c r="F491" s="1025"/>
      <c r="G491" s="409" t="s">
        <v>0</v>
      </c>
      <c r="H491" s="410">
        <f>I491+L491</f>
        <v>0</v>
      </c>
      <c r="I491" s="410">
        <f>J491+K491</f>
        <v>0</v>
      </c>
      <c r="J491" s="410">
        <v>0</v>
      </c>
      <c r="K491" s="410">
        <v>0</v>
      </c>
      <c r="L491" s="410">
        <f>M491+N491</f>
        <v>0</v>
      </c>
      <c r="M491" s="410">
        <v>0</v>
      </c>
      <c r="N491" s="410">
        <v>0</v>
      </c>
    </row>
    <row r="492" spans="1:14" s="434" customFormat="1" ht="14.1" customHeight="1">
      <c r="A492" s="1022"/>
      <c r="B492" s="1030"/>
      <c r="C492" s="1022"/>
      <c r="D492" s="1030"/>
      <c r="E492" s="1026"/>
      <c r="F492" s="1027"/>
      <c r="G492" s="412" t="s">
        <v>1</v>
      </c>
      <c r="H492" s="410">
        <f t="shared" ref="H492" si="273">I492+L492</f>
        <v>20000</v>
      </c>
      <c r="I492" s="410">
        <f t="shared" ref="I492:I493" si="274">J492+K492</f>
        <v>20000</v>
      </c>
      <c r="J492" s="410">
        <v>20000</v>
      </c>
      <c r="K492" s="410">
        <v>0</v>
      </c>
      <c r="L492" s="410">
        <f t="shared" ref="L492:L493" si="275">M492+N492</f>
        <v>0</v>
      </c>
      <c r="M492" s="410">
        <v>0</v>
      </c>
      <c r="N492" s="410">
        <v>0</v>
      </c>
    </row>
    <row r="493" spans="1:14" s="434" customFormat="1" ht="14.1" customHeight="1">
      <c r="A493" s="1022"/>
      <c r="B493" s="1030"/>
      <c r="C493" s="1022"/>
      <c r="D493" s="1030"/>
      <c r="E493" s="1028"/>
      <c r="F493" s="1029"/>
      <c r="G493" s="412" t="s">
        <v>2</v>
      </c>
      <c r="H493" s="410">
        <f>I493+L493</f>
        <v>20000</v>
      </c>
      <c r="I493" s="410">
        <f t="shared" si="274"/>
        <v>20000</v>
      </c>
      <c r="J493" s="410">
        <f>J491+J492</f>
        <v>20000</v>
      </c>
      <c r="K493" s="410">
        <f>K491+K492</f>
        <v>0</v>
      </c>
      <c r="L493" s="410">
        <f t="shared" si="275"/>
        <v>0</v>
      </c>
      <c r="M493" s="410">
        <f>M491+M492</f>
        <v>0</v>
      </c>
      <c r="N493" s="410">
        <f>N491+N492</f>
        <v>0</v>
      </c>
    </row>
    <row r="494" spans="1:14" s="434" customFormat="1" ht="14.1" customHeight="1">
      <c r="A494" s="1022"/>
      <c r="B494" s="1023"/>
      <c r="C494" s="1022"/>
      <c r="D494" s="1023"/>
      <c r="E494" s="1024" t="s">
        <v>816</v>
      </c>
      <c r="F494" s="1025"/>
      <c r="G494" s="409" t="s">
        <v>0</v>
      </c>
      <c r="H494" s="410">
        <f>I494+L494</f>
        <v>0</v>
      </c>
      <c r="I494" s="410">
        <f>J494+K494</f>
        <v>0</v>
      </c>
      <c r="J494" s="410">
        <v>0</v>
      </c>
      <c r="K494" s="410">
        <v>0</v>
      </c>
      <c r="L494" s="410">
        <f>M494+N494</f>
        <v>0</v>
      </c>
      <c r="M494" s="410">
        <v>0</v>
      </c>
      <c r="N494" s="410">
        <v>0</v>
      </c>
    </row>
    <row r="495" spans="1:14" s="434" customFormat="1" ht="14.1" customHeight="1">
      <c r="A495" s="1022"/>
      <c r="B495" s="1030"/>
      <c r="C495" s="1022"/>
      <c r="D495" s="1030"/>
      <c r="E495" s="1026"/>
      <c r="F495" s="1027"/>
      <c r="G495" s="412" t="s">
        <v>1</v>
      </c>
      <c r="H495" s="410">
        <f t="shared" ref="H495" si="276">I495+L495</f>
        <v>341801</v>
      </c>
      <c r="I495" s="410">
        <f t="shared" ref="I495:I496" si="277">J495+K495</f>
        <v>341801</v>
      </c>
      <c r="J495" s="410">
        <v>46257</v>
      </c>
      <c r="K495" s="410">
        <v>295544</v>
      </c>
      <c r="L495" s="410">
        <f t="shared" ref="L495:L496" si="278">M495+N495</f>
        <v>0</v>
      </c>
      <c r="M495" s="410">
        <v>0</v>
      </c>
      <c r="N495" s="410">
        <v>0</v>
      </c>
    </row>
    <row r="496" spans="1:14" s="434" customFormat="1" ht="14.1" customHeight="1">
      <c r="A496" s="1022"/>
      <c r="B496" s="1030"/>
      <c r="C496" s="1031"/>
      <c r="D496" s="1032"/>
      <c r="E496" s="1028"/>
      <c r="F496" s="1029"/>
      <c r="G496" s="412" t="s">
        <v>2</v>
      </c>
      <c r="H496" s="410">
        <f>I496+L496</f>
        <v>341801</v>
      </c>
      <c r="I496" s="410">
        <f t="shared" si="277"/>
        <v>341801</v>
      </c>
      <c r="J496" s="410">
        <f>J494+J495</f>
        <v>46257</v>
      </c>
      <c r="K496" s="410">
        <f>K494+K495</f>
        <v>295544</v>
      </c>
      <c r="L496" s="410">
        <f t="shared" si="278"/>
        <v>0</v>
      </c>
      <c r="M496" s="410">
        <f>M494+M495</f>
        <v>0</v>
      </c>
      <c r="N496" s="410">
        <f>N494+N495</f>
        <v>0</v>
      </c>
    </row>
    <row r="497" spans="1:14" s="434" customFormat="1" ht="15" hidden="1" customHeight="1">
      <c r="A497" s="1022"/>
      <c r="B497" s="1023"/>
      <c r="C497" s="1037" t="s">
        <v>436</v>
      </c>
      <c r="D497" s="1038"/>
      <c r="E497" s="1024" t="s">
        <v>817</v>
      </c>
      <c r="F497" s="1025"/>
      <c r="G497" s="409" t="s">
        <v>0</v>
      </c>
      <c r="H497" s="410">
        <f t="shared" si="76"/>
        <v>100000</v>
      </c>
      <c r="I497" s="410">
        <f t="shared" si="77"/>
        <v>100000</v>
      </c>
      <c r="J497" s="410">
        <v>0</v>
      </c>
      <c r="K497" s="410">
        <v>100000</v>
      </c>
      <c r="L497" s="410">
        <f t="shared" si="78"/>
        <v>0</v>
      </c>
      <c r="M497" s="410">
        <v>0</v>
      </c>
      <c r="N497" s="410">
        <v>0</v>
      </c>
    </row>
    <row r="498" spans="1:14" s="434" customFormat="1" ht="15" hidden="1" customHeight="1">
      <c r="A498" s="1022"/>
      <c r="B498" s="1030"/>
      <c r="C498" s="1022"/>
      <c r="D498" s="1030"/>
      <c r="E498" s="1026"/>
      <c r="F498" s="1027"/>
      <c r="G498" s="412" t="s">
        <v>1</v>
      </c>
      <c r="H498" s="410">
        <f t="shared" si="76"/>
        <v>0</v>
      </c>
      <c r="I498" s="410">
        <f t="shared" si="77"/>
        <v>0</v>
      </c>
      <c r="J498" s="410">
        <v>0</v>
      </c>
      <c r="K498" s="410">
        <v>0</v>
      </c>
      <c r="L498" s="410">
        <f t="shared" si="78"/>
        <v>0</v>
      </c>
      <c r="M498" s="410">
        <v>0</v>
      </c>
      <c r="N498" s="410">
        <v>0</v>
      </c>
    </row>
    <row r="499" spans="1:14" s="434" customFormat="1" ht="15" hidden="1" customHeight="1">
      <c r="A499" s="1022"/>
      <c r="B499" s="1030"/>
      <c r="C499" s="1022"/>
      <c r="D499" s="1030"/>
      <c r="E499" s="1028"/>
      <c r="F499" s="1029"/>
      <c r="G499" s="412" t="s">
        <v>2</v>
      </c>
      <c r="H499" s="410">
        <f t="shared" si="76"/>
        <v>100000</v>
      </c>
      <c r="I499" s="410">
        <f t="shared" si="77"/>
        <v>100000</v>
      </c>
      <c r="J499" s="410">
        <f t="shared" ref="J499:K499" si="279">J497+J498</f>
        <v>0</v>
      </c>
      <c r="K499" s="410">
        <f t="shared" si="279"/>
        <v>100000</v>
      </c>
      <c r="L499" s="410">
        <f t="shared" si="78"/>
        <v>0</v>
      </c>
      <c r="M499" s="410">
        <f t="shared" ref="M499:N499" si="280">M497+M498</f>
        <v>0</v>
      </c>
      <c r="N499" s="410">
        <f t="shared" si="280"/>
        <v>0</v>
      </c>
    </row>
    <row r="500" spans="1:14" s="434" customFormat="1" ht="15" hidden="1" customHeight="1">
      <c r="A500" s="1022"/>
      <c r="B500" s="1023"/>
      <c r="C500" s="1022"/>
      <c r="D500" s="1023"/>
      <c r="E500" s="1024" t="s">
        <v>818</v>
      </c>
      <c r="F500" s="1025"/>
      <c r="G500" s="409" t="s">
        <v>0</v>
      </c>
      <c r="H500" s="410">
        <f t="shared" si="76"/>
        <v>961848</v>
      </c>
      <c r="I500" s="410">
        <f t="shared" si="77"/>
        <v>961848</v>
      </c>
      <c r="J500" s="410">
        <v>961848</v>
      </c>
      <c r="K500" s="410">
        <v>0</v>
      </c>
      <c r="L500" s="410">
        <f t="shared" si="78"/>
        <v>0</v>
      </c>
      <c r="M500" s="410">
        <v>0</v>
      </c>
      <c r="N500" s="410">
        <v>0</v>
      </c>
    </row>
    <row r="501" spans="1:14" s="434" customFormat="1" ht="15" hidden="1" customHeight="1">
      <c r="A501" s="1022"/>
      <c r="B501" s="1030"/>
      <c r="C501" s="1022"/>
      <c r="D501" s="1030"/>
      <c r="E501" s="1026"/>
      <c r="F501" s="1027"/>
      <c r="G501" s="412" t="s">
        <v>1</v>
      </c>
      <c r="H501" s="410">
        <f t="shared" si="76"/>
        <v>0</v>
      </c>
      <c r="I501" s="410">
        <f t="shared" si="77"/>
        <v>0</v>
      </c>
      <c r="J501" s="410">
        <v>0</v>
      </c>
      <c r="K501" s="410">
        <v>0</v>
      </c>
      <c r="L501" s="410">
        <f t="shared" si="78"/>
        <v>0</v>
      </c>
      <c r="M501" s="410">
        <v>0</v>
      </c>
      <c r="N501" s="410">
        <v>0</v>
      </c>
    </row>
    <row r="502" spans="1:14" s="434" customFormat="1" ht="15" hidden="1" customHeight="1">
      <c r="A502" s="1022"/>
      <c r="B502" s="1030"/>
      <c r="C502" s="1022"/>
      <c r="D502" s="1030"/>
      <c r="E502" s="1028"/>
      <c r="F502" s="1029"/>
      <c r="G502" s="412" t="s">
        <v>2</v>
      </c>
      <c r="H502" s="410">
        <f t="shared" si="76"/>
        <v>961848</v>
      </c>
      <c r="I502" s="410">
        <f t="shared" si="77"/>
        <v>961848</v>
      </c>
      <c r="J502" s="410">
        <f t="shared" ref="J502:K502" si="281">J500+J501</f>
        <v>961848</v>
      </c>
      <c r="K502" s="410">
        <f t="shared" si="281"/>
        <v>0</v>
      </c>
      <c r="L502" s="410">
        <f t="shared" si="78"/>
        <v>0</v>
      </c>
      <c r="M502" s="410">
        <f t="shared" ref="M502:N502" si="282">M500+M501</f>
        <v>0</v>
      </c>
      <c r="N502" s="410">
        <f t="shared" si="282"/>
        <v>0</v>
      </c>
    </row>
    <row r="503" spans="1:14" s="434" customFormat="1" ht="15" hidden="1" customHeight="1">
      <c r="A503" s="1022"/>
      <c r="B503" s="1023"/>
      <c r="C503" s="1022"/>
      <c r="D503" s="1023"/>
      <c r="E503" s="1024" t="s">
        <v>819</v>
      </c>
      <c r="F503" s="1025"/>
      <c r="G503" s="409" t="s">
        <v>0</v>
      </c>
      <c r="H503" s="410">
        <f t="shared" si="76"/>
        <v>39574</v>
      </c>
      <c r="I503" s="410">
        <f t="shared" si="77"/>
        <v>39574</v>
      </c>
      <c r="J503" s="410">
        <v>26094</v>
      </c>
      <c r="K503" s="410">
        <v>13480</v>
      </c>
      <c r="L503" s="410">
        <f t="shared" si="78"/>
        <v>0</v>
      </c>
      <c r="M503" s="410">
        <v>0</v>
      </c>
      <c r="N503" s="410">
        <v>0</v>
      </c>
    </row>
    <row r="504" spans="1:14" s="434" customFormat="1" ht="15" hidden="1" customHeight="1">
      <c r="A504" s="1022"/>
      <c r="B504" s="1030"/>
      <c r="C504" s="1022"/>
      <c r="D504" s="1030"/>
      <c r="E504" s="1026"/>
      <c r="F504" s="1027"/>
      <c r="G504" s="412" t="s">
        <v>1</v>
      </c>
      <c r="H504" s="410">
        <f t="shared" si="76"/>
        <v>0</v>
      </c>
      <c r="I504" s="410">
        <f t="shared" si="77"/>
        <v>0</v>
      </c>
      <c r="J504" s="410">
        <v>0</v>
      </c>
      <c r="K504" s="410">
        <v>0</v>
      </c>
      <c r="L504" s="410">
        <f t="shared" si="78"/>
        <v>0</v>
      </c>
      <c r="M504" s="410">
        <v>0</v>
      </c>
      <c r="N504" s="410">
        <v>0</v>
      </c>
    </row>
    <row r="505" spans="1:14" s="434" customFormat="1" ht="15" hidden="1" customHeight="1">
      <c r="A505" s="1022"/>
      <c r="B505" s="1030"/>
      <c r="C505" s="1022"/>
      <c r="D505" s="1030"/>
      <c r="E505" s="1028"/>
      <c r="F505" s="1029"/>
      <c r="G505" s="412" t="s">
        <v>2</v>
      </c>
      <c r="H505" s="410">
        <f t="shared" si="76"/>
        <v>39574</v>
      </c>
      <c r="I505" s="410">
        <f t="shared" si="77"/>
        <v>39574</v>
      </c>
      <c r="J505" s="410">
        <f t="shared" ref="J505:K505" si="283">J503+J504</f>
        <v>26094</v>
      </c>
      <c r="K505" s="410">
        <f t="shared" si="283"/>
        <v>13480</v>
      </c>
      <c r="L505" s="410">
        <f t="shared" si="78"/>
        <v>0</v>
      </c>
      <c r="M505" s="410">
        <f t="shared" ref="M505:N505" si="284">M503+M504</f>
        <v>0</v>
      </c>
      <c r="N505" s="410">
        <f t="shared" si="284"/>
        <v>0</v>
      </c>
    </row>
    <row r="506" spans="1:14" s="434" customFormat="1" ht="14.1" customHeight="1">
      <c r="A506" s="1022"/>
      <c r="B506" s="1023"/>
      <c r="C506" s="1022" t="s">
        <v>436</v>
      </c>
      <c r="D506" s="1023"/>
      <c r="E506" s="1024" t="s">
        <v>820</v>
      </c>
      <c r="F506" s="1025"/>
      <c r="G506" s="409" t="s">
        <v>0</v>
      </c>
      <c r="H506" s="410">
        <f>I506+L506</f>
        <v>0</v>
      </c>
      <c r="I506" s="410">
        <f>J506+K506</f>
        <v>0</v>
      </c>
      <c r="J506" s="410">
        <v>0</v>
      </c>
      <c r="K506" s="410">
        <v>0</v>
      </c>
      <c r="L506" s="410">
        <f>M506+N506</f>
        <v>0</v>
      </c>
      <c r="M506" s="410">
        <v>0</v>
      </c>
      <c r="N506" s="410">
        <v>0</v>
      </c>
    </row>
    <row r="507" spans="1:14" s="434" customFormat="1" ht="14.1" customHeight="1">
      <c r="A507" s="1022"/>
      <c r="B507" s="1030"/>
      <c r="C507" s="1022"/>
      <c r="D507" s="1030"/>
      <c r="E507" s="1026"/>
      <c r="F507" s="1027"/>
      <c r="G507" s="412" t="s">
        <v>1</v>
      </c>
      <c r="H507" s="410">
        <f t="shared" ref="H507" si="285">I507+L507</f>
        <v>93749</v>
      </c>
      <c r="I507" s="410">
        <f t="shared" ref="I507:I508" si="286">J507+K507</f>
        <v>93749</v>
      </c>
      <c r="J507" s="410">
        <v>0</v>
      </c>
      <c r="K507" s="410">
        <v>93749</v>
      </c>
      <c r="L507" s="410">
        <f t="shared" ref="L507:L508" si="287">M507+N507</f>
        <v>0</v>
      </c>
      <c r="M507" s="410">
        <v>0</v>
      </c>
      <c r="N507" s="410">
        <v>0</v>
      </c>
    </row>
    <row r="508" spans="1:14" s="434" customFormat="1" ht="14.1" customHeight="1">
      <c r="A508" s="1022"/>
      <c r="B508" s="1030"/>
      <c r="C508" s="1022"/>
      <c r="D508" s="1030"/>
      <c r="E508" s="1028"/>
      <c r="F508" s="1029"/>
      <c r="G508" s="412" t="s">
        <v>2</v>
      </c>
      <c r="H508" s="410">
        <f>I508+L508</f>
        <v>93749</v>
      </c>
      <c r="I508" s="410">
        <f t="shared" si="286"/>
        <v>93749</v>
      </c>
      <c r="J508" s="410">
        <f>J506+J507</f>
        <v>0</v>
      </c>
      <c r="K508" s="410">
        <f>K506+K507</f>
        <v>93749</v>
      </c>
      <c r="L508" s="410">
        <f t="shared" si="287"/>
        <v>0</v>
      </c>
      <c r="M508" s="410">
        <f>M506+M507</f>
        <v>0</v>
      </c>
      <c r="N508" s="410">
        <f>N506+N507</f>
        <v>0</v>
      </c>
    </row>
    <row r="509" spans="1:14" s="434" customFormat="1" ht="15" hidden="1" customHeight="1">
      <c r="A509" s="1022"/>
      <c r="B509" s="1023"/>
      <c r="C509" s="1022"/>
      <c r="D509" s="1023"/>
      <c r="E509" s="1024" t="s">
        <v>821</v>
      </c>
      <c r="F509" s="1025"/>
      <c r="G509" s="409" t="s">
        <v>0</v>
      </c>
      <c r="H509" s="410">
        <f>I509+L509</f>
        <v>190000</v>
      </c>
      <c r="I509" s="410">
        <f>J509+K509</f>
        <v>190000</v>
      </c>
      <c r="J509" s="410">
        <v>190000</v>
      </c>
      <c r="K509" s="410">
        <v>0</v>
      </c>
      <c r="L509" s="410">
        <f>M509+N509</f>
        <v>0</v>
      </c>
      <c r="M509" s="410">
        <v>0</v>
      </c>
      <c r="N509" s="410">
        <v>0</v>
      </c>
    </row>
    <row r="510" spans="1:14" s="434" customFormat="1" ht="15" hidden="1" customHeight="1">
      <c r="A510" s="1022"/>
      <c r="B510" s="1030"/>
      <c r="C510" s="1022"/>
      <c r="D510" s="1030"/>
      <c r="E510" s="1026"/>
      <c r="F510" s="1027"/>
      <c r="G510" s="412" t="s">
        <v>1</v>
      </c>
      <c r="H510" s="410">
        <f t="shared" ref="H510:H511" si="288">I510+L510</f>
        <v>0</v>
      </c>
      <c r="I510" s="410">
        <f t="shared" ref="I510:I511" si="289">J510+K510</f>
        <v>0</v>
      </c>
      <c r="J510" s="410">
        <v>0</v>
      </c>
      <c r="K510" s="410">
        <v>0</v>
      </c>
      <c r="L510" s="410">
        <f t="shared" ref="L510:L511" si="290">M510+N510</f>
        <v>0</v>
      </c>
      <c r="M510" s="410">
        <v>0</v>
      </c>
      <c r="N510" s="410">
        <v>0</v>
      </c>
    </row>
    <row r="511" spans="1:14" s="434" customFormat="1" ht="15" hidden="1" customHeight="1">
      <c r="A511" s="1022"/>
      <c r="B511" s="1030"/>
      <c r="C511" s="1022"/>
      <c r="D511" s="1030"/>
      <c r="E511" s="1028"/>
      <c r="F511" s="1029"/>
      <c r="G511" s="412" t="s">
        <v>2</v>
      </c>
      <c r="H511" s="410">
        <f t="shared" si="288"/>
        <v>190000</v>
      </c>
      <c r="I511" s="410">
        <f t="shared" si="289"/>
        <v>190000</v>
      </c>
      <c r="J511" s="410">
        <f t="shared" ref="J511:K511" si="291">J509+J510</f>
        <v>190000</v>
      </c>
      <c r="K511" s="410">
        <f t="shared" si="291"/>
        <v>0</v>
      </c>
      <c r="L511" s="410">
        <f t="shared" si="290"/>
        <v>0</v>
      </c>
      <c r="M511" s="410">
        <f t="shared" ref="M511:N511" si="292">M509+M510</f>
        <v>0</v>
      </c>
      <c r="N511" s="410">
        <f t="shared" si="292"/>
        <v>0</v>
      </c>
    </row>
    <row r="512" spans="1:14" s="434" customFormat="1" ht="14.1" customHeight="1">
      <c r="A512" s="1022"/>
      <c r="B512" s="1023"/>
      <c r="C512" s="1022"/>
      <c r="D512" s="1023"/>
      <c r="E512" s="1024" t="s">
        <v>822</v>
      </c>
      <c r="F512" s="1025"/>
      <c r="G512" s="409" t="s">
        <v>0</v>
      </c>
      <c r="H512" s="410">
        <f>I512+L512</f>
        <v>0</v>
      </c>
      <c r="I512" s="410">
        <f>J512+K512</f>
        <v>0</v>
      </c>
      <c r="J512" s="410">
        <v>0</v>
      </c>
      <c r="K512" s="410">
        <v>0</v>
      </c>
      <c r="L512" s="410">
        <f>M512+N512</f>
        <v>0</v>
      </c>
      <c r="M512" s="410">
        <v>0</v>
      </c>
      <c r="N512" s="410">
        <v>0</v>
      </c>
    </row>
    <row r="513" spans="1:14" s="434" customFormat="1" ht="14.1" customHeight="1">
      <c r="A513" s="1022"/>
      <c r="B513" s="1030"/>
      <c r="C513" s="1022"/>
      <c r="D513" s="1030"/>
      <c r="E513" s="1026"/>
      <c r="F513" s="1027"/>
      <c r="G513" s="412" t="s">
        <v>1</v>
      </c>
      <c r="H513" s="410">
        <f t="shared" ref="H513:H514" si="293">I513+L513</f>
        <v>546566</v>
      </c>
      <c r="I513" s="410">
        <f t="shared" ref="I513:I514" si="294">J513+K513</f>
        <v>546566</v>
      </c>
      <c r="J513" s="410">
        <v>546566</v>
      </c>
      <c r="K513" s="410">
        <v>0</v>
      </c>
      <c r="L513" s="410">
        <f t="shared" ref="L513:L514" si="295">M513+N513</f>
        <v>0</v>
      </c>
      <c r="M513" s="410">
        <v>0</v>
      </c>
      <c r="N513" s="410">
        <v>0</v>
      </c>
    </row>
    <row r="514" spans="1:14" s="434" customFormat="1" ht="14.1" customHeight="1">
      <c r="A514" s="1022"/>
      <c r="B514" s="1030"/>
      <c r="C514" s="1022"/>
      <c r="D514" s="1030"/>
      <c r="E514" s="1028"/>
      <c r="F514" s="1029"/>
      <c r="G514" s="412" t="s">
        <v>2</v>
      </c>
      <c r="H514" s="410">
        <f t="shared" si="293"/>
        <v>546566</v>
      </c>
      <c r="I514" s="410">
        <f t="shared" si="294"/>
        <v>546566</v>
      </c>
      <c r="J514" s="410">
        <f t="shared" ref="J514:K514" si="296">J512+J513</f>
        <v>546566</v>
      </c>
      <c r="K514" s="410">
        <f t="shared" si="296"/>
        <v>0</v>
      </c>
      <c r="L514" s="410">
        <f t="shared" si="295"/>
        <v>0</v>
      </c>
      <c r="M514" s="410">
        <f t="shared" ref="M514:N514" si="297">M512+M513</f>
        <v>0</v>
      </c>
      <c r="N514" s="410">
        <f t="shared" si="297"/>
        <v>0</v>
      </c>
    </row>
    <row r="515" spans="1:14" s="434" customFormat="1" ht="14.1" customHeight="1">
      <c r="A515" s="1022"/>
      <c r="B515" s="1023"/>
      <c r="C515" s="1022"/>
      <c r="D515" s="1023"/>
      <c r="E515" s="1024" t="s">
        <v>823</v>
      </c>
      <c r="F515" s="1025"/>
      <c r="G515" s="409" t="s">
        <v>0</v>
      </c>
      <c r="H515" s="410">
        <f>I515+L515</f>
        <v>0</v>
      </c>
      <c r="I515" s="410">
        <f>J515+K515</f>
        <v>0</v>
      </c>
      <c r="J515" s="410">
        <v>0</v>
      </c>
      <c r="K515" s="410">
        <v>0</v>
      </c>
      <c r="L515" s="410">
        <f>M515+N515</f>
        <v>0</v>
      </c>
      <c r="M515" s="410">
        <v>0</v>
      </c>
      <c r="N515" s="410">
        <v>0</v>
      </c>
    </row>
    <row r="516" spans="1:14" s="434" customFormat="1" ht="14.1" customHeight="1">
      <c r="A516" s="1022"/>
      <c r="B516" s="1030"/>
      <c r="C516" s="1022"/>
      <c r="D516" s="1030"/>
      <c r="E516" s="1026"/>
      <c r="F516" s="1027"/>
      <c r="G516" s="412" t="s">
        <v>1</v>
      </c>
      <c r="H516" s="410">
        <f t="shared" ref="H516:H517" si="298">I516+L516</f>
        <v>60000</v>
      </c>
      <c r="I516" s="410">
        <f t="shared" ref="I516:I517" si="299">J516+K516</f>
        <v>60000</v>
      </c>
      <c r="J516" s="410">
        <v>0</v>
      </c>
      <c r="K516" s="410">
        <v>60000</v>
      </c>
      <c r="L516" s="410">
        <f t="shared" ref="L516:L517" si="300">M516+N516</f>
        <v>0</v>
      </c>
      <c r="M516" s="410">
        <v>0</v>
      </c>
      <c r="N516" s="410">
        <v>0</v>
      </c>
    </row>
    <row r="517" spans="1:14" s="434" customFormat="1" ht="14.1" customHeight="1">
      <c r="A517" s="1022"/>
      <c r="B517" s="1030"/>
      <c r="C517" s="1022"/>
      <c r="D517" s="1030"/>
      <c r="E517" s="1028"/>
      <c r="F517" s="1029"/>
      <c r="G517" s="412" t="s">
        <v>2</v>
      </c>
      <c r="H517" s="410">
        <f t="shared" si="298"/>
        <v>60000</v>
      </c>
      <c r="I517" s="410">
        <f t="shared" si="299"/>
        <v>60000</v>
      </c>
      <c r="J517" s="410">
        <f t="shared" ref="J517:K517" si="301">J515+J516</f>
        <v>0</v>
      </c>
      <c r="K517" s="410">
        <f t="shared" si="301"/>
        <v>60000</v>
      </c>
      <c r="L517" s="410">
        <f t="shared" si="300"/>
        <v>0</v>
      </c>
      <c r="M517" s="410">
        <f t="shared" ref="M517:N517" si="302">M515+M516</f>
        <v>0</v>
      </c>
      <c r="N517" s="410">
        <f t="shared" si="302"/>
        <v>0</v>
      </c>
    </row>
    <row r="518" spans="1:14" s="434" customFormat="1" ht="15" hidden="1" customHeight="1">
      <c r="A518" s="1022"/>
      <c r="B518" s="1023"/>
      <c r="C518" s="1022"/>
      <c r="D518" s="1023"/>
      <c r="E518" s="1024" t="s">
        <v>824</v>
      </c>
      <c r="F518" s="1025"/>
      <c r="G518" s="409" t="s">
        <v>0</v>
      </c>
      <c r="H518" s="410">
        <f>I518+L518</f>
        <v>2374250</v>
      </c>
      <c r="I518" s="410">
        <f>J518+K518</f>
        <v>2374250</v>
      </c>
      <c r="J518" s="410">
        <v>2374250</v>
      </c>
      <c r="K518" s="410">
        <v>0</v>
      </c>
      <c r="L518" s="410">
        <f>M518+N518</f>
        <v>0</v>
      </c>
      <c r="M518" s="410">
        <v>0</v>
      </c>
      <c r="N518" s="410">
        <v>0</v>
      </c>
    </row>
    <row r="519" spans="1:14" s="434" customFormat="1" ht="15" hidden="1" customHeight="1">
      <c r="A519" s="1022"/>
      <c r="B519" s="1030"/>
      <c r="C519" s="1022"/>
      <c r="D519" s="1030"/>
      <c r="E519" s="1026"/>
      <c r="F519" s="1027"/>
      <c r="G519" s="412" t="s">
        <v>1</v>
      </c>
      <c r="H519" s="410">
        <f t="shared" ref="H519:H520" si="303">I519+L519</f>
        <v>0</v>
      </c>
      <c r="I519" s="410">
        <f t="shared" ref="I519:I520" si="304">J519+K519</f>
        <v>0</v>
      </c>
      <c r="J519" s="410">
        <v>0</v>
      </c>
      <c r="K519" s="410">
        <v>0</v>
      </c>
      <c r="L519" s="410">
        <f t="shared" ref="L519:L520" si="305">M519+N519</f>
        <v>0</v>
      </c>
      <c r="M519" s="410">
        <v>0</v>
      </c>
      <c r="N519" s="410">
        <v>0</v>
      </c>
    </row>
    <row r="520" spans="1:14" s="434" customFormat="1" ht="15" hidden="1" customHeight="1">
      <c r="A520" s="1022"/>
      <c r="B520" s="1030"/>
      <c r="C520" s="1022"/>
      <c r="D520" s="1030"/>
      <c r="E520" s="1028"/>
      <c r="F520" s="1029"/>
      <c r="G520" s="412" t="s">
        <v>2</v>
      </c>
      <c r="H520" s="410">
        <f t="shared" si="303"/>
        <v>2374250</v>
      </c>
      <c r="I520" s="410">
        <f t="shared" si="304"/>
        <v>2374250</v>
      </c>
      <c r="J520" s="410">
        <f t="shared" ref="J520:K520" si="306">J518+J519</f>
        <v>2374250</v>
      </c>
      <c r="K520" s="410">
        <f t="shared" si="306"/>
        <v>0</v>
      </c>
      <c r="L520" s="410">
        <f t="shared" si="305"/>
        <v>0</v>
      </c>
      <c r="M520" s="410">
        <f t="shared" ref="M520:N520" si="307">M518+M519</f>
        <v>0</v>
      </c>
      <c r="N520" s="410">
        <f t="shared" si="307"/>
        <v>0</v>
      </c>
    </row>
    <row r="521" spans="1:14" s="434" customFormat="1" ht="15" hidden="1" customHeight="1">
      <c r="A521" s="1022"/>
      <c r="B521" s="1023"/>
      <c r="C521" s="1022"/>
      <c r="D521" s="1023"/>
      <c r="E521" s="1024" t="s">
        <v>825</v>
      </c>
      <c r="F521" s="1025"/>
      <c r="G521" s="409" t="s">
        <v>0</v>
      </c>
      <c r="H521" s="410">
        <f>I521+L521</f>
        <v>100000</v>
      </c>
      <c r="I521" s="410">
        <f>J521+K521</f>
        <v>100000</v>
      </c>
      <c r="J521" s="410">
        <v>0</v>
      </c>
      <c r="K521" s="410">
        <v>100000</v>
      </c>
      <c r="L521" s="410">
        <f>M521+N521</f>
        <v>0</v>
      </c>
      <c r="M521" s="410">
        <v>0</v>
      </c>
      <c r="N521" s="410">
        <v>0</v>
      </c>
    </row>
    <row r="522" spans="1:14" s="434" customFormat="1" ht="15" hidden="1" customHeight="1">
      <c r="A522" s="1022"/>
      <c r="B522" s="1030"/>
      <c r="C522" s="1022"/>
      <c r="D522" s="1030"/>
      <c r="E522" s="1026"/>
      <c r="F522" s="1027"/>
      <c r="G522" s="412" t="s">
        <v>1</v>
      </c>
      <c r="H522" s="410">
        <f t="shared" ref="H522:H523" si="308">I522+L522</f>
        <v>0</v>
      </c>
      <c r="I522" s="410">
        <f t="shared" ref="I522:I523" si="309">J522+K522</f>
        <v>0</v>
      </c>
      <c r="J522" s="410">
        <v>0</v>
      </c>
      <c r="K522" s="410">
        <v>0</v>
      </c>
      <c r="L522" s="410">
        <f t="shared" ref="L522:L523" si="310">M522+N522</f>
        <v>0</v>
      </c>
      <c r="M522" s="410">
        <v>0</v>
      </c>
      <c r="N522" s="410">
        <v>0</v>
      </c>
    </row>
    <row r="523" spans="1:14" s="434" customFormat="1" ht="15" hidden="1" customHeight="1">
      <c r="A523" s="1022"/>
      <c r="B523" s="1030"/>
      <c r="C523" s="1022"/>
      <c r="D523" s="1030"/>
      <c r="E523" s="1028"/>
      <c r="F523" s="1029"/>
      <c r="G523" s="412" t="s">
        <v>2</v>
      </c>
      <c r="H523" s="410">
        <f t="shared" si="308"/>
        <v>100000</v>
      </c>
      <c r="I523" s="410">
        <f t="shared" si="309"/>
        <v>100000</v>
      </c>
      <c r="J523" s="410">
        <f t="shared" ref="J523:K523" si="311">J521+J522</f>
        <v>0</v>
      </c>
      <c r="K523" s="410">
        <f t="shared" si="311"/>
        <v>100000</v>
      </c>
      <c r="L523" s="410">
        <f t="shared" si="310"/>
        <v>0</v>
      </c>
      <c r="M523" s="410">
        <f t="shared" ref="M523:N523" si="312">M521+M522</f>
        <v>0</v>
      </c>
      <c r="N523" s="410">
        <f t="shared" si="312"/>
        <v>0</v>
      </c>
    </row>
    <row r="524" spans="1:14" s="434" customFormat="1" ht="15" hidden="1" customHeight="1">
      <c r="A524" s="1022"/>
      <c r="B524" s="1023"/>
      <c r="C524" s="1022"/>
      <c r="D524" s="1023"/>
      <c r="E524" s="1024" t="s">
        <v>826</v>
      </c>
      <c r="F524" s="1025"/>
      <c r="G524" s="409" t="s">
        <v>0</v>
      </c>
      <c r="H524" s="410">
        <f>I524+L524</f>
        <v>48000</v>
      </c>
      <c r="I524" s="410">
        <f>J524+K524</f>
        <v>48000</v>
      </c>
      <c r="J524" s="410">
        <v>48000</v>
      </c>
      <c r="K524" s="410">
        <v>0</v>
      </c>
      <c r="L524" s="410">
        <f>M524+N524</f>
        <v>0</v>
      </c>
      <c r="M524" s="410">
        <v>0</v>
      </c>
      <c r="N524" s="410">
        <v>0</v>
      </c>
    </row>
    <row r="525" spans="1:14" s="434" customFormat="1" ht="15" hidden="1" customHeight="1">
      <c r="A525" s="1022"/>
      <c r="B525" s="1030"/>
      <c r="C525" s="1022"/>
      <c r="D525" s="1030"/>
      <c r="E525" s="1026"/>
      <c r="F525" s="1027"/>
      <c r="G525" s="412" t="s">
        <v>1</v>
      </c>
      <c r="H525" s="410">
        <f t="shared" ref="H525:H526" si="313">I525+L525</f>
        <v>0</v>
      </c>
      <c r="I525" s="410">
        <f t="shared" ref="I525:I526" si="314">J525+K525</f>
        <v>0</v>
      </c>
      <c r="J525" s="410">
        <v>0</v>
      </c>
      <c r="K525" s="410">
        <v>0</v>
      </c>
      <c r="L525" s="410">
        <f t="shared" ref="L525:L526" si="315">M525+N525</f>
        <v>0</v>
      </c>
      <c r="M525" s="410">
        <v>0</v>
      </c>
      <c r="N525" s="410">
        <v>0</v>
      </c>
    </row>
    <row r="526" spans="1:14" s="434" customFormat="1" ht="15" hidden="1" customHeight="1">
      <c r="A526" s="1022"/>
      <c r="B526" s="1030"/>
      <c r="C526" s="1031"/>
      <c r="D526" s="1032"/>
      <c r="E526" s="1028"/>
      <c r="F526" s="1029"/>
      <c r="G526" s="412" t="s">
        <v>2</v>
      </c>
      <c r="H526" s="410">
        <f t="shared" si="313"/>
        <v>48000</v>
      </c>
      <c r="I526" s="410">
        <f t="shared" si="314"/>
        <v>48000</v>
      </c>
      <c r="J526" s="410">
        <f t="shared" ref="J526:K526" si="316">J524+J525</f>
        <v>48000</v>
      </c>
      <c r="K526" s="410">
        <f t="shared" si="316"/>
        <v>0</v>
      </c>
      <c r="L526" s="410">
        <f t="shared" si="315"/>
        <v>0</v>
      </c>
      <c r="M526" s="410">
        <f t="shared" ref="M526:N526" si="317">M524+M525</f>
        <v>0</v>
      </c>
      <c r="N526" s="410">
        <f t="shared" si="317"/>
        <v>0</v>
      </c>
    </row>
    <row r="527" spans="1:14" s="353" customFormat="1" ht="15" hidden="1" customHeight="1">
      <c r="A527" s="1033"/>
      <c r="B527" s="1034"/>
      <c r="C527" s="1035" t="s">
        <v>724</v>
      </c>
      <c r="D527" s="1036"/>
      <c r="E527" s="1024" t="s">
        <v>827</v>
      </c>
      <c r="F527" s="1025"/>
      <c r="G527" s="409" t="s">
        <v>0</v>
      </c>
      <c r="H527" s="410">
        <f t="shared" si="76"/>
        <v>1854451</v>
      </c>
      <c r="I527" s="410">
        <f t="shared" si="77"/>
        <v>551000</v>
      </c>
      <c r="J527" s="410">
        <v>0</v>
      </c>
      <c r="K527" s="410">
        <v>551000</v>
      </c>
      <c r="L527" s="410">
        <f t="shared" si="78"/>
        <v>1303451</v>
      </c>
      <c r="M527" s="410">
        <v>0</v>
      </c>
      <c r="N527" s="410">
        <v>1303451</v>
      </c>
    </row>
    <row r="528" spans="1:14" s="353" customFormat="1" ht="15" hidden="1" customHeight="1">
      <c r="A528" s="1033"/>
      <c r="B528" s="1030"/>
      <c r="C528" s="1033"/>
      <c r="D528" s="1030"/>
      <c r="E528" s="1026"/>
      <c r="F528" s="1027"/>
      <c r="G528" s="412" t="s">
        <v>1</v>
      </c>
      <c r="H528" s="410">
        <f t="shared" si="76"/>
        <v>0</v>
      </c>
      <c r="I528" s="410">
        <f t="shared" si="77"/>
        <v>0</v>
      </c>
      <c r="J528" s="410">
        <v>0</v>
      </c>
      <c r="K528" s="410">
        <v>0</v>
      </c>
      <c r="L528" s="410">
        <f t="shared" si="78"/>
        <v>0</v>
      </c>
      <c r="M528" s="410">
        <v>0</v>
      </c>
      <c r="N528" s="410">
        <v>0</v>
      </c>
    </row>
    <row r="529" spans="1:14" s="353" customFormat="1" ht="15" hidden="1" customHeight="1">
      <c r="A529" s="1033"/>
      <c r="B529" s="1030"/>
      <c r="C529" s="1039"/>
      <c r="D529" s="1032"/>
      <c r="E529" s="1028"/>
      <c r="F529" s="1029"/>
      <c r="G529" s="412" t="s">
        <v>2</v>
      </c>
      <c r="H529" s="410">
        <f t="shared" si="76"/>
        <v>1854451</v>
      </c>
      <c r="I529" s="410">
        <f t="shared" si="77"/>
        <v>551000</v>
      </c>
      <c r="J529" s="410">
        <f t="shared" ref="J529:K529" si="318">J527+J528</f>
        <v>0</v>
      </c>
      <c r="K529" s="410">
        <f t="shared" si="318"/>
        <v>551000</v>
      </c>
      <c r="L529" s="410">
        <f t="shared" si="78"/>
        <v>1303451</v>
      </c>
      <c r="M529" s="410">
        <f t="shared" ref="M529:N529" si="319">M527+M528</f>
        <v>0</v>
      </c>
      <c r="N529" s="410">
        <f t="shared" si="319"/>
        <v>1303451</v>
      </c>
    </row>
    <row r="530" spans="1:14" s="434" customFormat="1" ht="15" hidden="1" customHeight="1">
      <c r="A530" s="1022"/>
      <c r="B530" s="1023"/>
      <c r="C530" s="1037" t="s">
        <v>443</v>
      </c>
      <c r="D530" s="1038"/>
      <c r="E530" s="1024" t="s">
        <v>828</v>
      </c>
      <c r="F530" s="1025"/>
      <c r="G530" s="409" t="s">
        <v>0</v>
      </c>
      <c r="H530" s="410">
        <f t="shared" si="76"/>
        <v>1300000</v>
      </c>
      <c r="I530" s="410">
        <f t="shared" si="77"/>
        <v>0</v>
      </c>
      <c r="J530" s="410">
        <v>0</v>
      </c>
      <c r="K530" s="410">
        <v>0</v>
      </c>
      <c r="L530" s="410">
        <f t="shared" si="78"/>
        <v>1300000</v>
      </c>
      <c r="M530" s="410">
        <v>0</v>
      </c>
      <c r="N530" s="410">
        <v>1300000</v>
      </c>
    </row>
    <row r="531" spans="1:14" s="434" customFormat="1" ht="15" hidden="1" customHeight="1">
      <c r="A531" s="1022"/>
      <c r="B531" s="1030"/>
      <c r="C531" s="1022"/>
      <c r="D531" s="1030"/>
      <c r="E531" s="1026"/>
      <c r="F531" s="1027"/>
      <c r="G531" s="412" t="s">
        <v>1</v>
      </c>
      <c r="H531" s="410">
        <f t="shared" si="76"/>
        <v>0</v>
      </c>
      <c r="I531" s="410">
        <f t="shared" si="77"/>
        <v>0</v>
      </c>
      <c r="J531" s="410">
        <v>0</v>
      </c>
      <c r="K531" s="410">
        <v>0</v>
      </c>
      <c r="L531" s="410">
        <f t="shared" si="78"/>
        <v>0</v>
      </c>
      <c r="M531" s="410">
        <v>0</v>
      </c>
      <c r="N531" s="410">
        <v>0</v>
      </c>
    </row>
    <row r="532" spans="1:14" s="434" customFormat="1" ht="15" hidden="1" customHeight="1">
      <c r="A532" s="1022"/>
      <c r="B532" s="1030"/>
      <c r="C532" s="1022"/>
      <c r="D532" s="1030"/>
      <c r="E532" s="1028"/>
      <c r="F532" s="1029"/>
      <c r="G532" s="412" t="s">
        <v>2</v>
      </c>
      <c r="H532" s="410">
        <f t="shared" si="76"/>
        <v>1300000</v>
      </c>
      <c r="I532" s="410">
        <f t="shared" si="77"/>
        <v>0</v>
      </c>
      <c r="J532" s="410">
        <f t="shared" ref="J532:K532" si="320">J530+J531</f>
        <v>0</v>
      </c>
      <c r="K532" s="410">
        <f t="shared" si="320"/>
        <v>0</v>
      </c>
      <c r="L532" s="410">
        <f t="shared" si="78"/>
        <v>1300000</v>
      </c>
      <c r="M532" s="410">
        <f t="shared" ref="M532:N532" si="321">M530+M531</f>
        <v>0</v>
      </c>
      <c r="N532" s="410">
        <f t="shared" si="321"/>
        <v>1300000</v>
      </c>
    </row>
    <row r="533" spans="1:14" s="353" customFormat="1" ht="15" hidden="1" customHeight="1">
      <c r="A533" s="1033"/>
      <c r="B533" s="1034"/>
      <c r="C533" s="1033"/>
      <c r="D533" s="1034"/>
      <c r="E533" s="1024" t="s">
        <v>829</v>
      </c>
      <c r="F533" s="1025"/>
      <c r="G533" s="409" t="s">
        <v>0</v>
      </c>
      <c r="H533" s="410">
        <f t="shared" si="76"/>
        <v>600000</v>
      </c>
      <c r="I533" s="410">
        <f t="shared" si="77"/>
        <v>600000</v>
      </c>
      <c r="J533" s="410">
        <v>0</v>
      </c>
      <c r="K533" s="410">
        <v>600000</v>
      </c>
      <c r="L533" s="410">
        <f t="shared" si="78"/>
        <v>0</v>
      </c>
      <c r="M533" s="410">
        <v>0</v>
      </c>
      <c r="N533" s="410">
        <v>0</v>
      </c>
    </row>
    <row r="534" spans="1:14" s="353" customFormat="1" ht="15" hidden="1" customHeight="1">
      <c r="A534" s="1033"/>
      <c r="B534" s="1030"/>
      <c r="C534" s="1033"/>
      <c r="D534" s="1030"/>
      <c r="E534" s="1026"/>
      <c r="F534" s="1027"/>
      <c r="G534" s="412" t="s">
        <v>1</v>
      </c>
      <c r="H534" s="410">
        <f t="shared" ref="H534:H583" si="322">I534+L534</f>
        <v>0</v>
      </c>
      <c r="I534" s="410">
        <f t="shared" ref="I534:I583" si="323">J534+K534</f>
        <v>0</v>
      </c>
      <c r="J534" s="410">
        <v>0</v>
      </c>
      <c r="K534" s="410">
        <v>0</v>
      </c>
      <c r="L534" s="410">
        <f t="shared" ref="L534:L583" si="324">M534+N534</f>
        <v>0</v>
      </c>
      <c r="M534" s="410">
        <v>0</v>
      </c>
      <c r="N534" s="410">
        <v>0</v>
      </c>
    </row>
    <row r="535" spans="1:14" s="353" customFormat="1" ht="15" hidden="1" customHeight="1">
      <c r="A535" s="1033"/>
      <c r="B535" s="1030"/>
      <c r="C535" s="1033"/>
      <c r="D535" s="1030"/>
      <c r="E535" s="1028"/>
      <c r="F535" s="1029"/>
      <c r="G535" s="412" t="s">
        <v>2</v>
      </c>
      <c r="H535" s="410">
        <f t="shared" si="322"/>
        <v>600000</v>
      </c>
      <c r="I535" s="410">
        <f t="shared" si="323"/>
        <v>600000</v>
      </c>
      <c r="J535" s="410">
        <f t="shared" ref="J535:K535" si="325">J533+J534</f>
        <v>0</v>
      </c>
      <c r="K535" s="410">
        <f t="shared" si="325"/>
        <v>600000</v>
      </c>
      <c r="L535" s="410">
        <f t="shared" si="324"/>
        <v>0</v>
      </c>
      <c r="M535" s="410">
        <f t="shared" ref="M535:N535" si="326">M533+M534</f>
        <v>0</v>
      </c>
      <c r="N535" s="410">
        <f t="shared" si="326"/>
        <v>0</v>
      </c>
    </row>
    <row r="536" spans="1:14" s="353" customFormat="1" ht="15" hidden="1" customHeight="1">
      <c r="A536" s="1033"/>
      <c r="B536" s="1034"/>
      <c r="C536" s="1033"/>
      <c r="D536" s="1034"/>
      <c r="E536" s="1024" t="s">
        <v>445</v>
      </c>
      <c r="F536" s="1025"/>
      <c r="G536" s="409" t="s">
        <v>0</v>
      </c>
      <c r="H536" s="410">
        <f t="shared" si="322"/>
        <v>1100000</v>
      </c>
      <c r="I536" s="410">
        <f t="shared" si="323"/>
        <v>1100000</v>
      </c>
      <c r="J536" s="410">
        <v>50000</v>
      </c>
      <c r="K536" s="410">
        <v>1050000</v>
      </c>
      <c r="L536" s="410">
        <f t="shared" si="324"/>
        <v>0</v>
      </c>
      <c r="M536" s="410">
        <v>0</v>
      </c>
      <c r="N536" s="410">
        <v>0</v>
      </c>
    </row>
    <row r="537" spans="1:14" s="353" customFormat="1" ht="15" hidden="1" customHeight="1">
      <c r="A537" s="1033"/>
      <c r="B537" s="1030"/>
      <c r="C537" s="1033"/>
      <c r="D537" s="1030"/>
      <c r="E537" s="1026"/>
      <c r="F537" s="1027"/>
      <c r="G537" s="412" t="s">
        <v>1</v>
      </c>
      <c r="H537" s="410">
        <f t="shared" si="322"/>
        <v>0</v>
      </c>
      <c r="I537" s="410">
        <f t="shared" si="323"/>
        <v>0</v>
      </c>
      <c r="J537" s="410">
        <v>0</v>
      </c>
      <c r="K537" s="410">
        <v>0</v>
      </c>
      <c r="L537" s="410">
        <f t="shared" si="324"/>
        <v>0</v>
      </c>
      <c r="M537" s="410">
        <v>0</v>
      </c>
      <c r="N537" s="410">
        <v>0</v>
      </c>
    </row>
    <row r="538" spans="1:14" s="353" customFormat="1" ht="15" hidden="1" customHeight="1">
      <c r="A538" s="1033"/>
      <c r="B538" s="1030"/>
      <c r="C538" s="1033"/>
      <c r="D538" s="1030"/>
      <c r="E538" s="1028"/>
      <c r="F538" s="1029"/>
      <c r="G538" s="412" t="s">
        <v>2</v>
      </c>
      <c r="H538" s="410">
        <f t="shared" si="322"/>
        <v>1100000</v>
      </c>
      <c r="I538" s="410">
        <f t="shared" si="323"/>
        <v>1100000</v>
      </c>
      <c r="J538" s="410">
        <f t="shared" ref="J538:K538" si="327">J536+J537</f>
        <v>50000</v>
      </c>
      <c r="K538" s="410">
        <f t="shared" si="327"/>
        <v>1050000</v>
      </c>
      <c r="L538" s="410">
        <f t="shared" si="324"/>
        <v>0</v>
      </c>
      <c r="M538" s="410">
        <f t="shared" ref="M538:N538" si="328">M536+M537</f>
        <v>0</v>
      </c>
      <c r="N538" s="410">
        <f t="shared" si="328"/>
        <v>0</v>
      </c>
    </row>
    <row r="539" spans="1:14" s="434" customFormat="1" ht="15" hidden="1" customHeight="1">
      <c r="A539" s="1022"/>
      <c r="B539" s="1023"/>
      <c r="C539" s="1022"/>
      <c r="D539" s="1023"/>
      <c r="E539" s="1024" t="s">
        <v>830</v>
      </c>
      <c r="F539" s="1025"/>
      <c r="G539" s="409" t="s">
        <v>0</v>
      </c>
      <c r="H539" s="410">
        <f t="shared" si="322"/>
        <v>50000</v>
      </c>
      <c r="I539" s="410">
        <f t="shared" si="323"/>
        <v>50000</v>
      </c>
      <c r="J539" s="410">
        <v>0</v>
      </c>
      <c r="K539" s="410">
        <v>50000</v>
      </c>
      <c r="L539" s="410">
        <f t="shared" si="324"/>
        <v>0</v>
      </c>
      <c r="M539" s="410">
        <v>0</v>
      </c>
      <c r="N539" s="410">
        <v>0</v>
      </c>
    </row>
    <row r="540" spans="1:14" s="434" customFormat="1" ht="15" hidden="1" customHeight="1">
      <c r="A540" s="1022"/>
      <c r="B540" s="1030"/>
      <c r="C540" s="1022"/>
      <c r="D540" s="1030"/>
      <c r="E540" s="1026"/>
      <c r="F540" s="1027"/>
      <c r="G540" s="412" t="s">
        <v>1</v>
      </c>
      <c r="H540" s="410">
        <f t="shared" si="322"/>
        <v>0</v>
      </c>
      <c r="I540" s="410">
        <f t="shared" si="323"/>
        <v>0</v>
      </c>
      <c r="J540" s="410">
        <v>0</v>
      </c>
      <c r="K540" s="410">
        <v>0</v>
      </c>
      <c r="L540" s="410">
        <f t="shared" si="324"/>
        <v>0</v>
      </c>
      <c r="M540" s="410">
        <v>0</v>
      </c>
      <c r="N540" s="410">
        <v>0</v>
      </c>
    </row>
    <row r="541" spans="1:14" s="434" customFormat="1" ht="15" hidden="1" customHeight="1">
      <c r="A541" s="1022"/>
      <c r="B541" s="1030"/>
      <c r="C541" s="1022"/>
      <c r="D541" s="1030"/>
      <c r="E541" s="1028"/>
      <c r="F541" s="1029"/>
      <c r="G541" s="412" t="s">
        <v>2</v>
      </c>
      <c r="H541" s="410">
        <f t="shared" si="322"/>
        <v>50000</v>
      </c>
      <c r="I541" s="410">
        <f t="shared" si="323"/>
        <v>50000</v>
      </c>
      <c r="J541" s="410">
        <f t="shared" ref="J541:K541" si="329">J539+J540</f>
        <v>0</v>
      </c>
      <c r="K541" s="410">
        <f t="shared" si="329"/>
        <v>50000</v>
      </c>
      <c r="L541" s="410">
        <f t="shared" si="324"/>
        <v>0</v>
      </c>
      <c r="M541" s="410">
        <f t="shared" ref="M541:N541" si="330">M539+M540</f>
        <v>0</v>
      </c>
      <c r="N541" s="410">
        <f t="shared" si="330"/>
        <v>0</v>
      </c>
    </row>
    <row r="542" spans="1:14" s="434" customFormat="1" ht="15" hidden="1" customHeight="1">
      <c r="A542" s="1022"/>
      <c r="B542" s="1023"/>
      <c r="C542" s="1022"/>
      <c r="D542" s="1023"/>
      <c r="E542" s="1024" t="s">
        <v>831</v>
      </c>
      <c r="F542" s="1025"/>
      <c r="G542" s="409" t="s">
        <v>0</v>
      </c>
      <c r="H542" s="410">
        <f t="shared" si="322"/>
        <v>1300000</v>
      </c>
      <c r="I542" s="410">
        <f t="shared" si="323"/>
        <v>1300000</v>
      </c>
      <c r="J542" s="410">
        <v>0</v>
      </c>
      <c r="K542" s="410">
        <v>1300000</v>
      </c>
      <c r="L542" s="410">
        <f t="shared" si="324"/>
        <v>0</v>
      </c>
      <c r="M542" s="410">
        <v>0</v>
      </c>
      <c r="N542" s="410">
        <v>0</v>
      </c>
    </row>
    <row r="543" spans="1:14" s="434" customFormat="1" ht="15" hidden="1" customHeight="1">
      <c r="A543" s="1022"/>
      <c r="B543" s="1030"/>
      <c r="C543" s="1022"/>
      <c r="D543" s="1030"/>
      <c r="E543" s="1026"/>
      <c r="F543" s="1027"/>
      <c r="G543" s="412" t="s">
        <v>1</v>
      </c>
      <c r="H543" s="410">
        <f t="shared" si="322"/>
        <v>0</v>
      </c>
      <c r="I543" s="410">
        <f t="shared" si="323"/>
        <v>0</v>
      </c>
      <c r="J543" s="410">
        <v>0</v>
      </c>
      <c r="K543" s="410">
        <v>0</v>
      </c>
      <c r="L543" s="410">
        <f t="shared" si="324"/>
        <v>0</v>
      </c>
      <c r="M543" s="410">
        <v>0</v>
      </c>
      <c r="N543" s="410">
        <v>0</v>
      </c>
    </row>
    <row r="544" spans="1:14" s="434" customFormat="1" ht="15" hidden="1" customHeight="1">
      <c r="A544" s="1022"/>
      <c r="B544" s="1030"/>
      <c r="C544" s="1022"/>
      <c r="D544" s="1030"/>
      <c r="E544" s="1028"/>
      <c r="F544" s="1029"/>
      <c r="G544" s="412" t="s">
        <v>2</v>
      </c>
      <c r="H544" s="410">
        <f t="shared" si="322"/>
        <v>1300000</v>
      </c>
      <c r="I544" s="410">
        <f t="shared" si="323"/>
        <v>1300000</v>
      </c>
      <c r="J544" s="410">
        <f t="shared" ref="J544:K544" si="331">J542+J543</f>
        <v>0</v>
      </c>
      <c r="K544" s="410">
        <f t="shared" si="331"/>
        <v>1300000</v>
      </c>
      <c r="L544" s="410">
        <f t="shared" si="324"/>
        <v>0</v>
      </c>
      <c r="M544" s="410">
        <f t="shared" ref="M544:N544" si="332">M542+M543</f>
        <v>0</v>
      </c>
      <c r="N544" s="410">
        <f t="shared" si="332"/>
        <v>0</v>
      </c>
    </row>
    <row r="545" spans="1:14" s="434" customFormat="1" ht="15" hidden="1" customHeight="1">
      <c r="A545" s="1022"/>
      <c r="B545" s="1023"/>
      <c r="C545" s="1022"/>
      <c r="D545" s="1023"/>
      <c r="E545" s="1024" t="s">
        <v>832</v>
      </c>
      <c r="F545" s="1025"/>
      <c r="G545" s="409" t="s">
        <v>0</v>
      </c>
      <c r="H545" s="410">
        <f t="shared" si="322"/>
        <v>850000</v>
      </c>
      <c r="I545" s="410">
        <f t="shared" si="323"/>
        <v>850000</v>
      </c>
      <c r="J545" s="410">
        <v>0</v>
      </c>
      <c r="K545" s="410">
        <v>850000</v>
      </c>
      <c r="L545" s="410">
        <f t="shared" si="324"/>
        <v>0</v>
      </c>
      <c r="M545" s="410">
        <v>0</v>
      </c>
      <c r="N545" s="410">
        <v>0</v>
      </c>
    </row>
    <row r="546" spans="1:14" s="434" customFormat="1" ht="15" hidden="1" customHeight="1">
      <c r="A546" s="1022"/>
      <c r="B546" s="1030"/>
      <c r="C546" s="1022"/>
      <c r="D546" s="1030"/>
      <c r="E546" s="1026"/>
      <c r="F546" s="1027"/>
      <c r="G546" s="412" t="s">
        <v>1</v>
      </c>
      <c r="H546" s="410">
        <f t="shared" si="322"/>
        <v>0</v>
      </c>
      <c r="I546" s="410">
        <f t="shared" si="323"/>
        <v>0</v>
      </c>
      <c r="J546" s="410">
        <v>0</v>
      </c>
      <c r="K546" s="410">
        <v>0</v>
      </c>
      <c r="L546" s="410">
        <f t="shared" si="324"/>
        <v>0</v>
      </c>
      <c r="M546" s="410">
        <v>0</v>
      </c>
      <c r="N546" s="410">
        <v>0</v>
      </c>
    </row>
    <row r="547" spans="1:14" s="434" customFormat="1" ht="15" hidden="1" customHeight="1">
      <c r="A547" s="1022"/>
      <c r="B547" s="1030"/>
      <c r="C547" s="1022"/>
      <c r="D547" s="1030"/>
      <c r="E547" s="1028"/>
      <c r="F547" s="1029"/>
      <c r="G547" s="412" t="s">
        <v>2</v>
      </c>
      <c r="H547" s="410">
        <f t="shared" si="322"/>
        <v>850000</v>
      </c>
      <c r="I547" s="410">
        <f t="shared" si="323"/>
        <v>850000</v>
      </c>
      <c r="J547" s="410">
        <f t="shared" ref="J547:K547" si="333">J545+J546</f>
        <v>0</v>
      </c>
      <c r="K547" s="410">
        <f t="shared" si="333"/>
        <v>850000</v>
      </c>
      <c r="L547" s="410">
        <f t="shared" si="324"/>
        <v>0</v>
      </c>
      <c r="M547" s="410">
        <f t="shared" ref="M547:N547" si="334">M545+M546</f>
        <v>0</v>
      </c>
      <c r="N547" s="410">
        <f t="shared" si="334"/>
        <v>0</v>
      </c>
    </row>
    <row r="548" spans="1:14" s="434" customFormat="1" ht="15" hidden="1" customHeight="1">
      <c r="A548" s="1022"/>
      <c r="B548" s="1023"/>
      <c r="C548" s="1022"/>
      <c r="D548" s="1023"/>
      <c r="E548" s="1024" t="s">
        <v>781</v>
      </c>
      <c r="F548" s="1025"/>
      <c r="G548" s="409" t="s">
        <v>0</v>
      </c>
      <c r="H548" s="410">
        <f t="shared" si="322"/>
        <v>750000</v>
      </c>
      <c r="I548" s="410">
        <f t="shared" si="323"/>
        <v>750000</v>
      </c>
      <c r="J548" s="410">
        <v>0</v>
      </c>
      <c r="K548" s="410">
        <v>750000</v>
      </c>
      <c r="L548" s="410">
        <f t="shared" si="324"/>
        <v>0</v>
      </c>
      <c r="M548" s="410">
        <v>0</v>
      </c>
      <c r="N548" s="410">
        <v>0</v>
      </c>
    </row>
    <row r="549" spans="1:14" s="434" customFormat="1" ht="15" hidden="1" customHeight="1">
      <c r="A549" s="1022"/>
      <c r="B549" s="1030"/>
      <c r="C549" s="1022"/>
      <c r="D549" s="1030"/>
      <c r="E549" s="1026"/>
      <c r="F549" s="1027"/>
      <c r="G549" s="412" t="s">
        <v>1</v>
      </c>
      <c r="H549" s="410">
        <f t="shared" si="322"/>
        <v>0</v>
      </c>
      <c r="I549" s="410">
        <f t="shared" si="323"/>
        <v>0</v>
      </c>
      <c r="J549" s="410">
        <v>0</v>
      </c>
      <c r="K549" s="410">
        <v>0</v>
      </c>
      <c r="L549" s="410">
        <f t="shared" si="324"/>
        <v>0</v>
      </c>
      <c r="M549" s="410">
        <v>0</v>
      </c>
      <c r="N549" s="410">
        <v>0</v>
      </c>
    </row>
    <row r="550" spans="1:14" s="434" customFormat="1" ht="15" hidden="1" customHeight="1">
      <c r="A550" s="1022"/>
      <c r="B550" s="1030"/>
      <c r="C550" s="1022"/>
      <c r="D550" s="1030"/>
      <c r="E550" s="1028"/>
      <c r="F550" s="1029"/>
      <c r="G550" s="412" t="s">
        <v>2</v>
      </c>
      <c r="H550" s="410">
        <f t="shared" si="322"/>
        <v>750000</v>
      </c>
      <c r="I550" s="410">
        <f t="shared" si="323"/>
        <v>750000</v>
      </c>
      <c r="J550" s="410">
        <f t="shared" ref="J550:K550" si="335">J548+J549</f>
        <v>0</v>
      </c>
      <c r="K550" s="410">
        <f t="shared" si="335"/>
        <v>750000</v>
      </c>
      <c r="L550" s="410">
        <f t="shared" si="324"/>
        <v>0</v>
      </c>
      <c r="M550" s="410">
        <f t="shared" ref="M550:N550" si="336">M548+M549</f>
        <v>0</v>
      </c>
      <c r="N550" s="410">
        <f t="shared" si="336"/>
        <v>0</v>
      </c>
    </row>
    <row r="551" spans="1:14" s="434" customFormat="1" ht="15" hidden="1" customHeight="1">
      <c r="A551" s="1022"/>
      <c r="B551" s="1023"/>
      <c r="C551" s="1022"/>
      <c r="D551" s="1023"/>
      <c r="E551" s="1024" t="s">
        <v>833</v>
      </c>
      <c r="F551" s="1025"/>
      <c r="G551" s="409" t="s">
        <v>0</v>
      </c>
      <c r="H551" s="410">
        <f t="shared" si="322"/>
        <v>250000</v>
      </c>
      <c r="I551" s="410">
        <f t="shared" si="323"/>
        <v>250000</v>
      </c>
      <c r="J551" s="410">
        <v>0</v>
      </c>
      <c r="K551" s="410">
        <v>250000</v>
      </c>
      <c r="L551" s="410">
        <f t="shared" si="324"/>
        <v>0</v>
      </c>
      <c r="M551" s="410">
        <v>0</v>
      </c>
      <c r="N551" s="410">
        <v>0</v>
      </c>
    </row>
    <row r="552" spans="1:14" s="434" customFormat="1" ht="15" hidden="1" customHeight="1">
      <c r="A552" s="1022"/>
      <c r="B552" s="1030"/>
      <c r="C552" s="1022"/>
      <c r="D552" s="1030"/>
      <c r="E552" s="1026"/>
      <c r="F552" s="1027"/>
      <c r="G552" s="412" t="s">
        <v>1</v>
      </c>
      <c r="H552" s="410">
        <f t="shared" si="322"/>
        <v>0</v>
      </c>
      <c r="I552" s="410">
        <f t="shared" si="323"/>
        <v>0</v>
      </c>
      <c r="J552" s="410">
        <v>0</v>
      </c>
      <c r="K552" s="410">
        <v>0</v>
      </c>
      <c r="L552" s="410">
        <f t="shared" si="324"/>
        <v>0</v>
      </c>
      <c r="M552" s="410">
        <v>0</v>
      </c>
      <c r="N552" s="410">
        <v>0</v>
      </c>
    </row>
    <row r="553" spans="1:14" s="434" customFormat="1" ht="15" hidden="1" customHeight="1">
      <c r="A553" s="1022"/>
      <c r="B553" s="1030"/>
      <c r="C553" s="1022"/>
      <c r="D553" s="1030"/>
      <c r="E553" s="1028"/>
      <c r="F553" s="1029"/>
      <c r="G553" s="412" t="s">
        <v>2</v>
      </c>
      <c r="H553" s="410">
        <f t="shared" si="322"/>
        <v>250000</v>
      </c>
      <c r="I553" s="410">
        <f t="shared" si="323"/>
        <v>250000</v>
      </c>
      <c r="J553" s="410">
        <f t="shared" ref="J553:K553" si="337">J551+J552</f>
        <v>0</v>
      </c>
      <c r="K553" s="410">
        <f t="shared" si="337"/>
        <v>250000</v>
      </c>
      <c r="L553" s="410">
        <f t="shared" si="324"/>
        <v>0</v>
      </c>
      <c r="M553" s="410">
        <f t="shared" ref="M553:N553" si="338">M551+M552</f>
        <v>0</v>
      </c>
      <c r="N553" s="410">
        <f t="shared" si="338"/>
        <v>0</v>
      </c>
    </row>
    <row r="554" spans="1:14" s="434" customFormat="1" ht="15" hidden="1" customHeight="1">
      <c r="A554" s="1022"/>
      <c r="B554" s="1023"/>
      <c r="C554" s="1022"/>
      <c r="D554" s="1023"/>
      <c r="E554" s="1024" t="s">
        <v>834</v>
      </c>
      <c r="F554" s="1025"/>
      <c r="G554" s="409" t="s">
        <v>0</v>
      </c>
      <c r="H554" s="410">
        <f t="shared" si="322"/>
        <v>258785</v>
      </c>
      <c r="I554" s="410">
        <f t="shared" si="323"/>
        <v>258785</v>
      </c>
      <c r="J554" s="410">
        <v>258785</v>
      </c>
      <c r="K554" s="410">
        <v>0</v>
      </c>
      <c r="L554" s="410">
        <f t="shared" si="324"/>
        <v>0</v>
      </c>
      <c r="M554" s="410">
        <v>0</v>
      </c>
      <c r="N554" s="410">
        <v>0</v>
      </c>
    </row>
    <row r="555" spans="1:14" s="434" customFormat="1" ht="15" hidden="1" customHeight="1">
      <c r="A555" s="1022"/>
      <c r="B555" s="1030"/>
      <c r="C555" s="1022"/>
      <c r="D555" s="1030"/>
      <c r="E555" s="1026"/>
      <c r="F555" s="1027"/>
      <c r="G555" s="412" t="s">
        <v>1</v>
      </c>
      <c r="H555" s="410">
        <f t="shared" si="322"/>
        <v>0</v>
      </c>
      <c r="I555" s="410">
        <f t="shared" si="323"/>
        <v>0</v>
      </c>
      <c r="J555" s="410">
        <v>0</v>
      </c>
      <c r="K555" s="410">
        <v>0</v>
      </c>
      <c r="L555" s="410">
        <f t="shared" si="324"/>
        <v>0</v>
      </c>
      <c r="M555" s="410">
        <v>0</v>
      </c>
      <c r="N555" s="410">
        <v>0</v>
      </c>
    </row>
    <row r="556" spans="1:14" s="434" customFormat="1" ht="15" hidden="1" customHeight="1">
      <c r="A556" s="1022"/>
      <c r="B556" s="1030"/>
      <c r="C556" s="1022"/>
      <c r="D556" s="1030"/>
      <c r="E556" s="1028"/>
      <c r="F556" s="1029"/>
      <c r="G556" s="412" t="s">
        <v>2</v>
      </c>
      <c r="H556" s="410">
        <f>I556+L556</f>
        <v>258785</v>
      </c>
      <c r="I556" s="410">
        <f t="shared" si="323"/>
        <v>258785</v>
      </c>
      <c r="J556" s="410">
        <f>J554+J555</f>
        <v>258785</v>
      </c>
      <c r="K556" s="410">
        <f>K554+K555</f>
        <v>0</v>
      </c>
      <c r="L556" s="410">
        <f t="shared" si="324"/>
        <v>0</v>
      </c>
      <c r="M556" s="410">
        <f>M554+M555</f>
        <v>0</v>
      </c>
      <c r="N556" s="410">
        <f>N554+N555</f>
        <v>0</v>
      </c>
    </row>
    <row r="557" spans="1:14" s="434" customFormat="1" ht="15" hidden="1" customHeight="1">
      <c r="A557" s="1037" t="s">
        <v>339</v>
      </c>
      <c r="B557" s="1038"/>
      <c r="C557" s="1037" t="s">
        <v>287</v>
      </c>
      <c r="D557" s="1038"/>
      <c r="E557" s="1024" t="s">
        <v>835</v>
      </c>
      <c r="F557" s="1025"/>
      <c r="G557" s="409" t="s">
        <v>0</v>
      </c>
      <c r="H557" s="446">
        <f t="shared" si="322"/>
        <v>10606700</v>
      </c>
      <c r="I557" s="446">
        <f t="shared" si="323"/>
        <v>10606700</v>
      </c>
      <c r="J557" s="446">
        <v>10606700</v>
      </c>
      <c r="K557" s="446">
        <v>0</v>
      </c>
      <c r="L557" s="446">
        <f t="shared" si="324"/>
        <v>0</v>
      </c>
      <c r="M557" s="446">
        <v>0</v>
      </c>
      <c r="N557" s="446">
        <v>0</v>
      </c>
    </row>
    <row r="558" spans="1:14" s="434" customFormat="1" ht="15" hidden="1" customHeight="1">
      <c r="A558" s="1022"/>
      <c r="B558" s="1030"/>
      <c r="C558" s="1022"/>
      <c r="D558" s="1030"/>
      <c r="E558" s="1026"/>
      <c r="F558" s="1027"/>
      <c r="G558" s="412" t="s">
        <v>1</v>
      </c>
      <c r="H558" s="446">
        <f t="shared" si="322"/>
        <v>0</v>
      </c>
      <c r="I558" s="446">
        <f t="shared" si="323"/>
        <v>0</v>
      </c>
      <c r="J558" s="446">
        <v>0</v>
      </c>
      <c r="K558" s="446">
        <v>0</v>
      </c>
      <c r="L558" s="446">
        <f t="shared" si="324"/>
        <v>0</v>
      </c>
      <c r="M558" s="446">
        <v>0</v>
      </c>
      <c r="N558" s="446">
        <v>0</v>
      </c>
    </row>
    <row r="559" spans="1:14" s="434" customFormat="1" ht="15" hidden="1" customHeight="1">
      <c r="A559" s="1022"/>
      <c r="B559" s="1030"/>
      <c r="C559" s="1022"/>
      <c r="D559" s="1030"/>
      <c r="E559" s="1028"/>
      <c r="F559" s="1029"/>
      <c r="G559" s="412" t="s">
        <v>2</v>
      </c>
      <c r="H559" s="410">
        <f t="shared" si="322"/>
        <v>10606700</v>
      </c>
      <c r="I559" s="410">
        <f t="shared" si="323"/>
        <v>10606700</v>
      </c>
      <c r="J559" s="410">
        <f t="shared" ref="J559:K559" si="339">J557+J558</f>
        <v>10606700</v>
      </c>
      <c r="K559" s="410">
        <f t="shared" si="339"/>
        <v>0</v>
      </c>
      <c r="L559" s="410">
        <f t="shared" si="324"/>
        <v>0</v>
      </c>
      <c r="M559" s="410">
        <f t="shared" ref="M559:N559" si="340">M557+M558</f>
        <v>0</v>
      </c>
      <c r="N559" s="410">
        <f t="shared" si="340"/>
        <v>0</v>
      </c>
    </row>
    <row r="560" spans="1:14" s="434" customFormat="1" ht="14.1" customHeight="1">
      <c r="A560" s="1037" t="s">
        <v>339</v>
      </c>
      <c r="B560" s="1038"/>
      <c r="C560" s="1037" t="s">
        <v>287</v>
      </c>
      <c r="D560" s="1038"/>
      <c r="E560" s="1024" t="s">
        <v>836</v>
      </c>
      <c r="F560" s="1025"/>
      <c r="G560" s="409" t="s">
        <v>0</v>
      </c>
      <c r="H560" s="446">
        <f t="shared" si="322"/>
        <v>0</v>
      </c>
      <c r="I560" s="446">
        <f t="shared" si="323"/>
        <v>0</v>
      </c>
      <c r="J560" s="446">
        <v>0</v>
      </c>
      <c r="K560" s="446">
        <v>0</v>
      </c>
      <c r="L560" s="446">
        <f t="shared" si="324"/>
        <v>0</v>
      </c>
      <c r="M560" s="446">
        <v>0</v>
      </c>
      <c r="N560" s="446">
        <v>0</v>
      </c>
    </row>
    <row r="561" spans="1:14" s="434" customFormat="1" ht="14.1" customHeight="1">
      <c r="A561" s="1022"/>
      <c r="B561" s="1030"/>
      <c r="C561" s="1022"/>
      <c r="D561" s="1030"/>
      <c r="E561" s="1026"/>
      <c r="F561" s="1027"/>
      <c r="G561" s="412" t="s">
        <v>1</v>
      </c>
      <c r="H561" s="446">
        <f t="shared" si="322"/>
        <v>5300000</v>
      </c>
      <c r="I561" s="446">
        <f t="shared" si="323"/>
        <v>5300000</v>
      </c>
      <c r="J561" s="446">
        <v>5300000</v>
      </c>
      <c r="K561" s="446">
        <v>0</v>
      </c>
      <c r="L561" s="446">
        <f t="shared" si="324"/>
        <v>0</v>
      </c>
      <c r="M561" s="446">
        <v>0</v>
      </c>
      <c r="N561" s="446">
        <v>0</v>
      </c>
    </row>
    <row r="562" spans="1:14" s="434" customFormat="1" ht="14.1" customHeight="1">
      <c r="A562" s="1022"/>
      <c r="B562" s="1030"/>
      <c r="C562" s="1031"/>
      <c r="D562" s="1032"/>
      <c r="E562" s="1028"/>
      <c r="F562" s="1029"/>
      <c r="G562" s="412" t="s">
        <v>2</v>
      </c>
      <c r="H562" s="410">
        <f t="shared" si="322"/>
        <v>5300000</v>
      </c>
      <c r="I562" s="410">
        <f t="shared" si="323"/>
        <v>5300000</v>
      </c>
      <c r="J562" s="410">
        <f t="shared" ref="J562:K562" si="341">J560+J561</f>
        <v>5300000</v>
      </c>
      <c r="K562" s="410">
        <f t="shared" si="341"/>
        <v>0</v>
      </c>
      <c r="L562" s="410">
        <f t="shared" si="324"/>
        <v>0</v>
      </c>
      <c r="M562" s="410">
        <f t="shared" ref="M562:N562" si="342">M560+M561</f>
        <v>0</v>
      </c>
      <c r="N562" s="410">
        <f t="shared" si="342"/>
        <v>0</v>
      </c>
    </row>
    <row r="563" spans="1:14" s="353" customFormat="1" ht="15" hidden="1" customHeight="1">
      <c r="A563" s="1033"/>
      <c r="B563" s="1034"/>
      <c r="C563" s="1035" t="s">
        <v>455</v>
      </c>
      <c r="D563" s="1036"/>
      <c r="E563" s="1024" t="s">
        <v>837</v>
      </c>
      <c r="F563" s="1025"/>
      <c r="G563" s="409" t="s">
        <v>0</v>
      </c>
      <c r="H563" s="446">
        <f t="shared" si="322"/>
        <v>3000000</v>
      </c>
      <c r="I563" s="446">
        <f t="shared" si="323"/>
        <v>0</v>
      </c>
      <c r="J563" s="446">
        <v>0</v>
      </c>
      <c r="K563" s="446">
        <v>0</v>
      </c>
      <c r="L563" s="446">
        <f t="shared" si="324"/>
        <v>3000000</v>
      </c>
      <c r="M563" s="446">
        <v>0</v>
      </c>
      <c r="N563" s="446">
        <v>3000000</v>
      </c>
    </row>
    <row r="564" spans="1:14" s="353" customFormat="1" ht="15" hidden="1" customHeight="1">
      <c r="A564" s="1033"/>
      <c r="B564" s="1030"/>
      <c r="C564" s="1033"/>
      <c r="D564" s="1030"/>
      <c r="E564" s="1026"/>
      <c r="F564" s="1027"/>
      <c r="G564" s="412" t="s">
        <v>1</v>
      </c>
      <c r="H564" s="446">
        <f t="shared" si="322"/>
        <v>0</v>
      </c>
      <c r="I564" s="446">
        <f t="shared" si="323"/>
        <v>0</v>
      </c>
      <c r="J564" s="446">
        <v>0</v>
      </c>
      <c r="K564" s="446">
        <v>0</v>
      </c>
      <c r="L564" s="446">
        <f t="shared" si="324"/>
        <v>0</v>
      </c>
      <c r="M564" s="446">
        <v>0</v>
      </c>
      <c r="N564" s="446">
        <v>0</v>
      </c>
    </row>
    <row r="565" spans="1:14" s="353" customFormat="1" ht="15" hidden="1" customHeight="1">
      <c r="A565" s="1033"/>
      <c r="B565" s="1030"/>
      <c r="C565" s="1033"/>
      <c r="D565" s="1030"/>
      <c r="E565" s="1028"/>
      <c r="F565" s="1029"/>
      <c r="G565" s="412" t="s">
        <v>2</v>
      </c>
      <c r="H565" s="410">
        <f t="shared" si="322"/>
        <v>3000000</v>
      </c>
      <c r="I565" s="410">
        <f t="shared" si="323"/>
        <v>0</v>
      </c>
      <c r="J565" s="410">
        <f t="shared" ref="J565:K565" si="343">J563+J564</f>
        <v>0</v>
      </c>
      <c r="K565" s="410">
        <f t="shared" si="343"/>
        <v>0</v>
      </c>
      <c r="L565" s="410">
        <f t="shared" si="324"/>
        <v>3000000</v>
      </c>
      <c r="M565" s="410">
        <f t="shared" ref="M565:N565" si="344">M563+M564</f>
        <v>0</v>
      </c>
      <c r="N565" s="410">
        <f t="shared" si="344"/>
        <v>3000000</v>
      </c>
    </row>
    <row r="566" spans="1:14" s="353" customFormat="1" ht="15" hidden="1" customHeight="1">
      <c r="A566" s="1033"/>
      <c r="B566" s="1034"/>
      <c r="C566" s="1033"/>
      <c r="D566" s="1034"/>
      <c r="E566" s="1024" t="s">
        <v>838</v>
      </c>
      <c r="F566" s="1025"/>
      <c r="G566" s="409" t="s">
        <v>0</v>
      </c>
      <c r="H566" s="446">
        <f t="shared" si="322"/>
        <v>650000</v>
      </c>
      <c r="I566" s="446">
        <f t="shared" si="323"/>
        <v>0</v>
      </c>
      <c r="J566" s="446">
        <v>0</v>
      </c>
      <c r="K566" s="446">
        <v>0</v>
      </c>
      <c r="L566" s="446">
        <f t="shared" si="324"/>
        <v>650000</v>
      </c>
      <c r="M566" s="446">
        <v>0</v>
      </c>
      <c r="N566" s="446">
        <v>650000</v>
      </c>
    </row>
    <row r="567" spans="1:14" s="353" customFormat="1" ht="15" hidden="1" customHeight="1">
      <c r="A567" s="1033"/>
      <c r="B567" s="1030"/>
      <c r="C567" s="1033"/>
      <c r="D567" s="1030"/>
      <c r="E567" s="1026"/>
      <c r="F567" s="1027"/>
      <c r="G567" s="412" t="s">
        <v>1</v>
      </c>
      <c r="H567" s="446">
        <f t="shared" si="322"/>
        <v>0</v>
      </c>
      <c r="I567" s="446">
        <f t="shared" si="323"/>
        <v>0</v>
      </c>
      <c r="J567" s="446">
        <v>0</v>
      </c>
      <c r="K567" s="446">
        <v>0</v>
      </c>
      <c r="L567" s="446">
        <f t="shared" si="324"/>
        <v>0</v>
      </c>
      <c r="M567" s="446">
        <v>0</v>
      </c>
      <c r="N567" s="446">
        <v>0</v>
      </c>
    </row>
    <row r="568" spans="1:14" s="353" customFormat="1" ht="15" hidden="1" customHeight="1">
      <c r="A568" s="1033"/>
      <c r="B568" s="1030"/>
      <c r="C568" s="1033"/>
      <c r="D568" s="1030"/>
      <c r="E568" s="1028"/>
      <c r="F568" s="1029"/>
      <c r="G568" s="412" t="s">
        <v>2</v>
      </c>
      <c r="H568" s="410">
        <f t="shared" si="322"/>
        <v>650000</v>
      </c>
      <c r="I568" s="410">
        <f t="shared" si="323"/>
        <v>0</v>
      </c>
      <c r="J568" s="410">
        <f t="shared" ref="J568:K568" si="345">J566+J567</f>
        <v>0</v>
      </c>
      <c r="K568" s="410">
        <f t="shared" si="345"/>
        <v>0</v>
      </c>
      <c r="L568" s="410">
        <f t="shared" si="324"/>
        <v>650000</v>
      </c>
      <c r="M568" s="410">
        <f t="shared" ref="M568:N568" si="346">M566+M567</f>
        <v>0</v>
      </c>
      <c r="N568" s="410">
        <f t="shared" si="346"/>
        <v>650000</v>
      </c>
    </row>
    <row r="569" spans="1:14" s="353" customFormat="1" ht="15" hidden="1" customHeight="1">
      <c r="A569" s="1033"/>
      <c r="B569" s="1034"/>
      <c r="C569" s="1033"/>
      <c r="D569" s="1034"/>
      <c r="E569" s="1024" t="s">
        <v>839</v>
      </c>
      <c r="F569" s="1025"/>
      <c r="G569" s="409" t="s">
        <v>0</v>
      </c>
      <c r="H569" s="446">
        <f t="shared" si="322"/>
        <v>2500000</v>
      </c>
      <c r="I569" s="446">
        <f t="shared" si="323"/>
        <v>0</v>
      </c>
      <c r="J569" s="446">
        <v>0</v>
      </c>
      <c r="K569" s="446">
        <v>0</v>
      </c>
      <c r="L569" s="446">
        <f t="shared" si="324"/>
        <v>2500000</v>
      </c>
      <c r="M569" s="446">
        <v>0</v>
      </c>
      <c r="N569" s="446">
        <v>2500000</v>
      </c>
    </row>
    <row r="570" spans="1:14" s="353" customFormat="1" ht="15" hidden="1" customHeight="1">
      <c r="A570" s="1033"/>
      <c r="B570" s="1030"/>
      <c r="C570" s="1033"/>
      <c r="D570" s="1030"/>
      <c r="E570" s="1026"/>
      <c r="F570" s="1027"/>
      <c r="G570" s="412" t="s">
        <v>1</v>
      </c>
      <c r="H570" s="446">
        <f t="shared" si="322"/>
        <v>0</v>
      </c>
      <c r="I570" s="446">
        <f t="shared" si="323"/>
        <v>0</v>
      </c>
      <c r="J570" s="446">
        <v>0</v>
      </c>
      <c r="K570" s="446">
        <v>0</v>
      </c>
      <c r="L570" s="446">
        <f t="shared" si="324"/>
        <v>0</v>
      </c>
      <c r="M570" s="446">
        <v>0</v>
      </c>
      <c r="N570" s="446">
        <v>0</v>
      </c>
    </row>
    <row r="571" spans="1:14" s="353" customFormat="1" ht="15" hidden="1" customHeight="1">
      <c r="A571" s="1033"/>
      <c r="B571" s="1030"/>
      <c r="C571" s="1033"/>
      <c r="D571" s="1030"/>
      <c r="E571" s="1028"/>
      <c r="F571" s="1029"/>
      <c r="G571" s="412" t="s">
        <v>2</v>
      </c>
      <c r="H571" s="410">
        <f t="shared" si="322"/>
        <v>2500000</v>
      </c>
      <c r="I571" s="410">
        <f t="shared" si="323"/>
        <v>0</v>
      </c>
      <c r="J571" s="410">
        <f t="shared" ref="J571:K571" si="347">J569+J570</f>
        <v>0</v>
      </c>
      <c r="K571" s="410">
        <f t="shared" si="347"/>
        <v>0</v>
      </c>
      <c r="L571" s="410">
        <f t="shared" si="324"/>
        <v>2500000</v>
      </c>
      <c r="M571" s="410">
        <f t="shared" ref="M571:N571" si="348">M569+M570</f>
        <v>0</v>
      </c>
      <c r="N571" s="410">
        <f t="shared" si="348"/>
        <v>2500000</v>
      </c>
    </row>
    <row r="572" spans="1:14" s="353" customFormat="1" ht="15" hidden="1" customHeight="1">
      <c r="A572" s="1033"/>
      <c r="B572" s="1034"/>
      <c r="C572" s="1033"/>
      <c r="D572" s="1034"/>
      <c r="E572" s="1024" t="s">
        <v>840</v>
      </c>
      <c r="F572" s="1025"/>
      <c r="G572" s="409" t="s">
        <v>0</v>
      </c>
      <c r="H572" s="446">
        <f t="shared" si="322"/>
        <v>1000000</v>
      </c>
      <c r="I572" s="446">
        <f t="shared" si="323"/>
        <v>0</v>
      </c>
      <c r="J572" s="446">
        <v>0</v>
      </c>
      <c r="K572" s="446">
        <v>0</v>
      </c>
      <c r="L572" s="446">
        <f t="shared" si="324"/>
        <v>1000000</v>
      </c>
      <c r="M572" s="446">
        <v>0</v>
      </c>
      <c r="N572" s="446">
        <v>1000000</v>
      </c>
    </row>
    <row r="573" spans="1:14" s="353" customFormat="1" ht="15" hidden="1" customHeight="1">
      <c r="A573" s="1033"/>
      <c r="B573" s="1030"/>
      <c r="C573" s="1033"/>
      <c r="D573" s="1030"/>
      <c r="E573" s="1026"/>
      <c r="F573" s="1027"/>
      <c r="G573" s="412" t="s">
        <v>1</v>
      </c>
      <c r="H573" s="446">
        <f t="shared" si="322"/>
        <v>0</v>
      </c>
      <c r="I573" s="446">
        <f t="shared" si="323"/>
        <v>0</v>
      </c>
      <c r="J573" s="446">
        <v>0</v>
      </c>
      <c r="K573" s="446">
        <v>0</v>
      </c>
      <c r="L573" s="446">
        <f t="shared" si="324"/>
        <v>0</v>
      </c>
      <c r="M573" s="446">
        <v>0</v>
      </c>
      <c r="N573" s="446">
        <v>0</v>
      </c>
    </row>
    <row r="574" spans="1:14" s="353" customFormat="1" ht="15" hidden="1" customHeight="1">
      <c r="A574" s="1033"/>
      <c r="B574" s="1030"/>
      <c r="C574" s="1033"/>
      <c r="D574" s="1030"/>
      <c r="E574" s="1028"/>
      <c r="F574" s="1029"/>
      <c r="G574" s="412" t="s">
        <v>2</v>
      </c>
      <c r="H574" s="410">
        <f t="shared" si="322"/>
        <v>1000000</v>
      </c>
      <c r="I574" s="410">
        <f t="shared" si="323"/>
        <v>0</v>
      </c>
      <c r="J574" s="410">
        <f t="shared" ref="J574:K574" si="349">J572+J573</f>
        <v>0</v>
      </c>
      <c r="K574" s="410">
        <f t="shared" si="349"/>
        <v>0</v>
      </c>
      <c r="L574" s="410">
        <f t="shared" si="324"/>
        <v>1000000</v>
      </c>
      <c r="M574" s="410">
        <f t="shared" ref="M574:N574" si="350">M572+M573</f>
        <v>0</v>
      </c>
      <c r="N574" s="410">
        <f t="shared" si="350"/>
        <v>1000000</v>
      </c>
    </row>
    <row r="575" spans="1:14" s="353" customFormat="1" ht="15" hidden="1" customHeight="1">
      <c r="A575" s="1033"/>
      <c r="B575" s="1034"/>
      <c r="C575" s="1033"/>
      <c r="D575" s="1034"/>
      <c r="E575" s="1024" t="s">
        <v>841</v>
      </c>
      <c r="F575" s="1025"/>
      <c r="G575" s="409" t="s">
        <v>0</v>
      </c>
      <c r="H575" s="410">
        <f t="shared" si="322"/>
        <v>2500000</v>
      </c>
      <c r="I575" s="410">
        <f t="shared" si="323"/>
        <v>0</v>
      </c>
      <c r="J575" s="410">
        <v>0</v>
      </c>
      <c r="K575" s="410">
        <v>0</v>
      </c>
      <c r="L575" s="410">
        <f t="shared" si="324"/>
        <v>2500000</v>
      </c>
      <c r="M575" s="410">
        <v>0</v>
      </c>
      <c r="N575" s="410">
        <v>2500000</v>
      </c>
    </row>
    <row r="576" spans="1:14" s="353" customFormat="1" ht="15" hidden="1" customHeight="1">
      <c r="A576" s="1033"/>
      <c r="B576" s="1030"/>
      <c r="C576" s="1033"/>
      <c r="D576" s="1030"/>
      <c r="E576" s="1026"/>
      <c r="F576" s="1027"/>
      <c r="G576" s="412" t="s">
        <v>1</v>
      </c>
      <c r="H576" s="410">
        <f t="shared" si="322"/>
        <v>0</v>
      </c>
      <c r="I576" s="410">
        <f t="shared" si="323"/>
        <v>0</v>
      </c>
      <c r="J576" s="410">
        <v>0</v>
      </c>
      <c r="K576" s="410">
        <v>0</v>
      </c>
      <c r="L576" s="410">
        <f t="shared" si="324"/>
        <v>0</v>
      </c>
      <c r="M576" s="410">
        <v>0</v>
      </c>
      <c r="N576" s="410">
        <v>0</v>
      </c>
    </row>
    <row r="577" spans="1:14" s="353" customFormat="1" ht="15" hidden="1" customHeight="1">
      <c r="A577" s="1033"/>
      <c r="B577" s="1030"/>
      <c r="C577" s="1033"/>
      <c r="D577" s="1030"/>
      <c r="E577" s="1028"/>
      <c r="F577" s="1029"/>
      <c r="G577" s="412" t="s">
        <v>2</v>
      </c>
      <c r="H577" s="410">
        <f t="shared" si="322"/>
        <v>2500000</v>
      </c>
      <c r="I577" s="410">
        <f t="shared" si="323"/>
        <v>0</v>
      </c>
      <c r="J577" s="410">
        <f t="shared" ref="J577:K577" si="351">J575+J576</f>
        <v>0</v>
      </c>
      <c r="K577" s="410">
        <f t="shared" si="351"/>
        <v>0</v>
      </c>
      <c r="L577" s="410">
        <f t="shared" si="324"/>
        <v>2500000</v>
      </c>
      <c r="M577" s="410">
        <f t="shared" ref="M577:N577" si="352">M575+M576</f>
        <v>0</v>
      </c>
      <c r="N577" s="410">
        <f t="shared" si="352"/>
        <v>2500000</v>
      </c>
    </row>
    <row r="578" spans="1:14" s="434" customFormat="1" ht="15" hidden="1" customHeight="1">
      <c r="A578" s="1022"/>
      <c r="B578" s="1023"/>
      <c r="C578" s="1022"/>
      <c r="D578" s="1023"/>
      <c r="E578" s="1024" t="s">
        <v>842</v>
      </c>
      <c r="F578" s="1025"/>
      <c r="G578" s="409" t="s">
        <v>0</v>
      </c>
      <c r="H578" s="446">
        <f t="shared" si="322"/>
        <v>9000000</v>
      </c>
      <c r="I578" s="446">
        <f t="shared" si="323"/>
        <v>9000000</v>
      </c>
      <c r="J578" s="446">
        <v>9000000</v>
      </c>
      <c r="K578" s="446">
        <v>0</v>
      </c>
      <c r="L578" s="446">
        <f t="shared" si="324"/>
        <v>0</v>
      </c>
      <c r="M578" s="446">
        <v>0</v>
      </c>
      <c r="N578" s="446">
        <v>0</v>
      </c>
    </row>
    <row r="579" spans="1:14" s="434" customFormat="1" ht="15" hidden="1" customHeight="1">
      <c r="A579" s="1022"/>
      <c r="B579" s="1030"/>
      <c r="C579" s="1022"/>
      <c r="D579" s="1030"/>
      <c r="E579" s="1026"/>
      <c r="F579" s="1027"/>
      <c r="G579" s="412" t="s">
        <v>1</v>
      </c>
      <c r="H579" s="446">
        <f t="shared" si="322"/>
        <v>0</v>
      </c>
      <c r="I579" s="446">
        <f t="shared" si="323"/>
        <v>0</v>
      </c>
      <c r="J579" s="446">
        <v>0</v>
      </c>
      <c r="K579" s="446">
        <v>0</v>
      </c>
      <c r="L579" s="446">
        <f t="shared" si="324"/>
        <v>0</v>
      </c>
      <c r="M579" s="446">
        <v>0</v>
      </c>
      <c r="N579" s="446">
        <v>0</v>
      </c>
    </row>
    <row r="580" spans="1:14" s="434" customFormat="1" ht="15" hidden="1" customHeight="1">
      <c r="A580" s="1022"/>
      <c r="B580" s="1030"/>
      <c r="C580" s="1022"/>
      <c r="D580" s="1030"/>
      <c r="E580" s="1028"/>
      <c r="F580" s="1029"/>
      <c r="G580" s="412" t="s">
        <v>2</v>
      </c>
      <c r="H580" s="410">
        <f t="shared" si="322"/>
        <v>9000000</v>
      </c>
      <c r="I580" s="410">
        <f t="shared" si="323"/>
        <v>9000000</v>
      </c>
      <c r="J580" s="410">
        <f t="shared" ref="J580:K580" si="353">J578+J579</f>
        <v>9000000</v>
      </c>
      <c r="K580" s="410">
        <f t="shared" si="353"/>
        <v>0</v>
      </c>
      <c r="L580" s="410">
        <f t="shared" si="324"/>
        <v>0</v>
      </c>
      <c r="M580" s="410">
        <f t="shared" ref="M580:N580" si="354">M578+M579</f>
        <v>0</v>
      </c>
      <c r="N580" s="410">
        <f t="shared" si="354"/>
        <v>0</v>
      </c>
    </row>
    <row r="581" spans="1:14" s="434" customFormat="1" ht="14.1" customHeight="1">
      <c r="A581" s="1022"/>
      <c r="B581" s="1023"/>
      <c r="C581" s="1022" t="s">
        <v>455</v>
      </c>
      <c r="D581" s="1023"/>
      <c r="E581" s="1024" t="s">
        <v>843</v>
      </c>
      <c r="F581" s="1025"/>
      <c r="G581" s="409" t="s">
        <v>0</v>
      </c>
      <c r="H581" s="446">
        <f t="shared" si="322"/>
        <v>5000000</v>
      </c>
      <c r="I581" s="446">
        <f t="shared" si="323"/>
        <v>5000000</v>
      </c>
      <c r="J581" s="446">
        <v>5000000</v>
      </c>
      <c r="K581" s="446">
        <v>0</v>
      </c>
      <c r="L581" s="446">
        <f t="shared" si="324"/>
        <v>0</v>
      </c>
      <c r="M581" s="446">
        <v>0</v>
      </c>
      <c r="N581" s="446">
        <v>0</v>
      </c>
    </row>
    <row r="582" spans="1:14" s="434" customFormat="1" ht="14.1" customHeight="1">
      <c r="A582" s="1022"/>
      <c r="B582" s="1030"/>
      <c r="C582" s="1022"/>
      <c r="D582" s="1030"/>
      <c r="E582" s="1026"/>
      <c r="F582" s="1027"/>
      <c r="G582" s="412" t="s">
        <v>1</v>
      </c>
      <c r="H582" s="446">
        <f t="shared" si="322"/>
        <v>1950000</v>
      </c>
      <c r="I582" s="446">
        <f t="shared" si="323"/>
        <v>1950000</v>
      </c>
      <c r="J582" s="446">
        <v>1950000</v>
      </c>
      <c r="K582" s="446">
        <v>0</v>
      </c>
      <c r="L582" s="446">
        <f t="shared" si="324"/>
        <v>0</v>
      </c>
      <c r="M582" s="446">
        <v>0</v>
      </c>
      <c r="N582" s="446">
        <v>0</v>
      </c>
    </row>
    <row r="583" spans="1:14" s="434" customFormat="1" ht="14.1" customHeight="1">
      <c r="A583" s="1031"/>
      <c r="B583" s="1032"/>
      <c r="C583" s="1031"/>
      <c r="D583" s="1032"/>
      <c r="E583" s="1028"/>
      <c r="F583" s="1029"/>
      <c r="G583" s="412" t="s">
        <v>2</v>
      </c>
      <c r="H583" s="410">
        <f t="shared" si="322"/>
        <v>6950000</v>
      </c>
      <c r="I583" s="410">
        <f t="shared" si="323"/>
        <v>6950000</v>
      </c>
      <c r="J583" s="410">
        <f t="shared" ref="J583:K583" si="355">J581+J582</f>
        <v>6950000</v>
      </c>
      <c r="K583" s="410">
        <f t="shared" si="355"/>
        <v>0</v>
      </c>
      <c r="L583" s="410">
        <f t="shared" si="324"/>
        <v>0</v>
      </c>
      <c r="M583" s="410">
        <f t="shared" ref="M583:N583" si="356">M581+M582</f>
        <v>0</v>
      </c>
      <c r="N583" s="410">
        <f t="shared" si="356"/>
        <v>0</v>
      </c>
    </row>
    <row r="584" spans="1:14" s="433" customFormat="1" ht="5.0999999999999996" customHeight="1">
      <c r="A584" s="473"/>
      <c r="B584" s="474"/>
      <c r="C584" s="474"/>
      <c r="D584" s="474"/>
      <c r="E584" s="474"/>
      <c r="F584" s="474"/>
      <c r="G584" s="475"/>
      <c r="H584" s="476"/>
      <c r="I584" s="477"/>
      <c r="J584" s="477"/>
      <c r="K584" s="477"/>
      <c r="L584" s="477"/>
      <c r="M584" s="477"/>
      <c r="N584" s="478"/>
    </row>
    <row r="585" spans="1:14" s="388" customFormat="1" ht="14.1" customHeight="1">
      <c r="A585" s="1013" t="s">
        <v>151</v>
      </c>
      <c r="B585" s="1014"/>
      <c r="C585" s="1014"/>
      <c r="D585" s="1014"/>
      <c r="E585" s="1014"/>
      <c r="F585" s="1015"/>
      <c r="G585" s="479" t="s">
        <v>0</v>
      </c>
      <c r="H585" s="386">
        <f t="shared" ref="H585:N587" si="357">H11</f>
        <v>797929720.39999998</v>
      </c>
      <c r="I585" s="386">
        <f t="shared" si="357"/>
        <v>448370382</v>
      </c>
      <c r="J585" s="386">
        <f t="shared" si="357"/>
        <v>242983577</v>
      </c>
      <c r="K585" s="386">
        <f t="shared" si="357"/>
        <v>205386805</v>
      </c>
      <c r="L585" s="386">
        <f t="shared" si="357"/>
        <v>349559338.39999998</v>
      </c>
      <c r="M585" s="386">
        <f t="shared" si="357"/>
        <v>4403669</v>
      </c>
      <c r="N585" s="386">
        <f t="shared" si="357"/>
        <v>345155669.39999998</v>
      </c>
    </row>
    <row r="586" spans="1:14" s="388" customFormat="1" ht="14.1" customHeight="1">
      <c r="A586" s="1016"/>
      <c r="B586" s="1017"/>
      <c r="C586" s="1017"/>
      <c r="D586" s="1017"/>
      <c r="E586" s="1017"/>
      <c r="F586" s="1018"/>
      <c r="G586" s="389" t="s">
        <v>1</v>
      </c>
      <c r="H586" s="386">
        <f t="shared" si="357"/>
        <v>18928358</v>
      </c>
      <c r="I586" s="386">
        <f t="shared" si="357"/>
        <v>18444626</v>
      </c>
      <c r="J586" s="386">
        <f t="shared" si="357"/>
        <v>14733261</v>
      </c>
      <c r="K586" s="386">
        <f t="shared" si="357"/>
        <v>3711365</v>
      </c>
      <c r="L586" s="386">
        <f t="shared" si="357"/>
        <v>483732</v>
      </c>
      <c r="M586" s="386">
        <f t="shared" si="357"/>
        <v>-46887</v>
      </c>
      <c r="N586" s="386">
        <f t="shared" si="357"/>
        <v>530619</v>
      </c>
    </row>
    <row r="587" spans="1:14" s="388" customFormat="1" ht="14.1" customHeight="1">
      <c r="A587" s="1019"/>
      <c r="B587" s="1020"/>
      <c r="C587" s="1020"/>
      <c r="D587" s="1020"/>
      <c r="E587" s="1020"/>
      <c r="F587" s="1021"/>
      <c r="G587" s="389" t="s">
        <v>2</v>
      </c>
      <c r="H587" s="386">
        <f t="shared" si="357"/>
        <v>816858078.39999998</v>
      </c>
      <c r="I587" s="386">
        <f t="shared" si="357"/>
        <v>466815008</v>
      </c>
      <c r="J587" s="386">
        <f t="shared" si="357"/>
        <v>257716838</v>
      </c>
      <c r="K587" s="386">
        <f t="shared" si="357"/>
        <v>209098170</v>
      </c>
      <c r="L587" s="386">
        <f t="shared" si="357"/>
        <v>350043070.39999998</v>
      </c>
      <c r="M587" s="386">
        <f t="shared" si="357"/>
        <v>4356782</v>
      </c>
      <c r="N587" s="386">
        <f t="shared" si="357"/>
        <v>345686288.39999998</v>
      </c>
    </row>
    <row r="588" spans="1:14" s="353" customFormat="1" ht="3" customHeight="1">
      <c r="A588" s="362"/>
      <c r="B588" s="362"/>
      <c r="C588" s="362"/>
      <c r="D588" s="362"/>
      <c r="E588" s="363"/>
      <c r="F588" s="364"/>
      <c r="G588" s="363"/>
      <c r="H588" s="365"/>
      <c r="I588" s="360"/>
      <c r="J588" s="360"/>
      <c r="K588" s="360"/>
      <c r="L588" s="360"/>
      <c r="M588" s="360"/>
      <c r="N588" s="360"/>
    </row>
    <row r="589" spans="1:14" s="353" customFormat="1" ht="12" customHeight="1">
      <c r="A589" s="480" t="s">
        <v>94</v>
      </c>
      <c r="B589" s="481"/>
      <c r="C589" s="364"/>
      <c r="D589" s="481"/>
      <c r="E589" s="364"/>
      <c r="F589" s="364"/>
      <c r="G589" s="363"/>
      <c r="H589" s="360"/>
      <c r="I589" s="360"/>
      <c r="J589" s="360"/>
      <c r="K589" s="360"/>
      <c r="L589" s="360"/>
      <c r="M589" s="360"/>
      <c r="N589" s="360"/>
    </row>
    <row r="590" spans="1:14" s="353" customFormat="1" ht="12" customHeight="1">
      <c r="A590" s="480" t="s">
        <v>844</v>
      </c>
      <c r="B590" s="362"/>
      <c r="C590" s="364"/>
      <c r="D590" s="362"/>
      <c r="E590" s="364"/>
      <c r="F590" s="364"/>
      <c r="G590" s="363"/>
      <c r="H590" s="360"/>
      <c r="I590" s="360"/>
      <c r="J590" s="360"/>
      <c r="K590" s="360"/>
      <c r="L590" s="360"/>
      <c r="M590" s="360"/>
      <c r="N590" s="360"/>
    </row>
    <row r="591" spans="1:14" s="353" customFormat="1" ht="12" customHeight="1">
      <c r="A591" s="362" t="s">
        <v>845</v>
      </c>
      <c r="B591" s="362" t="s">
        <v>846</v>
      </c>
      <c r="C591" s="480" t="s">
        <v>847</v>
      </c>
      <c r="D591" s="362"/>
      <c r="E591" s="363"/>
      <c r="F591" s="364"/>
      <c r="G591" s="363"/>
      <c r="H591" s="360"/>
      <c r="I591" s="360"/>
      <c r="J591" s="360"/>
      <c r="K591" s="360"/>
      <c r="L591" s="360"/>
      <c r="M591" s="360"/>
      <c r="N591" s="360"/>
    </row>
    <row r="592" spans="1:14" s="353" customFormat="1" ht="12" customHeight="1">
      <c r="A592" s="362" t="s">
        <v>1</v>
      </c>
      <c r="B592" s="362" t="s">
        <v>846</v>
      </c>
      <c r="C592" s="480" t="s">
        <v>848</v>
      </c>
      <c r="D592" s="362"/>
      <c r="E592" s="363"/>
      <c r="F592" s="364"/>
      <c r="G592" s="363"/>
      <c r="H592" s="360"/>
      <c r="I592" s="360"/>
      <c r="J592" s="360"/>
      <c r="K592" s="360"/>
      <c r="L592" s="360"/>
      <c r="M592" s="360"/>
      <c r="N592" s="360"/>
    </row>
    <row r="593" spans="1:14" s="362" customFormat="1" ht="12" customHeight="1">
      <c r="A593" s="362" t="s">
        <v>2</v>
      </c>
      <c r="B593" s="362" t="s">
        <v>846</v>
      </c>
      <c r="C593" s="480" t="s">
        <v>849</v>
      </c>
      <c r="E593" s="363"/>
      <c r="F593" s="364"/>
      <c r="G593" s="363"/>
      <c r="H593" s="360"/>
      <c r="I593" s="360"/>
      <c r="J593" s="360"/>
      <c r="K593" s="360"/>
      <c r="L593" s="360"/>
      <c r="M593" s="360"/>
      <c r="N593" s="360"/>
    </row>
  </sheetData>
  <sheetProtection algorithmName="SHA-512" hashValue="MoRVlX4biIxH61hoTEERpiVFEgeExl35GMgGT0Mrj30MFkpOdEIMIvDt8v1MMkun5W6LUfWworE3J6zOuJu6Sw==" saltValue="02HZYiKgmfFOGIazRtnX6A==" spinCount="100000" sheet="1" objects="1" scenarios="1"/>
  <mergeCells count="1275"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49:B49"/>
    <mergeCell ref="C49:D49"/>
    <mergeCell ref="E49:F51"/>
    <mergeCell ref="A50:B50"/>
    <mergeCell ref="C50:D50"/>
    <mergeCell ref="A51:B51"/>
    <mergeCell ref="C51:D51"/>
    <mergeCell ref="A38:F40"/>
    <mergeCell ref="A42:F44"/>
    <mergeCell ref="A46:B46"/>
    <mergeCell ref="C46:D46"/>
    <mergeCell ref="E46:F48"/>
    <mergeCell ref="A47:B47"/>
    <mergeCell ref="C47:D47"/>
    <mergeCell ref="A48:B48"/>
    <mergeCell ref="C48:D48"/>
    <mergeCell ref="A34:B34"/>
    <mergeCell ref="C34:D34"/>
    <mergeCell ref="E34:F36"/>
    <mergeCell ref="A35:B35"/>
    <mergeCell ref="C35:D35"/>
    <mergeCell ref="A36:B36"/>
    <mergeCell ref="C36:D36"/>
    <mergeCell ref="A58:B58"/>
    <mergeCell ref="C58:D58"/>
    <mergeCell ref="E58:F60"/>
    <mergeCell ref="A59:B59"/>
    <mergeCell ref="C59:D59"/>
    <mergeCell ref="A60:B60"/>
    <mergeCell ref="C60:D60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67:B67"/>
    <mergeCell ref="C67:D67"/>
    <mergeCell ref="E67:F69"/>
    <mergeCell ref="A68:B68"/>
    <mergeCell ref="C68:D68"/>
    <mergeCell ref="A69:B69"/>
    <mergeCell ref="C69:D69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76:B76"/>
    <mergeCell ref="C76:D76"/>
    <mergeCell ref="E76:F78"/>
    <mergeCell ref="A77:B77"/>
    <mergeCell ref="C77:D77"/>
    <mergeCell ref="A78:B78"/>
    <mergeCell ref="C78:D78"/>
    <mergeCell ref="A73:B73"/>
    <mergeCell ref="C73:D73"/>
    <mergeCell ref="E73:F75"/>
    <mergeCell ref="A74:B74"/>
    <mergeCell ref="C74:D74"/>
    <mergeCell ref="A75:B75"/>
    <mergeCell ref="C75:D75"/>
    <mergeCell ref="A70:B70"/>
    <mergeCell ref="C70:D70"/>
    <mergeCell ref="E70:F72"/>
    <mergeCell ref="A71:B71"/>
    <mergeCell ref="C71:D71"/>
    <mergeCell ref="A72:B72"/>
    <mergeCell ref="C72:D72"/>
    <mergeCell ref="A85:B85"/>
    <mergeCell ref="C85:D85"/>
    <mergeCell ref="E85:F87"/>
    <mergeCell ref="A86:B86"/>
    <mergeCell ref="C86:D86"/>
    <mergeCell ref="A87:B87"/>
    <mergeCell ref="C87:D87"/>
    <mergeCell ref="A82:B82"/>
    <mergeCell ref="C82:D82"/>
    <mergeCell ref="E82:F84"/>
    <mergeCell ref="A83:B83"/>
    <mergeCell ref="C83:D83"/>
    <mergeCell ref="A84:B84"/>
    <mergeCell ref="C84:D84"/>
    <mergeCell ref="A79:B79"/>
    <mergeCell ref="C79:D79"/>
    <mergeCell ref="E79:F81"/>
    <mergeCell ref="A80:B80"/>
    <mergeCell ref="C80:D80"/>
    <mergeCell ref="A81:B81"/>
    <mergeCell ref="C81:D81"/>
    <mergeCell ref="A94:B94"/>
    <mergeCell ref="C94:D94"/>
    <mergeCell ref="E94:F96"/>
    <mergeCell ref="A95:B95"/>
    <mergeCell ref="C95:D95"/>
    <mergeCell ref="A96:B96"/>
    <mergeCell ref="C96:D96"/>
    <mergeCell ref="A91:B91"/>
    <mergeCell ref="C91:D91"/>
    <mergeCell ref="E91:F93"/>
    <mergeCell ref="A92:B92"/>
    <mergeCell ref="C92:D92"/>
    <mergeCell ref="A93:B93"/>
    <mergeCell ref="C93:D93"/>
    <mergeCell ref="A88:B88"/>
    <mergeCell ref="C88:D88"/>
    <mergeCell ref="E88:F90"/>
    <mergeCell ref="A89:B89"/>
    <mergeCell ref="C89:D89"/>
    <mergeCell ref="A90:B90"/>
    <mergeCell ref="C90:D90"/>
    <mergeCell ref="A103:B103"/>
    <mergeCell ref="C103:D103"/>
    <mergeCell ref="E103:F105"/>
    <mergeCell ref="A104:B104"/>
    <mergeCell ref="C104:D104"/>
    <mergeCell ref="A105:B105"/>
    <mergeCell ref="C105:D105"/>
    <mergeCell ref="A100:B100"/>
    <mergeCell ref="C100:D100"/>
    <mergeCell ref="E100:F102"/>
    <mergeCell ref="A101:B101"/>
    <mergeCell ref="C101:D101"/>
    <mergeCell ref="A102:B102"/>
    <mergeCell ref="C102:D102"/>
    <mergeCell ref="A97:B97"/>
    <mergeCell ref="C97:D97"/>
    <mergeCell ref="E97:F99"/>
    <mergeCell ref="A98:B98"/>
    <mergeCell ref="C98:D98"/>
    <mergeCell ref="A99:B99"/>
    <mergeCell ref="C99:D99"/>
    <mergeCell ref="A112:B112"/>
    <mergeCell ref="C112:D112"/>
    <mergeCell ref="E112:F114"/>
    <mergeCell ref="A113:B113"/>
    <mergeCell ref="C113:D113"/>
    <mergeCell ref="A114:B114"/>
    <mergeCell ref="C114:D114"/>
    <mergeCell ref="A109:B109"/>
    <mergeCell ref="C109:D109"/>
    <mergeCell ref="E109:F111"/>
    <mergeCell ref="A110:B110"/>
    <mergeCell ref="C110:D110"/>
    <mergeCell ref="A111:B111"/>
    <mergeCell ref="C111:D111"/>
    <mergeCell ref="A106:B106"/>
    <mergeCell ref="C106:D106"/>
    <mergeCell ref="E106:F108"/>
    <mergeCell ref="A107:B107"/>
    <mergeCell ref="C107:D107"/>
    <mergeCell ref="A108:B108"/>
    <mergeCell ref="C108:D108"/>
    <mergeCell ref="A130:B130"/>
    <mergeCell ref="C130:D130"/>
    <mergeCell ref="F130:F132"/>
    <mergeCell ref="A131:B131"/>
    <mergeCell ref="C131:D131"/>
    <mergeCell ref="A132:B132"/>
    <mergeCell ref="C132:D132"/>
    <mergeCell ref="A119:F121"/>
    <mergeCell ref="A123:F125"/>
    <mergeCell ref="A127:B127"/>
    <mergeCell ref="C127:D127"/>
    <mergeCell ref="F127:F129"/>
    <mergeCell ref="A128:B128"/>
    <mergeCell ref="C128:D128"/>
    <mergeCell ref="A129:B129"/>
    <mergeCell ref="C129:D129"/>
    <mergeCell ref="A115:B115"/>
    <mergeCell ref="C115:D115"/>
    <mergeCell ref="E115:F117"/>
    <mergeCell ref="A116:B116"/>
    <mergeCell ref="C116:D116"/>
    <mergeCell ref="A117:B117"/>
    <mergeCell ref="C117:D117"/>
    <mergeCell ref="A140:F142"/>
    <mergeCell ref="A144:B144"/>
    <mergeCell ref="C144:D144"/>
    <mergeCell ref="F144:F146"/>
    <mergeCell ref="A145:B145"/>
    <mergeCell ref="C145:D145"/>
    <mergeCell ref="A146:B146"/>
    <mergeCell ref="C146:D146"/>
    <mergeCell ref="A136:B136"/>
    <mergeCell ref="C136:D136"/>
    <mergeCell ref="F136:F138"/>
    <mergeCell ref="A137:B137"/>
    <mergeCell ref="C137:D137"/>
    <mergeCell ref="A138:B138"/>
    <mergeCell ref="C138:D138"/>
    <mergeCell ref="A133:B133"/>
    <mergeCell ref="C133:D133"/>
    <mergeCell ref="F133:F135"/>
    <mergeCell ref="A134:B134"/>
    <mergeCell ref="C134:D134"/>
    <mergeCell ref="A135:B135"/>
    <mergeCell ref="C135:D135"/>
    <mergeCell ref="A153:B153"/>
    <mergeCell ref="C153:D153"/>
    <mergeCell ref="F153:F155"/>
    <mergeCell ref="A154:B154"/>
    <mergeCell ref="C154:D154"/>
    <mergeCell ref="A155:B155"/>
    <mergeCell ref="C155:D155"/>
    <mergeCell ref="A150:B150"/>
    <mergeCell ref="C150:D150"/>
    <mergeCell ref="F150:F152"/>
    <mergeCell ref="A151:B151"/>
    <mergeCell ref="C151:D151"/>
    <mergeCell ref="A152:B152"/>
    <mergeCell ref="C152:D152"/>
    <mergeCell ref="A147:B147"/>
    <mergeCell ref="C147:D147"/>
    <mergeCell ref="F147:F149"/>
    <mergeCell ref="A148:B148"/>
    <mergeCell ref="C148:D148"/>
    <mergeCell ref="A149:B149"/>
    <mergeCell ref="C149:D149"/>
    <mergeCell ref="A162:B162"/>
    <mergeCell ref="C162:D162"/>
    <mergeCell ref="F162:F164"/>
    <mergeCell ref="A163:B163"/>
    <mergeCell ref="C163:D163"/>
    <mergeCell ref="A164:B164"/>
    <mergeCell ref="C164:D164"/>
    <mergeCell ref="A159:B159"/>
    <mergeCell ref="C159:D159"/>
    <mergeCell ref="F159:F161"/>
    <mergeCell ref="A160:B160"/>
    <mergeCell ref="C160:D160"/>
    <mergeCell ref="A161:B161"/>
    <mergeCell ref="C161:D161"/>
    <mergeCell ref="A156:B156"/>
    <mergeCell ref="C156:D156"/>
    <mergeCell ref="F156:F158"/>
    <mergeCell ref="A157:B157"/>
    <mergeCell ref="C157:D157"/>
    <mergeCell ref="A158:B158"/>
    <mergeCell ref="C158:D158"/>
    <mergeCell ref="A171:B171"/>
    <mergeCell ref="C171:D171"/>
    <mergeCell ref="F171:F173"/>
    <mergeCell ref="A172:B172"/>
    <mergeCell ref="C172:D172"/>
    <mergeCell ref="A173:B173"/>
    <mergeCell ref="C173:D173"/>
    <mergeCell ref="A168:B168"/>
    <mergeCell ref="C168:D168"/>
    <mergeCell ref="F168:F170"/>
    <mergeCell ref="A169:B169"/>
    <mergeCell ref="C169:D169"/>
    <mergeCell ref="A170:B170"/>
    <mergeCell ref="C170:D170"/>
    <mergeCell ref="A165:B165"/>
    <mergeCell ref="C165:D165"/>
    <mergeCell ref="F165:F167"/>
    <mergeCell ref="A166:B166"/>
    <mergeCell ref="C166:D166"/>
    <mergeCell ref="A167:B167"/>
    <mergeCell ref="C167:D167"/>
    <mergeCell ref="A180:B180"/>
    <mergeCell ref="C180:D180"/>
    <mergeCell ref="F180:F182"/>
    <mergeCell ref="A181:B181"/>
    <mergeCell ref="C181:D181"/>
    <mergeCell ref="A182:B182"/>
    <mergeCell ref="C182:D182"/>
    <mergeCell ref="A177:B177"/>
    <mergeCell ref="C177:D177"/>
    <mergeCell ref="F177:F179"/>
    <mergeCell ref="A178:B178"/>
    <mergeCell ref="C178:D178"/>
    <mergeCell ref="A179:B179"/>
    <mergeCell ref="C179:D179"/>
    <mergeCell ref="A174:B174"/>
    <mergeCell ref="C174:D174"/>
    <mergeCell ref="F174:F176"/>
    <mergeCell ref="A175:B175"/>
    <mergeCell ref="C175:D175"/>
    <mergeCell ref="A176:B176"/>
    <mergeCell ref="C176:D176"/>
    <mergeCell ref="A189:B189"/>
    <mergeCell ref="C189:D189"/>
    <mergeCell ref="F189:F191"/>
    <mergeCell ref="A190:B190"/>
    <mergeCell ref="C190:D190"/>
    <mergeCell ref="A191:B191"/>
    <mergeCell ref="C191:D191"/>
    <mergeCell ref="A186:B186"/>
    <mergeCell ref="C186:D186"/>
    <mergeCell ref="F186:F188"/>
    <mergeCell ref="A187:B187"/>
    <mergeCell ref="C187:D187"/>
    <mergeCell ref="A188:B188"/>
    <mergeCell ref="C188:D188"/>
    <mergeCell ref="A183:B183"/>
    <mergeCell ref="C183:D183"/>
    <mergeCell ref="F183:F185"/>
    <mergeCell ref="A184:B184"/>
    <mergeCell ref="C184:D184"/>
    <mergeCell ref="A185:B185"/>
    <mergeCell ref="C185:D185"/>
    <mergeCell ref="A198:B198"/>
    <mergeCell ref="C198:D198"/>
    <mergeCell ref="F198:F200"/>
    <mergeCell ref="A199:B199"/>
    <mergeCell ref="C199:D199"/>
    <mergeCell ref="A200:B200"/>
    <mergeCell ref="C200:D200"/>
    <mergeCell ref="A195:B195"/>
    <mergeCell ref="C195:D195"/>
    <mergeCell ref="F195:F197"/>
    <mergeCell ref="A196:B196"/>
    <mergeCell ref="C196:D196"/>
    <mergeCell ref="A197:B197"/>
    <mergeCell ref="C197:D197"/>
    <mergeCell ref="A192:B192"/>
    <mergeCell ref="C192:D192"/>
    <mergeCell ref="F192:F194"/>
    <mergeCell ref="A193:B193"/>
    <mergeCell ref="C193:D193"/>
    <mergeCell ref="A194:B194"/>
    <mergeCell ref="C194:D194"/>
    <mergeCell ref="A207:B207"/>
    <mergeCell ref="C207:D207"/>
    <mergeCell ref="F207:F209"/>
    <mergeCell ref="A208:B208"/>
    <mergeCell ref="C208:D208"/>
    <mergeCell ref="A209:B209"/>
    <mergeCell ref="C209:D209"/>
    <mergeCell ref="A204:B204"/>
    <mergeCell ref="C204:D204"/>
    <mergeCell ref="F204:F206"/>
    <mergeCell ref="A205:B205"/>
    <mergeCell ref="C205:D205"/>
    <mergeCell ref="A206:B206"/>
    <mergeCell ref="C206:D206"/>
    <mergeCell ref="A201:B201"/>
    <mergeCell ref="C201:D201"/>
    <mergeCell ref="F201:F203"/>
    <mergeCell ref="A202:B202"/>
    <mergeCell ref="C202:D202"/>
    <mergeCell ref="A203:B203"/>
    <mergeCell ref="C203:D203"/>
    <mergeCell ref="A216:B216"/>
    <mergeCell ref="C216:D216"/>
    <mergeCell ref="F216:F218"/>
    <mergeCell ref="A217:B217"/>
    <mergeCell ref="C217:D217"/>
    <mergeCell ref="A218:B218"/>
    <mergeCell ref="C218:D218"/>
    <mergeCell ref="A213:B213"/>
    <mergeCell ref="C213:D213"/>
    <mergeCell ref="F213:F215"/>
    <mergeCell ref="A214:B214"/>
    <mergeCell ref="C214:D214"/>
    <mergeCell ref="A215:B215"/>
    <mergeCell ref="C215:D215"/>
    <mergeCell ref="A210:B210"/>
    <mergeCell ref="C210:D210"/>
    <mergeCell ref="F210:F212"/>
    <mergeCell ref="A211:B211"/>
    <mergeCell ref="C211:D211"/>
    <mergeCell ref="A212:B212"/>
    <mergeCell ref="C212:D212"/>
    <mergeCell ref="A225:B225"/>
    <mergeCell ref="C225:D225"/>
    <mergeCell ref="F225:F227"/>
    <mergeCell ref="A226:B226"/>
    <mergeCell ref="C226:D226"/>
    <mergeCell ref="A227:B227"/>
    <mergeCell ref="C227:D227"/>
    <mergeCell ref="A222:B222"/>
    <mergeCell ref="C222:D222"/>
    <mergeCell ref="F222:F224"/>
    <mergeCell ref="A223:B223"/>
    <mergeCell ref="C223:D223"/>
    <mergeCell ref="A224:B224"/>
    <mergeCell ref="C224:D224"/>
    <mergeCell ref="A219:B219"/>
    <mergeCell ref="C219:D219"/>
    <mergeCell ref="F219:F221"/>
    <mergeCell ref="A220:B220"/>
    <mergeCell ref="C220:D220"/>
    <mergeCell ref="A221:B221"/>
    <mergeCell ref="C221:D221"/>
    <mergeCell ref="A234:B234"/>
    <mergeCell ref="C234:D234"/>
    <mergeCell ref="F234:F236"/>
    <mergeCell ref="A235:B235"/>
    <mergeCell ref="C235:D235"/>
    <mergeCell ref="A236:B236"/>
    <mergeCell ref="C236:D236"/>
    <mergeCell ref="A231:B231"/>
    <mergeCell ref="C231:D231"/>
    <mergeCell ref="F231:F233"/>
    <mergeCell ref="A232:B232"/>
    <mergeCell ref="C232:D232"/>
    <mergeCell ref="A233:B233"/>
    <mergeCell ref="C233:D233"/>
    <mergeCell ref="A228:B228"/>
    <mergeCell ref="C228:D228"/>
    <mergeCell ref="F228:F230"/>
    <mergeCell ref="A229:B229"/>
    <mergeCell ref="C229:D229"/>
    <mergeCell ref="A230:B230"/>
    <mergeCell ref="C230:D230"/>
    <mergeCell ref="A243:B243"/>
    <mergeCell ref="C243:D243"/>
    <mergeCell ref="F243:F245"/>
    <mergeCell ref="A244:B244"/>
    <mergeCell ref="C244:D244"/>
    <mergeCell ref="A245:B245"/>
    <mergeCell ref="C245:D245"/>
    <mergeCell ref="A240:B240"/>
    <mergeCell ref="C240:D240"/>
    <mergeCell ref="F240:F242"/>
    <mergeCell ref="A241:B241"/>
    <mergeCell ref="C241:D241"/>
    <mergeCell ref="A242:B242"/>
    <mergeCell ref="C242:D242"/>
    <mergeCell ref="A237:B237"/>
    <mergeCell ref="C237:D237"/>
    <mergeCell ref="F237:F239"/>
    <mergeCell ref="A238:B238"/>
    <mergeCell ref="C238:D238"/>
    <mergeCell ref="A239:B239"/>
    <mergeCell ref="C239:D239"/>
    <mergeCell ref="A257:B257"/>
    <mergeCell ref="C257:D257"/>
    <mergeCell ref="E257:F259"/>
    <mergeCell ref="A258:B258"/>
    <mergeCell ref="C258:D258"/>
    <mergeCell ref="A259:B259"/>
    <mergeCell ref="C259:D259"/>
    <mergeCell ref="A254:B254"/>
    <mergeCell ref="C254:D254"/>
    <mergeCell ref="E254:F256"/>
    <mergeCell ref="A255:B255"/>
    <mergeCell ref="C255:D255"/>
    <mergeCell ref="A256:B256"/>
    <mergeCell ref="C256:D256"/>
    <mergeCell ref="A247:F249"/>
    <mergeCell ref="A251:B251"/>
    <mergeCell ref="C251:D251"/>
    <mergeCell ref="E251:F253"/>
    <mergeCell ref="A252:B252"/>
    <mergeCell ref="C252:D252"/>
    <mergeCell ref="A253:B253"/>
    <mergeCell ref="C253:D253"/>
    <mergeCell ref="A266:B266"/>
    <mergeCell ref="C266:D266"/>
    <mergeCell ref="E266:F268"/>
    <mergeCell ref="A267:B267"/>
    <mergeCell ref="C267:D267"/>
    <mergeCell ref="A268:B268"/>
    <mergeCell ref="C268:D268"/>
    <mergeCell ref="A263:B263"/>
    <mergeCell ref="C263:D263"/>
    <mergeCell ref="E263:F265"/>
    <mergeCell ref="A264:B264"/>
    <mergeCell ref="C264:D264"/>
    <mergeCell ref="A265:B265"/>
    <mergeCell ref="C265:D265"/>
    <mergeCell ref="A260:B260"/>
    <mergeCell ref="C260:D260"/>
    <mergeCell ref="E260:F262"/>
    <mergeCell ref="A261:B261"/>
    <mergeCell ref="C261:D261"/>
    <mergeCell ref="A262:B262"/>
    <mergeCell ref="C262:D262"/>
    <mergeCell ref="A275:B275"/>
    <mergeCell ref="C275:D275"/>
    <mergeCell ref="E275:F277"/>
    <mergeCell ref="A276:B276"/>
    <mergeCell ref="C276:D276"/>
    <mergeCell ref="A277:B277"/>
    <mergeCell ref="C277:D277"/>
    <mergeCell ref="A272:B272"/>
    <mergeCell ref="C272:D272"/>
    <mergeCell ref="E272:F274"/>
    <mergeCell ref="A273:B273"/>
    <mergeCell ref="C273:D273"/>
    <mergeCell ref="A274:B274"/>
    <mergeCell ref="C274:D274"/>
    <mergeCell ref="A269:B269"/>
    <mergeCell ref="C269:D269"/>
    <mergeCell ref="E269:F271"/>
    <mergeCell ref="A270:B270"/>
    <mergeCell ref="C270:D270"/>
    <mergeCell ref="A271:B271"/>
    <mergeCell ref="C271:D271"/>
    <mergeCell ref="A284:B284"/>
    <mergeCell ref="C284:D284"/>
    <mergeCell ref="E284:F286"/>
    <mergeCell ref="A285:B285"/>
    <mergeCell ref="C285:D285"/>
    <mergeCell ref="A286:B286"/>
    <mergeCell ref="C286:D286"/>
    <mergeCell ref="A281:B281"/>
    <mergeCell ref="C281:D281"/>
    <mergeCell ref="E281:F283"/>
    <mergeCell ref="A282:B282"/>
    <mergeCell ref="C282:D282"/>
    <mergeCell ref="A283:B283"/>
    <mergeCell ref="C283:D283"/>
    <mergeCell ref="A278:B278"/>
    <mergeCell ref="C278:D278"/>
    <mergeCell ref="E278:F280"/>
    <mergeCell ref="A279:B279"/>
    <mergeCell ref="C279:D279"/>
    <mergeCell ref="A280:B280"/>
    <mergeCell ref="C280:D280"/>
    <mergeCell ref="A293:B293"/>
    <mergeCell ref="C293:D293"/>
    <mergeCell ref="E293:F295"/>
    <mergeCell ref="A294:B294"/>
    <mergeCell ref="C294:D294"/>
    <mergeCell ref="A295:B295"/>
    <mergeCell ref="C295:D295"/>
    <mergeCell ref="A290:B290"/>
    <mergeCell ref="C290:D290"/>
    <mergeCell ref="E290:F292"/>
    <mergeCell ref="A291:B291"/>
    <mergeCell ref="C291:D291"/>
    <mergeCell ref="A292:B292"/>
    <mergeCell ref="C292:D292"/>
    <mergeCell ref="A287:B287"/>
    <mergeCell ref="C287:D287"/>
    <mergeCell ref="E287:F289"/>
    <mergeCell ref="A288:B288"/>
    <mergeCell ref="C288:D288"/>
    <mergeCell ref="A289:B289"/>
    <mergeCell ref="C289:D289"/>
    <mergeCell ref="A302:B302"/>
    <mergeCell ref="C302:D302"/>
    <mergeCell ref="E302:F304"/>
    <mergeCell ref="A303:B303"/>
    <mergeCell ref="C303:D303"/>
    <mergeCell ref="A304:B304"/>
    <mergeCell ref="C304:D304"/>
    <mergeCell ref="A299:B299"/>
    <mergeCell ref="C299:D299"/>
    <mergeCell ref="E299:F301"/>
    <mergeCell ref="A300:B300"/>
    <mergeCell ref="C300:D300"/>
    <mergeCell ref="A301:B301"/>
    <mergeCell ref="C301:D301"/>
    <mergeCell ref="A296:B296"/>
    <mergeCell ref="C296:D296"/>
    <mergeCell ref="E296:F298"/>
    <mergeCell ref="A297:B297"/>
    <mergeCell ref="C297:D297"/>
    <mergeCell ref="A298:B298"/>
    <mergeCell ref="C298:D298"/>
    <mergeCell ref="A311:B311"/>
    <mergeCell ref="C311:D311"/>
    <mergeCell ref="E311:F313"/>
    <mergeCell ref="A312:B312"/>
    <mergeCell ref="C312:D312"/>
    <mergeCell ref="A313:B313"/>
    <mergeCell ref="C313:D313"/>
    <mergeCell ref="A308:B308"/>
    <mergeCell ref="C308:D308"/>
    <mergeCell ref="E308:F310"/>
    <mergeCell ref="A309:B309"/>
    <mergeCell ref="C309:D309"/>
    <mergeCell ref="A310:B310"/>
    <mergeCell ref="C310:D310"/>
    <mergeCell ref="A305:B305"/>
    <mergeCell ref="C305:D305"/>
    <mergeCell ref="E305:F307"/>
    <mergeCell ref="A306:B306"/>
    <mergeCell ref="C306:D306"/>
    <mergeCell ref="A307:B307"/>
    <mergeCell ref="C307:D307"/>
    <mergeCell ref="A320:B320"/>
    <mergeCell ref="C320:D320"/>
    <mergeCell ref="E320:F322"/>
    <mergeCell ref="A321:B321"/>
    <mergeCell ref="C321:D321"/>
    <mergeCell ref="A322:B322"/>
    <mergeCell ref="C322:D322"/>
    <mergeCell ref="A317:B317"/>
    <mergeCell ref="C317:D317"/>
    <mergeCell ref="E317:F319"/>
    <mergeCell ref="A318:B318"/>
    <mergeCell ref="C318:D318"/>
    <mergeCell ref="A319:B319"/>
    <mergeCell ref="C319:D319"/>
    <mergeCell ref="A314:B314"/>
    <mergeCell ref="C314:D314"/>
    <mergeCell ref="E314:F316"/>
    <mergeCell ref="A315:B315"/>
    <mergeCell ref="C315:D315"/>
    <mergeCell ref="A316:B316"/>
    <mergeCell ref="C316:D316"/>
    <mergeCell ref="A329:B329"/>
    <mergeCell ref="C329:D329"/>
    <mergeCell ref="E329:F331"/>
    <mergeCell ref="A330:B330"/>
    <mergeCell ref="C330:D330"/>
    <mergeCell ref="A331:B331"/>
    <mergeCell ref="C331:D331"/>
    <mergeCell ref="A326:B326"/>
    <mergeCell ref="C326:D326"/>
    <mergeCell ref="E326:F328"/>
    <mergeCell ref="A327:B327"/>
    <mergeCell ref="C327:D327"/>
    <mergeCell ref="A328:B328"/>
    <mergeCell ref="C328:D328"/>
    <mergeCell ref="A323:B323"/>
    <mergeCell ref="C323:D323"/>
    <mergeCell ref="E323:F325"/>
    <mergeCell ref="A324:B324"/>
    <mergeCell ref="C324:D324"/>
    <mergeCell ref="A325:B325"/>
    <mergeCell ref="C325:D325"/>
    <mergeCell ref="A338:B338"/>
    <mergeCell ref="C338:D338"/>
    <mergeCell ref="E338:F340"/>
    <mergeCell ref="A339:B339"/>
    <mergeCell ref="C339:D339"/>
    <mergeCell ref="A340:B340"/>
    <mergeCell ref="C340:D340"/>
    <mergeCell ref="A335:B335"/>
    <mergeCell ref="C335:D335"/>
    <mergeCell ref="E335:F337"/>
    <mergeCell ref="A336:B336"/>
    <mergeCell ref="C336:D336"/>
    <mergeCell ref="A337:B337"/>
    <mergeCell ref="C337:D337"/>
    <mergeCell ref="A332:B332"/>
    <mergeCell ref="C332:D332"/>
    <mergeCell ref="E332:F334"/>
    <mergeCell ref="A333:B333"/>
    <mergeCell ref="C333:D333"/>
    <mergeCell ref="A334:B334"/>
    <mergeCell ref="C334:D334"/>
    <mergeCell ref="A347:B347"/>
    <mergeCell ref="C347:D347"/>
    <mergeCell ref="E347:F349"/>
    <mergeCell ref="A348:B348"/>
    <mergeCell ref="C348:D348"/>
    <mergeCell ref="A349:B349"/>
    <mergeCell ref="C349:D349"/>
    <mergeCell ref="A344:B344"/>
    <mergeCell ref="C344:D344"/>
    <mergeCell ref="E344:F346"/>
    <mergeCell ref="A345:B345"/>
    <mergeCell ref="C345:D345"/>
    <mergeCell ref="A346:B346"/>
    <mergeCell ref="C346:D346"/>
    <mergeCell ref="A341:B341"/>
    <mergeCell ref="C341:D341"/>
    <mergeCell ref="E341:F343"/>
    <mergeCell ref="A342:B342"/>
    <mergeCell ref="C342:D342"/>
    <mergeCell ref="A343:B343"/>
    <mergeCell ref="C343:D343"/>
    <mergeCell ref="A356:B356"/>
    <mergeCell ref="C356:D356"/>
    <mergeCell ref="E356:F358"/>
    <mergeCell ref="A357:B357"/>
    <mergeCell ref="C357:D357"/>
    <mergeCell ref="A358:B358"/>
    <mergeCell ref="C358:D358"/>
    <mergeCell ref="A353:B353"/>
    <mergeCell ref="C353:D353"/>
    <mergeCell ref="E353:F355"/>
    <mergeCell ref="A354:B354"/>
    <mergeCell ref="C354:D354"/>
    <mergeCell ref="A355:B355"/>
    <mergeCell ref="C355:D355"/>
    <mergeCell ref="A350:B350"/>
    <mergeCell ref="C350:D350"/>
    <mergeCell ref="E350:F352"/>
    <mergeCell ref="A351:B351"/>
    <mergeCell ref="C351:D351"/>
    <mergeCell ref="A352:B352"/>
    <mergeCell ref="C352:D352"/>
    <mergeCell ref="A365:B365"/>
    <mergeCell ref="C365:D365"/>
    <mergeCell ref="E365:F367"/>
    <mergeCell ref="A366:B366"/>
    <mergeCell ref="C366:D366"/>
    <mergeCell ref="A367:B367"/>
    <mergeCell ref="C367:D367"/>
    <mergeCell ref="A362:B362"/>
    <mergeCell ref="C362:D362"/>
    <mergeCell ref="E362:F364"/>
    <mergeCell ref="A363:B363"/>
    <mergeCell ref="C363:D363"/>
    <mergeCell ref="A364:B364"/>
    <mergeCell ref="C364:D364"/>
    <mergeCell ref="A359:B359"/>
    <mergeCell ref="C359:D359"/>
    <mergeCell ref="E359:F361"/>
    <mergeCell ref="A360:B360"/>
    <mergeCell ref="C360:D360"/>
    <mergeCell ref="A361:B361"/>
    <mergeCell ref="C361:D361"/>
    <mergeCell ref="A374:B374"/>
    <mergeCell ref="C374:D374"/>
    <mergeCell ref="E374:F376"/>
    <mergeCell ref="A375:B375"/>
    <mergeCell ref="C375:D375"/>
    <mergeCell ref="A376:B376"/>
    <mergeCell ref="C376:D376"/>
    <mergeCell ref="A371:B371"/>
    <mergeCell ref="C371:D371"/>
    <mergeCell ref="E371:F373"/>
    <mergeCell ref="A372:B372"/>
    <mergeCell ref="C372:D372"/>
    <mergeCell ref="A373:B373"/>
    <mergeCell ref="C373:D373"/>
    <mergeCell ref="A368:B368"/>
    <mergeCell ref="C368:D368"/>
    <mergeCell ref="E368:F370"/>
    <mergeCell ref="A369:B369"/>
    <mergeCell ref="C369:D369"/>
    <mergeCell ref="A370:B370"/>
    <mergeCell ref="C370:D370"/>
    <mergeCell ref="A383:B383"/>
    <mergeCell ref="C383:D383"/>
    <mergeCell ref="E383:F385"/>
    <mergeCell ref="A384:B384"/>
    <mergeCell ref="C384:D384"/>
    <mergeCell ref="A385:B385"/>
    <mergeCell ref="C385:D385"/>
    <mergeCell ref="A380:B380"/>
    <mergeCell ref="C380:D380"/>
    <mergeCell ref="E380:F382"/>
    <mergeCell ref="A381:B381"/>
    <mergeCell ref="C381:D381"/>
    <mergeCell ref="A382:B382"/>
    <mergeCell ref="C382:D382"/>
    <mergeCell ref="A377:B377"/>
    <mergeCell ref="C377:D377"/>
    <mergeCell ref="E377:F379"/>
    <mergeCell ref="A378:B378"/>
    <mergeCell ref="C378:D378"/>
    <mergeCell ref="A379:B379"/>
    <mergeCell ref="C379:D379"/>
    <mergeCell ref="A392:B392"/>
    <mergeCell ref="C392:D392"/>
    <mergeCell ref="E392:F394"/>
    <mergeCell ref="A393:B393"/>
    <mergeCell ref="C393:D393"/>
    <mergeCell ref="A394:B394"/>
    <mergeCell ref="C394:D394"/>
    <mergeCell ref="A389:B389"/>
    <mergeCell ref="C389:D389"/>
    <mergeCell ref="E389:F391"/>
    <mergeCell ref="A390:B390"/>
    <mergeCell ref="C390:D390"/>
    <mergeCell ref="A391:B391"/>
    <mergeCell ref="C391:D391"/>
    <mergeCell ref="A386:B386"/>
    <mergeCell ref="C386:D386"/>
    <mergeCell ref="E386:F388"/>
    <mergeCell ref="A387:B387"/>
    <mergeCell ref="C387:D387"/>
    <mergeCell ref="A388:B388"/>
    <mergeCell ref="C388:D388"/>
    <mergeCell ref="A401:B401"/>
    <mergeCell ref="C401:D401"/>
    <mergeCell ref="E401:F403"/>
    <mergeCell ref="A402:B402"/>
    <mergeCell ref="C402:D402"/>
    <mergeCell ref="A403:B403"/>
    <mergeCell ref="C403:D403"/>
    <mergeCell ref="A398:B398"/>
    <mergeCell ref="C398:D398"/>
    <mergeCell ref="E398:F400"/>
    <mergeCell ref="A399:B399"/>
    <mergeCell ref="C399:D399"/>
    <mergeCell ref="A400:B400"/>
    <mergeCell ref="C400:D400"/>
    <mergeCell ref="A395:B395"/>
    <mergeCell ref="C395:D395"/>
    <mergeCell ref="E395:F397"/>
    <mergeCell ref="A396:B396"/>
    <mergeCell ref="C396:D396"/>
    <mergeCell ref="A397:B397"/>
    <mergeCell ref="C397:D397"/>
    <mergeCell ref="A410:B410"/>
    <mergeCell ref="C410:D410"/>
    <mergeCell ref="E410:F412"/>
    <mergeCell ref="A411:B411"/>
    <mergeCell ref="C411:D411"/>
    <mergeCell ref="A412:B412"/>
    <mergeCell ref="C412:D412"/>
    <mergeCell ref="A407:B407"/>
    <mergeCell ref="C407:D407"/>
    <mergeCell ref="E407:F409"/>
    <mergeCell ref="A408:B408"/>
    <mergeCell ref="C408:D408"/>
    <mergeCell ref="A409:B409"/>
    <mergeCell ref="C409:D409"/>
    <mergeCell ref="A404:B404"/>
    <mergeCell ref="C404:D404"/>
    <mergeCell ref="E404:F406"/>
    <mergeCell ref="A405:B405"/>
    <mergeCell ref="C405:D405"/>
    <mergeCell ref="A406:B406"/>
    <mergeCell ref="C406:D406"/>
    <mergeCell ref="A419:B419"/>
    <mergeCell ref="C419:D419"/>
    <mergeCell ref="E419:F421"/>
    <mergeCell ref="A420:B420"/>
    <mergeCell ref="C420:D420"/>
    <mergeCell ref="A421:B421"/>
    <mergeCell ref="C421:D421"/>
    <mergeCell ref="A416:B416"/>
    <mergeCell ref="C416:D416"/>
    <mergeCell ref="E416:F418"/>
    <mergeCell ref="A417:B417"/>
    <mergeCell ref="C417:D417"/>
    <mergeCell ref="A418:B418"/>
    <mergeCell ref="C418:D418"/>
    <mergeCell ref="A413:B413"/>
    <mergeCell ref="C413:D413"/>
    <mergeCell ref="E413:F415"/>
    <mergeCell ref="A414:B414"/>
    <mergeCell ref="C414:D414"/>
    <mergeCell ref="A415:B415"/>
    <mergeCell ref="C415:D415"/>
    <mergeCell ref="A428:B428"/>
    <mergeCell ref="C428:D428"/>
    <mergeCell ref="E428:F430"/>
    <mergeCell ref="A429:B429"/>
    <mergeCell ref="C429:D429"/>
    <mergeCell ref="A430:B430"/>
    <mergeCell ref="C430:D430"/>
    <mergeCell ref="A425:B425"/>
    <mergeCell ref="C425:D425"/>
    <mergeCell ref="E425:F427"/>
    <mergeCell ref="A426:B426"/>
    <mergeCell ref="C426:D426"/>
    <mergeCell ref="A427:B427"/>
    <mergeCell ref="C427:D427"/>
    <mergeCell ref="A422:B422"/>
    <mergeCell ref="C422:D422"/>
    <mergeCell ref="E422:F424"/>
    <mergeCell ref="A423:B423"/>
    <mergeCell ref="C423:D423"/>
    <mergeCell ref="A424:B424"/>
    <mergeCell ref="C424:D424"/>
    <mergeCell ref="A437:B437"/>
    <mergeCell ref="C437:D437"/>
    <mergeCell ref="E437:F439"/>
    <mergeCell ref="A438:B438"/>
    <mergeCell ref="C438:D438"/>
    <mergeCell ref="A439:B439"/>
    <mergeCell ref="C439:D439"/>
    <mergeCell ref="A434:B434"/>
    <mergeCell ref="C434:D434"/>
    <mergeCell ref="E434:F436"/>
    <mergeCell ref="A435:B435"/>
    <mergeCell ref="C435:D435"/>
    <mergeCell ref="A436:B436"/>
    <mergeCell ref="C436:D436"/>
    <mergeCell ref="A431:B431"/>
    <mergeCell ref="C431:D431"/>
    <mergeCell ref="E431:F433"/>
    <mergeCell ref="A432:B432"/>
    <mergeCell ref="C432:D432"/>
    <mergeCell ref="A433:B433"/>
    <mergeCell ref="C433:D433"/>
    <mergeCell ref="A446:B446"/>
    <mergeCell ref="C446:D446"/>
    <mergeCell ref="E446:F448"/>
    <mergeCell ref="A447:B447"/>
    <mergeCell ref="C447:D447"/>
    <mergeCell ref="A448:B448"/>
    <mergeCell ref="C448:D448"/>
    <mergeCell ref="A443:B443"/>
    <mergeCell ref="C443:D443"/>
    <mergeCell ref="E443:F445"/>
    <mergeCell ref="A444:B444"/>
    <mergeCell ref="C444:D444"/>
    <mergeCell ref="A445:B445"/>
    <mergeCell ref="C445:D445"/>
    <mergeCell ref="A440:B440"/>
    <mergeCell ref="C440:D440"/>
    <mergeCell ref="E440:F442"/>
    <mergeCell ref="A441:B441"/>
    <mergeCell ref="C441:D441"/>
    <mergeCell ref="A442:B442"/>
    <mergeCell ref="C442:D442"/>
    <mergeCell ref="A455:B455"/>
    <mergeCell ref="C455:D455"/>
    <mergeCell ref="E455:F457"/>
    <mergeCell ref="A456:B456"/>
    <mergeCell ref="C456:D456"/>
    <mergeCell ref="A457:B457"/>
    <mergeCell ref="C457:D457"/>
    <mergeCell ref="A452:B452"/>
    <mergeCell ref="C452:D452"/>
    <mergeCell ref="E452:F454"/>
    <mergeCell ref="A453:B453"/>
    <mergeCell ref="C453:D453"/>
    <mergeCell ref="A454:B454"/>
    <mergeCell ref="C454:D454"/>
    <mergeCell ref="A449:B449"/>
    <mergeCell ref="C449:D449"/>
    <mergeCell ref="E449:F451"/>
    <mergeCell ref="A450:B450"/>
    <mergeCell ref="C450:D450"/>
    <mergeCell ref="A451:B451"/>
    <mergeCell ref="C451:D451"/>
    <mergeCell ref="A464:B464"/>
    <mergeCell ref="C464:D464"/>
    <mergeCell ref="E464:F466"/>
    <mergeCell ref="A465:B465"/>
    <mergeCell ref="C465:D465"/>
    <mergeCell ref="A466:B466"/>
    <mergeCell ref="C466:D466"/>
    <mergeCell ref="A461:B461"/>
    <mergeCell ref="C461:D461"/>
    <mergeCell ref="E461:F463"/>
    <mergeCell ref="A462:B462"/>
    <mergeCell ref="C462:D462"/>
    <mergeCell ref="A463:B463"/>
    <mergeCell ref="C463:D463"/>
    <mergeCell ref="A458:B458"/>
    <mergeCell ref="C458:D458"/>
    <mergeCell ref="E458:F460"/>
    <mergeCell ref="A459:B459"/>
    <mergeCell ref="C459:D459"/>
    <mergeCell ref="A460:B460"/>
    <mergeCell ref="C460:D460"/>
    <mergeCell ref="A473:B473"/>
    <mergeCell ref="C473:D473"/>
    <mergeCell ref="E473:F475"/>
    <mergeCell ref="A474:B474"/>
    <mergeCell ref="C474:D474"/>
    <mergeCell ref="A475:B475"/>
    <mergeCell ref="C475:D475"/>
    <mergeCell ref="A470:B470"/>
    <mergeCell ref="C470:D470"/>
    <mergeCell ref="E470:F472"/>
    <mergeCell ref="A471:B471"/>
    <mergeCell ref="C471:D471"/>
    <mergeCell ref="A472:B472"/>
    <mergeCell ref="C472:D472"/>
    <mergeCell ref="A467:B467"/>
    <mergeCell ref="C467:D467"/>
    <mergeCell ref="E467:F469"/>
    <mergeCell ref="A468:B468"/>
    <mergeCell ref="C468:D468"/>
    <mergeCell ref="A469:B469"/>
    <mergeCell ref="C469:D469"/>
    <mergeCell ref="A482:B482"/>
    <mergeCell ref="C482:D482"/>
    <mergeCell ref="E482:F484"/>
    <mergeCell ref="A483:B483"/>
    <mergeCell ref="C483:D483"/>
    <mergeCell ref="A484:B484"/>
    <mergeCell ref="C484:D484"/>
    <mergeCell ref="A479:B479"/>
    <mergeCell ref="C479:D479"/>
    <mergeCell ref="E479:F481"/>
    <mergeCell ref="A480:B480"/>
    <mergeCell ref="C480:D480"/>
    <mergeCell ref="A481:B481"/>
    <mergeCell ref="C481:D481"/>
    <mergeCell ref="A476:B476"/>
    <mergeCell ref="C476:D476"/>
    <mergeCell ref="E476:F478"/>
    <mergeCell ref="A477:B477"/>
    <mergeCell ref="C477:D477"/>
    <mergeCell ref="A478:B478"/>
    <mergeCell ref="C478:D478"/>
    <mergeCell ref="A491:B491"/>
    <mergeCell ref="C491:D491"/>
    <mergeCell ref="E491:F493"/>
    <mergeCell ref="A492:B492"/>
    <mergeCell ref="C492:D492"/>
    <mergeCell ref="A493:B493"/>
    <mergeCell ref="C493:D493"/>
    <mergeCell ref="A488:B488"/>
    <mergeCell ref="C488:D488"/>
    <mergeCell ref="E488:F490"/>
    <mergeCell ref="A489:B489"/>
    <mergeCell ref="C489:D489"/>
    <mergeCell ref="A490:B490"/>
    <mergeCell ref="C490:D490"/>
    <mergeCell ref="A485:B485"/>
    <mergeCell ref="C485:D485"/>
    <mergeCell ref="E485:F487"/>
    <mergeCell ref="A486:B486"/>
    <mergeCell ref="C486:D486"/>
    <mergeCell ref="A487:B487"/>
    <mergeCell ref="C487:D487"/>
    <mergeCell ref="A500:B500"/>
    <mergeCell ref="C500:D500"/>
    <mergeCell ref="E500:F502"/>
    <mergeCell ref="A501:B501"/>
    <mergeCell ref="C501:D501"/>
    <mergeCell ref="A502:B502"/>
    <mergeCell ref="C502:D502"/>
    <mergeCell ref="A497:B497"/>
    <mergeCell ref="C497:D497"/>
    <mergeCell ref="E497:F499"/>
    <mergeCell ref="A498:B498"/>
    <mergeCell ref="C498:D498"/>
    <mergeCell ref="A499:B499"/>
    <mergeCell ref="C499:D499"/>
    <mergeCell ref="A494:B494"/>
    <mergeCell ref="C494:D494"/>
    <mergeCell ref="E494:F496"/>
    <mergeCell ref="A495:B495"/>
    <mergeCell ref="C495:D495"/>
    <mergeCell ref="A496:B496"/>
    <mergeCell ref="C496:D496"/>
    <mergeCell ref="A509:B509"/>
    <mergeCell ref="C509:D509"/>
    <mergeCell ref="E509:F511"/>
    <mergeCell ref="A510:B510"/>
    <mergeCell ref="C510:D510"/>
    <mergeCell ref="A511:B511"/>
    <mergeCell ref="C511:D511"/>
    <mergeCell ref="A506:B506"/>
    <mergeCell ref="C506:D506"/>
    <mergeCell ref="E506:F508"/>
    <mergeCell ref="A507:B507"/>
    <mergeCell ref="C507:D507"/>
    <mergeCell ref="A508:B508"/>
    <mergeCell ref="C508:D508"/>
    <mergeCell ref="A503:B503"/>
    <mergeCell ref="C503:D503"/>
    <mergeCell ref="E503:F505"/>
    <mergeCell ref="A504:B504"/>
    <mergeCell ref="C504:D504"/>
    <mergeCell ref="A505:B505"/>
    <mergeCell ref="C505:D505"/>
    <mergeCell ref="A518:B518"/>
    <mergeCell ref="C518:D518"/>
    <mergeCell ref="E518:F520"/>
    <mergeCell ref="A519:B519"/>
    <mergeCell ref="C519:D519"/>
    <mergeCell ref="A520:B520"/>
    <mergeCell ref="C520:D520"/>
    <mergeCell ref="A515:B515"/>
    <mergeCell ref="C515:D515"/>
    <mergeCell ref="E515:F517"/>
    <mergeCell ref="A516:B516"/>
    <mergeCell ref="C516:D516"/>
    <mergeCell ref="A517:B517"/>
    <mergeCell ref="C517:D517"/>
    <mergeCell ref="A512:B512"/>
    <mergeCell ref="C512:D512"/>
    <mergeCell ref="E512:F514"/>
    <mergeCell ref="A513:B513"/>
    <mergeCell ref="C513:D513"/>
    <mergeCell ref="A514:B514"/>
    <mergeCell ref="C514:D514"/>
    <mergeCell ref="A527:B527"/>
    <mergeCell ref="C527:D527"/>
    <mergeCell ref="E527:F529"/>
    <mergeCell ref="A528:B528"/>
    <mergeCell ref="C528:D528"/>
    <mergeCell ref="A529:B529"/>
    <mergeCell ref="C529:D529"/>
    <mergeCell ref="A524:B524"/>
    <mergeCell ref="C524:D524"/>
    <mergeCell ref="E524:F526"/>
    <mergeCell ref="A525:B525"/>
    <mergeCell ref="C525:D525"/>
    <mergeCell ref="A526:B526"/>
    <mergeCell ref="C526:D526"/>
    <mergeCell ref="A521:B521"/>
    <mergeCell ref="C521:D521"/>
    <mergeCell ref="E521:F523"/>
    <mergeCell ref="A522:B522"/>
    <mergeCell ref="C522:D522"/>
    <mergeCell ref="A523:B523"/>
    <mergeCell ref="C523:D523"/>
    <mergeCell ref="A536:B536"/>
    <mergeCell ref="C536:D536"/>
    <mergeCell ref="E536:F538"/>
    <mergeCell ref="A537:B537"/>
    <mergeCell ref="C537:D537"/>
    <mergeCell ref="A538:B538"/>
    <mergeCell ref="C538:D538"/>
    <mergeCell ref="A533:B533"/>
    <mergeCell ref="C533:D533"/>
    <mergeCell ref="E533:F535"/>
    <mergeCell ref="A534:B534"/>
    <mergeCell ref="C534:D534"/>
    <mergeCell ref="A535:B535"/>
    <mergeCell ref="C535:D535"/>
    <mergeCell ref="A530:B530"/>
    <mergeCell ref="C530:D530"/>
    <mergeCell ref="E530:F532"/>
    <mergeCell ref="A531:B531"/>
    <mergeCell ref="C531:D531"/>
    <mergeCell ref="A532:B532"/>
    <mergeCell ref="C532:D532"/>
    <mergeCell ref="A545:B545"/>
    <mergeCell ref="C545:D545"/>
    <mergeCell ref="E545:F547"/>
    <mergeCell ref="A546:B546"/>
    <mergeCell ref="C546:D546"/>
    <mergeCell ref="A547:B547"/>
    <mergeCell ref="C547:D547"/>
    <mergeCell ref="A542:B542"/>
    <mergeCell ref="C542:D542"/>
    <mergeCell ref="E542:F544"/>
    <mergeCell ref="A543:B543"/>
    <mergeCell ref="C543:D543"/>
    <mergeCell ref="A544:B544"/>
    <mergeCell ref="C544:D544"/>
    <mergeCell ref="A539:B539"/>
    <mergeCell ref="C539:D539"/>
    <mergeCell ref="E539:F541"/>
    <mergeCell ref="A540:B540"/>
    <mergeCell ref="C540:D540"/>
    <mergeCell ref="A541:B541"/>
    <mergeCell ref="C541:D541"/>
    <mergeCell ref="A554:B554"/>
    <mergeCell ref="C554:D554"/>
    <mergeCell ref="E554:F556"/>
    <mergeCell ref="A555:B555"/>
    <mergeCell ref="C555:D555"/>
    <mergeCell ref="A556:B556"/>
    <mergeCell ref="C556:D556"/>
    <mergeCell ref="A551:B551"/>
    <mergeCell ref="C551:D551"/>
    <mergeCell ref="E551:F553"/>
    <mergeCell ref="A552:B552"/>
    <mergeCell ref="C552:D552"/>
    <mergeCell ref="A553:B553"/>
    <mergeCell ref="C553:D553"/>
    <mergeCell ref="A548:B548"/>
    <mergeCell ref="C548:D548"/>
    <mergeCell ref="E548:F550"/>
    <mergeCell ref="A549:B549"/>
    <mergeCell ref="C549:D549"/>
    <mergeCell ref="A550:B550"/>
    <mergeCell ref="C550:D550"/>
    <mergeCell ref="A563:B563"/>
    <mergeCell ref="C563:D563"/>
    <mergeCell ref="E563:F565"/>
    <mergeCell ref="A564:B564"/>
    <mergeCell ref="C564:D564"/>
    <mergeCell ref="A565:B565"/>
    <mergeCell ref="C565:D565"/>
    <mergeCell ref="A560:B560"/>
    <mergeCell ref="C560:D560"/>
    <mergeCell ref="E560:F562"/>
    <mergeCell ref="A561:B561"/>
    <mergeCell ref="C561:D561"/>
    <mergeCell ref="A562:B562"/>
    <mergeCell ref="C562:D562"/>
    <mergeCell ref="A557:B557"/>
    <mergeCell ref="C557:D557"/>
    <mergeCell ref="E557:F559"/>
    <mergeCell ref="A558:B558"/>
    <mergeCell ref="C558:D558"/>
    <mergeCell ref="A559:B559"/>
    <mergeCell ref="C559:D559"/>
    <mergeCell ref="A572:B572"/>
    <mergeCell ref="C572:D572"/>
    <mergeCell ref="E572:F574"/>
    <mergeCell ref="A573:B573"/>
    <mergeCell ref="C573:D573"/>
    <mergeCell ref="A574:B574"/>
    <mergeCell ref="C574:D574"/>
    <mergeCell ref="A569:B569"/>
    <mergeCell ref="C569:D569"/>
    <mergeCell ref="E569:F571"/>
    <mergeCell ref="A570:B570"/>
    <mergeCell ref="C570:D570"/>
    <mergeCell ref="A571:B571"/>
    <mergeCell ref="C571:D571"/>
    <mergeCell ref="A566:B566"/>
    <mergeCell ref="C566:D566"/>
    <mergeCell ref="E566:F568"/>
    <mergeCell ref="A567:B567"/>
    <mergeCell ref="C567:D567"/>
    <mergeCell ref="A568:B568"/>
    <mergeCell ref="C568:D568"/>
    <mergeCell ref="A585:F587"/>
    <mergeCell ref="A581:B581"/>
    <mergeCell ref="C581:D581"/>
    <mergeCell ref="E581:F583"/>
    <mergeCell ref="A582:B582"/>
    <mergeCell ref="C582:D582"/>
    <mergeCell ref="A583:B583"/>
    <mergeCell ref="C583:D583"/>
    <mergeCell ref="A578:B578"/>
    <mergeCell ref="C578:D578"/>
    <mergeCell ref="E578:F580"/>
    <mergeCell ref="A579:B579"/>
    <mergeCell ref="C579:D579"/>
    <mergeCell ref="A580:B580"/>
    <mergeCell ref="C580:D580"/>
    <mergeCell ref="A575:B575"/>
    <mergeCell ref="C575:D575"/>
    <mergeCell ref="E575:F577"/>
    <mergeCell ref="A576:B576"/>
    <mergeCell ref="C576:D576"/>
    <mergeCell ref="A577:B577"/>
    <mergeCell ref="C577:D577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BA8B-DD79-4884-8348-FEE23C244409}">
  <dimension ref="A1:L261"/>
  <sheetViews>
    <sheetView view="pageBreakPreview" topLeftCell="A9" zoomScale="118" zoomScaleNormal="100" zoomScaleSheetLayoutView="118" workbookViewId="0">
      <selection activeCell="C199" sqref="C199"/>
    </sheetView>
  </sheetViews>
  <sheetFormatPr defaultColWidth="9" defaultRowHeight="15"/>
  <cols>
    <col min="1" max="1" width="3.625" style="585" customWidth="1"/>
    <col min="2" max="2" width="7.125" style="585" customWidth="1"/>
    <col min="3" max="3" width="57.625" style="589" customWidth="1"/>
    <col min="4" max="4" width="12" style="589" customWidth="1"/>
    <col min="5" max="6" width="11.375" style="589" customWidth="1"/>
    <col min="7" max="8" width="12" style="589" customWidth="1"/>
    <col min="9" max="10" width="10.875" style="589" customWidth="1"/>
    <col min="11" max="11" width="12" style="589" customWidth="1"/>
    <col min="12" max="16384" width="9" style="589"/>
  </cols>
  <sheetData>
    <row r="1" spans="1:11" ht="12.75" customHeight="1">
      <c r="A1" s="587"/>
      <c r="B1" s="586"/>
      <c r="C1" s="1115"/>
      <c r="D1" s="1115"/>
      <c r="E1" s="1115"/>
      <c r="F1" s="1115"/>
      <c r="G1" s="1115"/>
      <c r="H1" s="1115"/>
      <c r="I1" s="588" t="s">
        <v>1179</v>
      </c>
      <c r="J1" s="769"/>
      <c r="K1" s="769"/>
    </row>
    <row r="2" spans="1:11" ht="12.75" customHeight="1">
      <c r="A2" s="587"/>
      <c r="B2" s="586"/>
      <c r="C2" s="1115"/>
      <c r="D2" s="1115"/>
      <c r="E2" s="1115"/>
      <c r="F2" s="1115"/>
      <c r="G2" s="1115"/>
      <c r="H2" s="1115"/>
      <c r="I2" s="588" t="s">
        <v>908</v>
      </c>
      <c r="J2" s="769"/>
      <c r="K2" s="769"/>
    </row>
    <row r="3" spans="1:11" ht="12.75" customHeight="1">
      <c r="A3" s="587"/>
      <c r="B3" s="586"/>
      <c r="C3" s="1115"/>
      <c r="D3" s="1115"/>
      <c r="E3" s="1115"/>
      <c r="F3" s="1115"/>
      <c r="G3" s="1115"/>
      <c r="H3" s="1115"/>
      <c r="I3" s="588" t="s">
        <v>1180</v>
      </c>
      <c r="J3" s="769"/>
      <c r="K3" s="769"/>
    </row>
    <row r="4" spans="1:11" ht="4.5" customHeight="1">
      <c r="A4" s="587"/>
      <c r="B4" s="587"/>
      <c r="C4" s="769"/>
      <c r="D4" s="769"/>
      <c r="E4" s="769"/>
      <c r="F4" s="769"/>
      <c r="G4" s="769"/>
      <c r="H4" s="769"/>
      <c r="I4" s="769"/>
      <c r="J4" s="769"/>
      <c r="K4" s="769"/>
    </row>
    <row r="5" spans="1:11" s="487" customFormat="1" ht="27.75" customHeight="1">
      <c r="A5" s="1088" t="s">
        <v>1101</v>
      </c>
      <c r="B5" s="1088"/>
      <c r="C5" s="1088"/>
      <c r="D5" s="1088"/>
      <c r="E5" s="1088"/>
      <c r="F5" s="1088"/>
      <c r="G5" s="1088"/>
      <c r="H5" s="1088"/>
      <c r="I5" s="1088"/>
      <c r="J5" s="1088"/>
      <c r="K5" s="1088"/>
    </row>
    <row r="6" spans="1:11" s="353" customFormat="1" ht="12.75" customHeight="1">
      <c r="A6" s="770"/>
      <c r="B6" s="770"/>
      <c r="C6" s="770"/>
      <c r="D6" s="770"/>
      <c r="E6" s="770"/>
      <c r="F6" s="770"/>
      <c r="G6" s="770"/>
      <c r="H6" s="770"/>
      <c r="I6" s="770"/>
      <c r="J6" s="770"/>
      <c r="K6" s="362" t="s">
        <v>1098</v>
      </c>
    </row>
    <row r="7" spans="1:11" ht="14.25" customHeight="1">
      <c r="A7" s="1116" t="s">
        <v>909</v>
      </c>
      <c r="B7" s="1118" t="s">
        <v>1102</v>
      </c>
      <c r="C7" s="1120" t="s">
        <v>1103</v>
      </c>
      <c r="D7" s="1122" t="s">
        <v>563</v>
      </c>
      <c r="E7" s="1123"/>
      <c r="F7" s="1123"/>
      <c r="G7" s="1124"/>
      <c r="H7" s="1125" t="s">
        <v>588</v>
      </c>
      <c r="I7" s="1125"/>
      <c r="J7" s="1125"/>
      <c r="K7" s="1126"/>
    </row>
    <row r="8" spans="1:11" s="597" customFormat="1" ht="32.25" customHeight="1">
      <c r="A8" s="1117"/>
      <c r="B8" s="1119"/>
      <c r="C8" s="1121"/>
      <c r="D8" s="592" t="s">
        <v>1104</v>
      </c>
      <c r="E8" s="593" t="s">
        <v>1105</v>
      </c>
      <c r="F8" s="591" t="s">
        <v>1106</v>
      </c>
      <c r="G8" s="594" t="s">
        <v>1107</v>
      </c>
      <c r="H8" s="595" t="s">
        <v>1104</v>
      </c>
      <c r="I8" s="590" t="s">
        <v>1105</v>
      </c>
      <c r="J8" s="596" t="s">
        <v>1106</v>
      </c>
      <c r="K8" s="595" t="s">
        <v>1107</v>
      </c>
    </row>
    <row r="9" spans="1:11" s="603" customFormat="1" ht="11.25" customHeight="1">
      <c r="A9" s="598">
        <v>1</v>
      </c>
      <c r="B9" s="599">
        <v>2</v>
      </c>
      <c r="C9" s="598">
        <v>3</v>
      </c>
      <c r="D9" s="600">
        <v>4</v>
      </c>
      <c r="E9" s="600">
        <v>5</v>
      </c>
      <c r="F9" s="601">
        <v>6</v>
      </c>
      <c r="G9" s="601">
        <v>7</v>
      </c>
      <c r="H9" s="602">
        <v>8</v>
      </c>
      <c r="I9" s="600">
        <v>9</v>
      </c>
      <c r="J9" s="601">
        <v>10</v>
      </c>
      <c r="K9" s="601">
        <v>11</v>
      </c>
    </row>
    <row r="10" spans="1:11" s="608" customFormat="1" ht="18" hidden="1" customHeight="1">
      <c r="A10" s="604">
        <v>1</v>
      </c>
      <c r="B10" s="605"/>
      <c r="C10" s="606" t="s">
        <v>1108</v>
      </c>
      <c r="D10" s="607">
        <f>D11</f>
        <v>9500000</v>
      </c>
      <c r="E10" s="607">
        <f>E11</f>
        <v>0</v>
      </c>
      <c r="F10" s="607">
        <f>F11</f>
        <v>0</v>
      </c>
      <c r="G10" s="607">
        <f>D10+E10-F10</f>
        <v>9500000</v>
      </c>
      <c r="H10" s="607">
        <f>H14</f>
        <v>14500000</v>
      </c>
      <c r="I10" s="607">
        <f>I14</f>
        <v>0</v>
      </c>
      <c r="J10" s="607">
        <f>J14</f>
        <v>0</v>
      </c>
      <c r="K10" s="607">
        <f>H10+I10-J10</f>
        <v>14500000</v>
      </c>
    </row>
    <row r="11" spans="1:11" s="614" customFormat="1" ht="16.5" hidden="1" customHeight="1">
      <c r="A11" s="609"/>
      <c r="B11" s="610" t="s">
        <v>156</v>
      </c>
      <c r="C11" s="611" t="s">
        <v>1109</v>
      </c>
      <c r="D11" s="612">
        <f>D12+D13</f>
        <v>9500000</v>
      </c>
      <c r="E11" s="612">
        <f>SUM(E12:E13)</f>
        <v>0</v>
      </c>
      <c r="F11" s="612">
        <f>SUM(F12:F13)</f>
        <v>0</v>
      </c>
      <c r="G11" s="612">
        <f>D11+E11-F11</f>
        <v>9500000</v>
      </c>
      <c r="H11" s="613"/>
      <c r="I11" s="612"/>
      <c r="J11" s="612"/>
      <c r="K11" s="612"/>
    </row>
    <row r="12" spans="1:11" s="614" customFormat="1" ht="16.5" hidden="1" customHeight="1">
      <c r="A12" s="609"/>
      <c r="B12" s="615" t="s">
        <v>1110</v>
      </c>
      <c r="C12" s="616" t="s">
        <v>1111</v>
      </c>
      <c r="D12" s="617">
        <v>9440000</v>
      </c>
      <c r="E12" s="617">
        <v>0</v>
      </c>
      <c r="F12" s="617">
        <v>0</v>
      </c>
      <c r="G12" s="617">
        <f>D12+E12-F12</f>
        <v>9440000</v>
      </c>
      <c r="H12" s="618"/>
      <c r="I12" s="617"/>
      <c r="J12" s="617"/>
      <c r="K12" s="617"/>
    </row>
    <row r="13" spans="1:11" s="614" customFormat="1" ht="16.5" hidden="1" customHeight="1">
      <c r="A13" s="609"/>
      <c r="B13" s="619" t="s">
        <v>1112</v>
      </c>
      <c r="C13" s="620" t="s">
        <v>1113</v>
      </c>
      <c r="D13" s="621">
        <v>60000</v>
      </c>
      <c r="E13" s="621">
        <v>0</v>
      </c>
      <c r="F13" s="621">
        <v>0</v>
      </c>
      <c r="G13" s="617">
        <f>D13+E13-F13</f>
        <v>60000</v>
      </c>
      <c r="H13" s="622"/>
      <c r="I13" s="621"/>
      <c r="J13" s="621"/>
      <c r="K13" s="617"/>
    </row>
    <row r="14" spans="1:11" s="614" customFormat="1" ht="16.5" hidden="1" customHeight="1">
      <c r="A14" s="609"/>
      <c r="B14" s="610" t="s">
        <v>156</v>
      </c>
      <c r="C14" s="623" t="s">
        <v>729</v>
      </c>
      <c r="D14" s="613"/>
      <c r="E14" s="613"/>
      <c r="F14" s="613"/>
      <c r="G14" s="613"/>
      <c r="H14" s="612">
        <f>SUM(H15:H25)</f>
        <v>14500000</v>
      </c>
      <c r="I14" s="624">
        <f>SUM(I15:I25)</f>
        <v>0</v>
      </c>
      <c r="J14" s="624">
        <f>SUM(J15:J25)</f>
        <v>0</v>
      </c>
      <c r="K14" s="612">
        <f>H14+I14-J14</f>
        <v>14500000</v>
      </c>
    </row>
    <row r="15" spans="1:11" s="614" customFormat="1" ht="17.25" hidden="1" customHeight="1">
      <c r="A15" s="609"/>
      <c r="B15" s="625">
        <v>4010</v>
      </c>
      <c r="C15" s="616" t="s">
        <v>313</v>
      </c>
      <c r="D15" s="618"/>
      <c r="E15" s="618"/>
      <c r="F15" s="618"/>
      <c r="G15" s="618"/>
      <c r="H15" s="626">
        <v>305795</v>
      </c>
      <c r="I15" s="626">
        <v>0</v>
      </c>
      <c r="J15" s="626">
        <v>0</v>
      </c>
      <c r="K15" s="617">
        <f>H15+I15-J15</f>
        <v>305795</v>
      </c>
    </row>
    <row r="16" spans="1:11" s="614" customFormat="1" ht="17.25" hidden="1" customHeight="1">
      <c r="A16" s="609"/>
      <c r="B16" s="625">
        <v>4040</v>
      </c>
      <c r="C16" s="616" t="s">
        <v>1114</v>
      </c>
      <c r="D16" s="618"/>
      <c r="E16" s="618"/>
      <c r="F16" s="618"/>
      <c r="G16" s="618"/>
      <c r="H16" s="626">
        <v>25500</v>
      </c>
      <c r="I16" s="626">
        <v>0</v>
      </c>
      <c r="J16" s="626">
        <v>0</v>
      </c>
      <c r="K16" s="617">
        <f>H16+I16-J16</f>
        <v>25500</v>
      </c>
    </row>
    <row r="17" spans="1:11" s="614" customFormat="1" ht="17.25" hidden="1" customHeight="1">
      <c r="A17" s="609"/>
      <c r="B17" s="625">
        <v>4110</v>
      </c>
      <c r="C17" s="627" t="s">
        <v>314</v>
      </c>
      <c r="D17" s="618"/>
      <c r="E17" s="618"/>
      <c r="F17" s="618"/>
      <c r="G17" s="618"/>
      <c r="H17" s="626">
        <v>56088</v>
      </c>
      <c r="I17" s="626">
        <v>0</v>
      </c>
      <c r="J17" s="626">
        <v>0</v>
      </c>
      <c r="K17" s="617">
        <f t="shared" ref="K17:K25" si="0">H17+I17-J17</f>
        <v>56088</v>
      </c>
    </row>
    <row r="18" spans="1:11" s="614" customFormat="1" ht="17.25" hidden="1" customHeight="1">
      <c r="A18" s="609"/>
      <c r="B18" s="625">
        <v>4120</v>
      </c>
      <c r="C18" s="628" t="s">
        <v>315</v>
      </c>
      <c r="D18" s="618"/>
      <c r="E18" s="618"/>
      <c r="F18" s="618"/>
      <c r="G18" s="618"/>
      <c r="H18" s="626">
        <v>8117</v>
      </c>
      <c r="I18" s="626">
        <v>0</v>
      </c>
      <c r="J18" s="626">
        <v>0</v>
      </c>
      <c r="K18" s="617">
        <f t="shared" si="0"/>
        <v>8117</v>
      </c>
    </row>
    <row r="19" spans="1:11" s="632" customFormat="1" ht="17.25" hidden="1" customHeight="1">
      <c r="A19" s="629"/>
      <c r="B19" s="630">
        <v>4210</v>
      </c>
      <c r="C19" s="631" t="s">
        <v>305</v>
      </c>
      <c r="D19" s="617"/>
      <c r="E19" s="617"/>
      <c r="F19" s="617"/>
      <c r="G19" s="617"/>
      <c r="H19" s="617">
        <v>3000</v>
      </c>
      <c r="I19" s="626">
        <v>0</v>
      </c>
      <c r="J19" s="626">
        <v>0</v>
      </c>
      <c r="K19" s="617">
        <f t="shared" si="0"/>
        <v>3000</v>
      </c>
    </row>
    <row r="20" spans="1:11" s="632" customFormat="1" ht="17.25" hidden="1" customHeight="1">
      <c r="A20" s="629"/>
      <c r="B20" s="633">
        <v>4300</v>
      </c>
      <c r="C20" s="634" t="s">
        <v>307</v>
      </c>
      <c r="D20" s="621"/>
      <c r="E20" s="621"/>
      <c r="F20" s="621"/>
      <c r="G20" s="621"/>
      <c r="H20" s="621">
        <v>72000</v>
      </c>
      <c r="I20" s="626">
        <v>0</v>
      </c>
      <c r="J20" s="626">
        <v>0</v>
      </c>
      <c r="K20" s="617">
        <f t="shared" si="0"/>
        <v>72000</v>
      </c>
    </row>
    <row r="21" spans="1:11" s="632" customFormat="1" ht="17.25" hidden="1" customHeight="1">
      <c r="A21" s="629"/>
      <c r="B21" s="633">
        <v>4610</v>
      </c>
      <c r="C21" s="635" t="s">
        <v>320</v>
      </c>
      <c r="D21" s="621"/>
      <c r="E21" s="621"/>
      <c r="F21" s="621"/>
      <c r="G21" s="621"/>
      <c r="H21" s="621">
        <v>1500</v>
      </c>
      <c r="I21" s="626">
        <v>0</v>
      </c>
      <c r="J21" s="626">
        <v>0</v>
      </c>
      <c r="K21" s="617">
        <f t="shared" si="0"/>
        <v>1500</v>
      </c>
    </row>
    <row r="22" spans="1:11" s="632" customFormat="1" ht="17.25" hidden="1" customHeight="1">
      <c r="A22" s="629"/>
      <c r="B22" s="633">
        <v>4700</v>
      </c>
      <c r="C22" s="635" t="s">
        <v>1115</v>
      </c>
      <c r="D22" s="621"/>
      <c r="E22" s="621"/>
      <c r="F22" s="621"/>
      <c r="G22" s="621"/>
      <c r="H22" s="621">
        <v>3000</v>
      </c>
      <c r="I22" s="626">
        <v>0</v>
      </c>
      <c r="J22" s="626">
        <v>0</v>
      </c>
      <c r="K22" s="617">
        <f t="shared" si="0"/>
        <v>3000</v>
      </c>
    </row>
    <row r="23" spans="1:11" s="632" customFormat="1" ht="17.25" hidden="1" customHeight="1">
      <c r="A23" s="629"/>
      <c r="B23" s="633">
        <v>4710</v>
      </c>
      <c r="C23" s="631" t="s">
        <v>318</v>
      </c>
      <c r="D23" s="621"/>
      <c r="E23" s="621"/>
      <c r="F23" s="621"/>
      <c r="G23" s="621"/>
      <c r="H23" s="621">
        <v>0</v>
      </c>
      <c r="I23" s="626">
        <v>0</v>
      </c>
      <c r="J23" s="626">
        <v>0</v>
      </c>
      <c r="K23" s="617">
        <f t="shared" si="0"/>
        <v>0</v>
      </c>
    </row>
    <row r="24" spans="1:11" s="614" customFormat="1" ht="48" hidden="1" customHeight="1">
      <c r="A24" s="609"/>
      <c r="B24" s="625">
        <v>6230</v>
      </c>
      <c r="C24" s="636" t="s">
        <v>1116</v>
      </c>
      <c r="D24" s="618"/>
      <c r="E24" s="618"/>
      <c r="F24" s="618"/>
      <c r="G24" s="618"/>
      <c r="H24" s="626">
        <v>300000</v>
      </c>
      <c r="I24" s="626">
        <v>0</v>
      </c>
      <c r="J24" s="626">
        <v>0</v>
      </c>
      <c r="K24" s="617">
        <f t="shared" si="0"/>
        <v>300000</v>
      </c>
    </row>
    <row r="25" spans="1:11" s="614" customFormat="1" ht="35.25" hidden="1" customHeight="1">
      <c r="A25" s="637"/>
      <c r="B25" s="625">
        <v>6610</v>
      </c>
      <c r="C25" s="638" t="s">
        <v>1117</v>
      </c>
      <c r="D25" s="618"/>
      <c r="E25" s="618"/>
      <c r="F25" s="618"/>
      <c r="G25" s="618"/>
      <c r="H25" s="626">
        <v>13725000</v>
      </c>
      <c r="I25" s="626">
        <v>0</v>
      </c>
      <c r="J25" s="626">
        <v>0</v>
      </c>
      <c r="K25" s="617">
        <f t="shared" si="0"/>
        <v>13725000</v>
      </c>
    </row>
    <row r="26" spans="1:11" s="608" customFormat="1" ht="18.75" customHeight="1">
      <c r="A26" s="604">
        <v>2</v>
      </c>
      <c r="B26" s="639"/>
      <c r="C26" s="606" t="s">
        <v>1118</v>
      </c>
      <c r="D26" s="607">
        <f>D27</f>
        <v>12700816</v>
      </c>
      <c r="E26" s="607">
        <f>E27</f>
        <v>686127</v>
      </c>
      <c r="F26" s="607">
        <f>F27</f>
        <v>0</v>
      </c>
      <c r="G26" s="607">
        <f>G27</f>
        <v>13386943</v>
      </c>
      <c r="H26" s="607">
        <f>H29+H31+H33</f>
        <v>12700816</v>
      </c>
      <c r="I26" s="607">
        <f t="shared" ref="I26:J26" si="1">I29+I31+I33</f>
        <v>686127</v>
      </c>
      <c r="J26" s="607">
        <f t="shared" si="1"/>
        <v>0</v>
      </c>
      <c r="K26" s="607">
        <f>K29+K31+K33</f>
        <v>13386943</v>
      </c>
    </row>
    <row r="27" spans="1:11" s="614" customFormat="1" ht="18.75" customHeight="1">
      <c r="A27" s="609"/>
      <c r="B27" s="610" t="s">
        <v>178</v>
      </c>
      <c r="C27" s="640" t="s">
        <v>1119</v>
      </c>
      <c r="D27" s="612">
        <f>D28</f>
        <v>12700816</v>
      </c>
      <c r="E27" s="612">
        <f>E28</f>
        <v>686127</v>
      </c>
      <c r="F27" s="612">
        <f>F28</f>
        <v>0</v>
      </c>
      <c r="G27" s="612">
        <f>D27+E27-F27</f>
        <v>13386943</v>
      </c>
      <c r="H27" s="613"/>
      <c r="I27" s="612"/>
      <c r="J27" s="612"/>
      <c r="K27" s="612">
        <f t="shared" ref="K27:K34" si="2">H27+I27-J27</f>
        <v>0</v>
      </c>
    </row>
    <row r="28" spans="1:11" s="614" customFormat="1" ht="46.5" customHeight="1">
      <c r="A28" s="609"/>
      <c r="B28" s="641" t="s">
        <v>1120</v>
      </c>
      <c r="C28" s="642" t="s">
        <v>1121</v>
      </c>
      <c r="D28" s="643">
        <v>12700816</v>
      </c>
      <c r="E28" s="643">
        <v>686127</v>
      </c>
      <c r="F28" s="643">
        <v>0</v>
      </c>
      <c r="G28" s="617">
        <f>D28+E28-F28</f>
        <v>13386943</v>
      </c>
      <c r="H28" s="644"/>
      <c r="I28" s="643"/>
      <c r="J28" s="643"/>
      <c r="K28" s="617">
        <f t="shared" si="2"/>
        <v>0</v>
      </c>
    </row>
    <row r="29" spans="1:11" s="614" customFormat="1" ht="32.25" customHeight="1">
      <c r="A29" s="609"/>
      <c r="B29" s="645" t="s">
        <v>178</v>
      </c>
      <c r="C29" s="646" t="s">
        <v>1122</v>
      </c>
      <c r="D29" s="647"/>
      <c r="E29" s="647"/>
      <c r="F29" s="647"/>
      <c r="G29" s="612"/>
      <c r="H29" s="648">
        <f>H30</f>
        <v>2903830</v>
      </c>
      <c r="I29" s="648">
        <f t="shared" ref="I29:J29" si="3">I30</f>
        <v>686127</v>
      </c>
      <c r="J29" s="648">
        <f t="shared" si="3"/>
        <v>0</v>
      </c>
      <c r="K29" s="612">
        <f t="shared" si="2"/>
        <v>3589957</v>
      </c>
    </row>
    <row r="30" spans="1:11" s="614" customFormat="1" ht="17.25" customHeight="1">
      <c r="A30" s="609"/>
      <c r="B30" s="649">
        <v>6050</v>
      </c>
      <c r="C30" s="650" t="s">
        <v>312</v>
      </c>
      <c r="D30" s="651"/>
      <c r="E30" s="651"/>
      <c r="F30" s="651"/>
      <c r="G30" s="621"/>
      <c r="H30" s="651">
        <v>2903830</v>
      </c>
      <c r="I30" s="651">
        <v>686127</v>
      </c>
      <c r="J30" s="651">
        <v>0</v>
      </c>
      <c r="K30" s="621">
        <f t="shared" si="2"/>
        <v>3589957</v>
      </c>
    </row>
    <row r="31" spans="1:11" s="614" customFormat="1" ht="17.25" hidden="1" customHeight="1">
      <c r="A31" s="609"/>
      <c r="B31" s="645" t="s">
        <v>178</v>
      </c>
      <c r="C31" s="652" t="s">
        <v>487</v>
      </c>
      <c r="D31" s="653"/>
      <c r="E31" s="653"/>
      <c r="F31" s="653"/>
      <c r="G31" s="653"/>
      <c r="H31" s="648">
        <f>H32</f>
        <v>1258968</v>
      </c>
      <c r="I31" s="648">
        <f t="shared" ref="I31:J31" si="4">I32</f>
        <v>0</v>
      </c>
      <c r="J31" s="648">
        <f t="shared" si="4"/>
        <v>0</v>
      </c>
      <c r="K31" s="612">
        <f t="shared" si="2"/>
        <v>1258968</v>
      </c>
    </row>
    <row r="32" spans="1:11" s="614" customFormat="1" ht="17.25" hidden="1" customHeight="1">
      <c r="A32" s="609"/>
      <c r="B32" s="649">
        <v>6050</v>
      </c>
      <c r="C32" s="650" t="s">
        <v>312</v>
      </c>
      <c r="D32" s="651"/>
      <c r="E32" s="651"/>
      <c r="F32" s="651"/>
      <c r="G32" s="651"/>
      <c r="H32" s="651">
        <v>1258968</v>
      </c>
      <c r="I32" s="651">
        <v>0</v>
      </c>
      <c r="J32" s="651">
        <v>0</v>
      </c>
      <c r="K32" s="621">
        <f t="shared" si="2"/>
        <v>1258968</v>
      </c>
    </row>
    <row r="33" spans="1:11" s="614" customFormat="1" ht="33" hidden="1" customHeight="1">
      <c r="A33" s="609"/>
      <c r="B33" s="645" t="s">
        <v>178</v>
      </c>
      <c r="C33" s="654" t="s">
        <v>474</v>
      </c>
      <c r="D33" s="655"/>
      <c r="E33" s="655"/>
      <c r="F33" s="655"/>
      <c r="G33" s="655"/>
      <c r="H33" s="648">
        <f>H34</f>
        <v>8538018</v>
      </c>
      <c r="I33" s="648">
        <f t="shared" ref="I33:J33" si="5">I34</f>
        <v>0</v>
      </c>
      <c r="J33" s="648">
        <f t="shared" si="5"/>
        <v>0</v>
      </c>
      <c r="K33" s="612">
        <f t="shared" si="2"/>
        <v>8538018</v>
      </c>
    </row>
    <row r="34" spans="1:11" s="614" customFormat="1" ht="17.25" hidden="1" customHeight="1">
      <c r="A34" s="609"/>
      <c r="B34" s="649">
        <v>6050</v>
      </c>
      <c r="C34" s="650" t="s">
        <v>312</v>
      </c>
      <c r="D34" s="651"/>
      <c r="E34" s="651"/>
      <c r="F34" s="651"/>
      <c r="G34" s="651"/>
      <c r="H34" s="651">
        <v>8538018</v>
      </c>
      <c r="I34" s="651">
        <v>0</v>
      </c>
      <c r="J34" s="651">
        <v>0</v>
      </c>
      <c r="K34" s="621">
        <f t="shared" si="2"/>
        <v>8538018</v>
      </c>
    </row>
    <row r="35" spans="1:11" s="608" customFormat="1" ht="64.5" customHeight="1">
      <c r="A35" s="656">
        <v>3</v>
      </c>
      <c r="B35" s="639"/>
      <c r="C35" s="606" t="s">
        <v>1123</v>
      </c>
      <c r="D35" s="607">
        <f>D36+D42</f>
        <v>40314573</v>
      </c>
      <c r="E35" s="607">
        <f t="shared" ref="E35:G35" si="6">E36+E42</f>
        <v>1398183</v>
      </c>
      <c r="F35" s="607">
        <f t="shared" si="6"/>
        <v>0</v>
      </c>
      <c r="G35" s="607">
        <f t="shared" si="6"/>
        <v>41712756</v>
      </c>
      <c r="H35" s="607">
        <f>H38+H40+H44</f>
        <v>40314573</v>
      </c>
      <c r="I35" s="607">
        <f t="shared" ref="I35:K35" si="7">I38+I40+I44</f>
        <v>1398183</v>
      </c>
      <c r="J35" s="607">
        <f t="shared" si="7"/>
        <v>0</v>
      </c>
      <c r="K35" s="607">
        <f t="shared" si="7"/>
        <v>41712756</v>
      </c>
    </row>
    <row r="36" spans="1:11" s="614" customFormat="1" ht="18.75" hidden="1" customHeight="1">
      <c r="A36" s="657"/>
      <c r="B36" s="610" t="s">
        <v>178</v>
      </c>
      <c r="C36" s="640" t="s">
        <v>1124</v>
      </c>
      <c r="D36" s="612">
        <f>D37</f>
        <v>40314573</v>
      </c>
      <c r="E36" s="612"/>
      <c r="F36" s="612"/>
      <c r="G36" s="612">
        <f>D36+E36-F36</f>
        <v>40314573</v>
      </c>
      <c r="H36" s="613"/>
      <c r="I36" s="612"/>
      <c r="J36" s="612"/>
      <c r="K36" s="612">
        <f t="shared" ref="K36:K45" si="8">H36+I36-J36</f>
        <v>0</v>
      </c>
    </row>
    <row r="37" spans="1:11" s="614" customFormat="1" ht="31.5" hidden="1" customHeight="1">
      <c r="A37" s="657"/>
      <c r="B37" s="658">
        <v>6370</v>
      </c>
      <c r="C37" s="659" t="s">
        <v>118</v>
      </c>
      <c r="D37" s="643">
        <v>40314573</v>
      </c>
      <c r="E37" s="643"/>
      <c r="F37" s="643"/>
      <c r="G37" s="617">
        <f>D37+E37-F37</f>
        <v>40314573</v>
      </c>
      <c r="H37" s="644"/>
      <c r="I37" s="643"/>
      <c r="J37" s="643"/>
      <c r="K37" s="617">
        <f t="shared" si="8"/>
        <v>0</v>
      </c>
    </row>
    <row r="38" spans="1:11" s="614" customFormat="1" ht="63.75" hidden="1" customHeight="1">
      <c r="A38" s="657"/>
      <c r="B38" s="645" t="s">
        <v>178</v>
      </c>
      <c r="C38" s="646" t="s">
        <v>466</v>
      </c>
      <c r="D38" s="647"/>
      <c r="E38" s="647"/>
      <c r="F38" s="647"/>
      <c r="G38" s="612"/>
      <c r="H38" s="648">
        <f>H39</f>
        <v>12825000</v>
      </c>
      <c r="I38" s="647"/>
      <c r="J38" s="647"/>
      <c r="K38" s="612">
        <f t="shared" si="8"/>
        <v>12825000</v>
      </c>
    </row>
    <row r="39" spans="1:11" s="614" customFormat="1" ht="33.75" hidden="1" customHeight="1">
      <c r="A39" s="657"/>
      <c r="B39" s="649">
        <v>6370</v>
      </c>
      <c r="C39" s="650" t="s">
        <v>1125</v>
      </c>
      <c r="D39" s="651"/>
      <c r="E39" s="651"/>
      <c r="F39" s="651"/>
      <c r="G39" s="621"/>
      <c r="H39" s="651">
        <v>12825000</v>
      </c>
      <c r="I39" s="651"/>
      <c r="J39" s="651"/>
      <c r="K39" s="621">
        <f t="shared" si="8"/>
        <v>12825000</v>
      </c>
    </row>
    <row r="40" spans="1:11" s="614" customFormat="1" ht="33.75" hidden="1" customHeight="1">
      <c r="A40" s="609"/>
      <c r="B40" s="660">
        <v>60013</v>
      </c>
      <c r="C40" s="661" t="s">
        <v>1126</v>
      </c>
      <c r="D40" s="655"/>
      <c r="E40" s="655"/>
      <c r="F40" s="655"/>
      <c r="G40" s="655"/>
      <c r="H40" s="648">
        <f>H41</f>
        <v>27489573</v>
      </c>
      <c r="I40" s="647"/>
      <c r="J40" s="647"/>
      <c r="K40" s="647">
        <f t="shared" si="8"/>
        <v>27489573</v>
      </c>
    </row>
    <row r="41" spans="1:11" s="614" customFormat="1" ht="33.75" hidden="1" customHeight="1">
      <c r="A41" s="609"/>
      <c r="B41" s="649">
        <v>6370</v>
      </c>
      <c r="C41" s="650" t="s">
        <v>1125</v>
      </c>
      <c r="D41" s="651"/>
      <c r="E41" s="651"/>
      <c r="F41" s="651"/>
      <c r="G41" s="651"/>
      <c r="H41" s="651">
        <v>27489573</v>
      </c>
      <c r="I41" s="651"/>
      <c r="J41" s="651"/>
      <c r="K41" s="651">
        <f t="shared" si="8"/>
        <v>27489573</v>
      </c>
    </row>
    <row r="42" spans="1:11" s="614" customFormat="1" ht="21.75" customHeight="1">
      <c r="A42" s="657"/>
      <c r="B42" s="610" t="s">
        <v>389</v>
      </c>
      <c r="C42" s="662" t="s">
        <v>1124</v>
      </c>
      <c r="D42" s="612">
        <f>D43</f>
        <v>0</v>
      </c>
      <c r="E42" s="612">
        <f t="shared" ref="E42:F42" si="9">E43</f>
        <v>1398183</v>
      </c>
      <c r="F42" s="612">
        <f t="shared" si="9"/>
        <v>0</v>
      </c>
      <c r="G42" s="612">
        <f>D42+E42-F42</f>
        <v>1398183</v>
      </c>
      <c r="H42" s="613"/>
      <c r="I42" s="612"/>
      <c r="J42" s="612"/>
      <c r="K42" s="612">
        <f t="shared" si="8"/>
        <v>0</v>
      </c>
    </row>
    <row r="43" spans="1:11" s="665" customFormat="1" ht="35.25" customHeight="1">
      <c r="A43" s="663"/>
      <c r="B43" s="664">
        <v>6370</v>
      </c>
      <c r="C43" s="642" t="s">
        <v>118</v>
      </c>
      <c r="D43" s="643">
        <v>0</v>
      </c>
      <c r="E43" s="643">
        <v>1398183</v>
      </c>
      <c r="F43" s="643">
        <v>0</v>
      </c>
      <c r="G43" s="643">
        <f>D43+E43-F43</f>
        <v>1398183</v>
      </c>
      <c r="H43" s="644"/>
      <c r="I43" s="643"/>
      <c r="J43" s="643"/>
      <c r="K43" s="643">
        <f t="shared" si="8"/>
        <v>0</v>
      </c>
    </row>
    <row r="44" spans="1:11" s="614" customFormat="1" ht="33" customHeight="1">
      <c r="A44" s="657"/>
      <c r="B44" s="610" t="s">
        <v>389</v>
      </c>
      <c r="C44" s="662" t="s">
        <v>392</v>
      </c>
      <c r="D44" s="612"/>
      <c r="E44" s="612"/>
      <c r="F44" s="612"/>
      <c r="G44" s="612"/>
      <c r="H44" s="648">
        <f>H45</f>
        <v>0</v>
      </c>
      <c r="I44" s="648">
        <f t="shared" ref="I44:J44" si="10">I45</f>
        <v>1398183</v>
      </c>
      <c r="J44" s="648">
        <f t="shared" si="10"/>
        <v>0</v>
      </c>
      <c r="K44" s="647">
        <f t="shared" si="8"/>
        <v>1398183</v>
      </c>
    </row>
    <row r="45" spans="1:11" s="665" customFormat="1" ht="52.5" customHeight="1">
      <c r="A45" s="663"/>
      <c r="B45" s="664">
        <v>6370</v>
      </c>
      <c r="C45" s="642" t="s">
        <v>331</v>
      </c>
      <c r="D45" s="643"/>
      <c r="E45" s="643"/>
      <c r="F45" s="643"/>
      <c r="G45" s="643"/>
      <c r="H45" s="651">
        <v>0</v>
      </c>
      <c r="I45" s="651">
        <v>1398183</v>
      </c>
      <c r="J45" s="651">
        <v>0</v>
      </c>
      <c r="K45" s="651">
        <f t="shared" si="8"/>
        <v>1398183</v>
      </c>
    </row>
    <row r="46" spans="1:11" s="608" customFormat="1" ht="36" hidden="1" customHeight="1">
      <c r="A46" s="604">
        <v>4</v>
      </c>
      <c r="B46" s="639"/>
      <c r="C46" s="666" t="s">
        <v>1127</v>
      </c>
      <c r="D46" s="607">
        <f>D47</f>
        <v>1200000</v>
      </c>
      <c r="E46" s="607"/>
      <c r="F46" s="607"/>
      <c r="G46" s="607">
        <f>G47</f>
        <v>1200000</v>
      </c>
      <c r="H46" s="607">
        <f>H49+H54+H56+H58+H60+H65+H68+H70</f>
        <v>4003000</v>
      </c>
      <c r="I46" s="607">
        <f>I49+I54+I56+I58+I60+I65+I68+I70</f>
        <v>0</v>
      </c>
      <c r="J46" s="607">
        <f>J49+J54+J56+J58+J60+J65+J68+J70</f>
        <v>0</v>
      </c>
      <c r="K46" s="607">
        <f>K49+K54+K56+K58+K60+K65+K68+K70</f>
        <v>4003000</v>
      </c>
    </row>
    <row r="47" spans="1:11" ht="17.25" hidden="1" customHeight="1">
      <c r="A47" s="609"/>
      <c r="B47" s="667">
        <v>75618</v>
      </c>
      <c r="C47" s="668" t="s">
        <v>1128</v>
      </c>
      <c r="D47" s="612">
        <f>D48</f>
        <v>1200000</v>
      </c>
      <c r="E47" s="612"/>
      <c r="F47" s="612"/>
      <c r="G47" s="612">
        <f>D47+E47-F47</f>
        <v>1200000</v>
      </c>
      <c r="H47" s="613"/>
      <c r="I47" s="612"/>
      <c r="J47" s="612"/>
      <c r="K47" s="612"/>
    </row>
    <row r="48" spans="1:11" s="671" customFormat="1" ht="17.25" hidden="1" customHeight="1">
      <c r="A48" s="629"/>
      <c r="B48" s="641" t="s">
        <v>1129</v>
      </c>
      <c r="C48" s="669" t="s">
        <v>1130</v>
      </c>
      <c r="D48" s="643">
        <v>1200000</v>
      </c>
      <c r="E48" s="643"/>
      <c r="F48" s="643"/>
      <c r="G48" s="617">
        <f>D48+E48-F48</f>
        <v>1200000</v>
      </c>
      <c r="H48" s="670"/>
      <c r="I48" s="643"/>
      <c r="J48" s="643"/>
      <c r="K48" s="617"/>
    </row>
    <row r="49" spans="1:11" ht="17.25" hidden="1" customHeight="1">
      <c r="A49" s="609"/>
      <c r="B49" s="672">
        <v>85153</v>
      </c>
      <c r="C49" s="668" t="s">
        <v>1131</v>
      </c>
      <c r="D49" s="612"/>
      <c r="E49" s="612"/>
      <c r="F49" s="612"/>
      <c r="G49" s="612"/>
      <c r="H49" s="612">
        <f>SUM(H50:H53)</f>
        <v>130000</v>
      </c>
      <c r="I49" s="612">
        <f t="shared" ref="I49:J49" si="11">SUM(I50:I53)</f>
        <v>0</v>
      </c>
      <c r="J49" s="612">
        <f t="shared" si="11"/>
        <v>0</v>
      </c>
      <c r="K49" s="612">
        <f t="shared" ref="K49:K71" si="12">H49+I49-J49</f>
        <v>130000</v>
      </c>
    </row>
    <row r="50" spans="1:11" s="632" customFormat="1" ht="17.25" hidden="1" customHeight="1">
      <c r="A50" s="629"/>
      <c r="B50" s="630">
        <v>4170</v>
      </c>
      <c r="C50" s="631" t="s">
        <v>304</v>
      </c>
      <c r="D50" s="617"/>
      <c r="E50" s="617"/>
      <c r="F50" s="617"/>
      <c r="G50" s="617"/>
      <c r="H50" s="617">
        <v>14000</v>
      </c>
      <c r="I50" s="617"/>
      <c r="J50" s="617"/>
      <c r="K50" s="617">
        <f t="shared" si="12"/>
        <v>14000</v>
      </c>
    </row>
    <row r="51" spans="1:11" s="632" customFormat="1" ht="17.25" hidden="1" customHeight="1">
      <c r="A51" s="629"/>
      <c r="B51" s="630">
        <v>4190</v>
      </c>
      <c r="C51" s="631" t="s">
        <v>1132</v>
      </c>
      <c r="D51" s="617"/>
      <c r="E51" s="617"/>
      <c r="F51" s="617"/>
      <c r="G51" s="617"/>
      <c r="H51" s="617">
        <v>11000</v>
      </c>
      <c r="I51" s="617"/>
      <c r="J51" s="617"/>
      <c r="K51" s="617">
        <f t="shared" si="12"/>
        <v>11000</v>
      </c>
    </row>
    <row r="52" spans="1:11" s="632" customFormat="1" ht="17.25" hidden="1" customHeight="1">
      <c r="A52" s="629"/>
      <c r="B52" s="630">
        <v>4210</v>
      </c>
      <c r="C52" s="631" t="s">
        <v>305</v>
      </c>
      <c r="D52" s="617"/>
      <c r="E52" s="617"/>
      <c r="F52" s="617"/>
      <c r="G52" s="617"/>
      <c r="H52" s="617">
        <v>3000</v>
      </c>
      <c r="I52" s="617"/>
      <c r="J52" s="617"/>
      <c r="K52" s="673">
        <f t="shared" si="12"/>
        <v>3000</v>
      </c>
    </row>
    <row r="53" spans="1:11" s="632" customFormat="1" ht="17.25" hidden="1" customHeight="1">
      <c r="A53" s="629"/>
      <c r="B53" s="633">
        <v>4300</v>
      </c>
      <c r="C53" s="634" t="s">
        <v>307</v>
      </c>
      <c r="D53" s="621"/>
      <c r="E53" s="621"/>
      <c r="F53" s="621"/>
      <c r="G53" s="621"/>
      <c r="H53" s="621">
        <v>102000</v>
      </c>
      <c r="I53" s="621"/>
      <c r="J53" s="621"/>
      <c r="K53" s="617">
        <f t="shared" si="12"/>
        <v>102000</v>
      </c>
    </row>
    <row r="54" spans="1:11" ht="17.25" hidden="1" customHeight="1">
      <c r="A54" s="609"/>
      <c r="B54" s="672">
        <v>85153</v>
      </c>
      <c r="C54" s="668" t="s">
        <v>1133</v>
      </c>
      <c r="D54" s="612"/>
      <c r="E54" s="612"/>
      <c r="F54" s="612"/>
      <c r="G54" s="612"/>
      <c r="H54" s="612">
        <f>H55</f>
        <v>350000</v>
      </c>
      <c r="I54" s="612">
        <f t="shared" ref="I54:J54" si="13">I55</f>
        <v>0</v>
      </c>
      <c r="J54" s="612">
        <f t="shared" si="13"/>
        <v>0</v>
      </c>
      <c r="K54" s="612">
        <f t="shared" si="12"/>
        <v>350000</v>
      </c>
    </row>
    <row r="55" spans="1:11" s="671" customFormat="1" ht="64.5" hidden="1" customHeight="1">
      <c r="A55" s="629"/>
      <c r="B55" s="674">
        <v>2360</v>
      </c>
      <c r="C55" s="669" t="s">
        <v>319</v>
      </c>
      <c r="D55" s="643"/>
      <c r="E55" s="643"/>
      <c r="F55" s="643"/>
      <c r="G55" s="617"/>
      <c r="H55" s="643">
        <v>350000</v>
      </c>
      <c r="I55" s="643"/>
      <c r="J55" s="643"/>
      <c r="K55" s="617">
        <f t="shared" si="12"/>
        <v>350000</v>
      </c>
    </row>
    <row r="56" spans="1:11" ht="30" hidden="1" customHeight="1">
      <c r="A56" s="609"/>
      <c r="B56" s="672">
        <v>85154</v>
      </c>
      <c r="C56" s="668" t="s">
        <v>1134</v>
      </c>
      <c r="D56" s="612"/>
      <c r="E56" s="612"/>
      <c r="F56" s="612"/>
      <c r="G56" s="612"/>
      <c r="H56" s="612">
        <f>H57</f>
        <v>70000</v>
      </c>
      <c r="I56" s="612">
        <f t="shared" ref="I56:J56" si="14">I57</f>
        <v>0</v>
      </c>
      <c r="J56" s="612">
        <f t="shared" si="14"/>
        <v>0</v>
      </c>
      <c r="K56" s="612">
        <f t="shared" si="12"/>
        <v>70000</v>
      </c>
    </row>
    <row r="57" spans="1:11" ht="66" hidden="1" customHeight="1">
      <c r="A57" s="657"/>
      <c r="B57" s="674">
        <v>2360</v>
      </c>
      <c r="C57" s="669" t="s">
        <v>319</v>
      </c>
      <c r="D57" s="675"/>
      <c r="E57" s="675"/>
      <c r="F57" s="675"/>
      <c r="G57" s="675"/>
      <c r="H57" s="643">
        <v>70000</v>
      </c>
      <c r="I57" s="675"/>
      <c r="J57" s="675"/>
      <c r="K57" s="617">
        <f t="shared" si="12"/>
        <v>70000</v>
      </c>
    </row>
    <row r="58" spans="1:11" ht="20.25" hidden="1" customHeight="1">
      <c r="A58" s="609"/>
      <c r="B58" s="672">
        <v>85154</v>
      </c>
      <c r="C58" s="668" t="s">
        <v>1135</v>
      </c>
      <c r="D58" s="612"/>
      <c r="E58" s="612"/>
      <c r="F58" s="612"/>
      <c r="G58" s="612"/>
      <c r="H58" s="612">
        <f>H59</f>
        <v>260000</v>
      </c>
      <c r="I58" s="612">
        <f t="shared" ref="I58:J58" si="15">I59</f>
        <v>0</v>
      </c>
      <c r="J58" s="612">
        <f t="shared" si="15"/>
        <v>0</v>
      </c>
      <c r="K58" s="612">
        <f t="shared" si="12"/>
        <v>260000</v>
      </c>
    </row>
    <row r="59" spans="1:11" ht="66.75" hidden="1" customHeight="1">
      <c r="A59" s="609"/>
      <c r="B59" s="674">
        <v>2360</v>
      </c>
      <c r="C59" s="669" t="s">
        <v>319</v>
      </c>
      <c r="D59" s="675"/>
      <c r="E59" s="675"/>
      <c r="F59" s="675"/>
      <c r="G59" s="675"/>
      <c r="H59" s="643">
        <v>260000</v>
      </c>
      <c r="I59" s="675"/>
      <c r="J59" s="675"/>
      <c r="K59" s="617">
        <f t="shared" si="12"/>
        <v>260000</v>
      </c>
    </row>
    <row r="60" spans="1:11" ht="16.5" hidden="1" customHeight="1">
      <c r="A60" s="657"/>
      <c r="B60" s="672">
        <v>85154</v>
      </c>
      <c r="C60" s="668" t="s">
        <v>755</v>
      </c>
      <c r="D60" s="612"/>
      <c r="E60" s="612"/>
      <c r="F60" s="612"/>
      <c r="G60" s="612"/>
      <c r="H60" s="612">
        <f>SUM(H61:H64)</f>
        <v>155000</v>
      </c>
      <c r="I60" s="612">
        <f t="shared" ref="I60:J60" si="16">SUM(I61:I64)</f>
        <v>0</v>
      </c>
      <c r="J60" s="612">
        <f t="shared" si="16"/>
        <v>0</v>
      </c>
      <c r="K60" s="612">
        <f t="shared" si="12"/>
        <v>155000</v>
      </c>
    </row>
    <row r="61" spans="1:11" ht="33.75" hidden="1" customHeight="1">
      <c r="A61" s="657"/>
      <c r="B61" s="630">
        <v>2800</v>
      </c>
      <c r="C61" s="676" t="s">
        <v>336</v>
      </c>
      <c r="D61" s="677"/>
      <c r="E61" s="677"/>
      <c r="F61" s="677"/>
      <c r="G61" s="677"/>
      <c r="H61" s="617">
        <v>30000</v>
      </c>
      <c r="I61" s="677"/>
      <c r="J61" s="677"/>
      <c r="K61" s="617">
        <f t="shared" si="12"/>
        <v>30000</v>
      </c>
    </row>
    <row r="62" spans="1:11" ht="15" hidden="1" customHeight="1">
      <c r="A62" s="609"/>
      <c r="B62" s="630">
        <v>4170</v>
      </c>
      <c r="C62" s="676" t="s">
        <v>304</v>
      </c>
      <c r="D62" s="677"/>
      <c r="E62" s="677"/>
      <c r="F62" s="677"/>
      <c r="G62" s="677"/>
      <c r="H62" s="617">
        <v>3000</v>
      </c>
      <c r="I62" s="677"/>
      <c r="J62" s="677"/>
      <c r="K62" s="617">
        <f t="shared" si="12"/>
        <v>3000</v>
      </c>
    </row>
    <row r="63" spans="1:11" ht="15" hidden="1" customHeight="1">
      <c r="A63" s="609"/>
      <c r="B63" s="630">
        <v>4210</v>
      </c>
      <c r="C63" s="676" t="s">
        <v>305</v>
      </c>
      <c r="D63" s="677"/>
      <c r="E63" s="677"/>
      <c r="F63" s="677"/>
      <c r="G63" s="677"/>
      <c r="H63" s="617">
        <v>4000</v>
      </c>
      <c r="I63" s="677"/>
      <c r="J63" s="677"/>
      <c r="K63" s="617">
        <f t="shared" si="12"/>
        <v>4000</v>
      </c>
    </row>
    <row r="64" spans="1:11" ht="15" hidden="1" customHeight="1">
      <c r="A64" s="609"/>
      <c r="B64" s="674">
        <v>4300</v>
      </c>
      <c r="C64" s="669" t="s">
        <v>307</v>
      </c>
      <c r="D64" s="675"/>
      <c r="E64" s="675"/>
      <c r="F64" s="675"/>
      <c r="G64" s="675"/>
      <c r="H64" s="643">
        <v>118000</v>
      </c>
      <c r="I64" s="675"/>
      <c r="J64" s="675"/>
      <c r="K64" s="621">
        <f t="shared" si="12"/>
        <v>118000</v>
      </c>
    </row>
    <row r="65" spans="1:11" ht="15" hidden="1" customHeight="1">
      <c r="A65" s="657"/>
      <c r="B65" s="672">
        <v>85154</v>
      </c>
      <c r="C65" s="668" t="s">
        <v>1136</v>
      </c>
      <c r="D65" s="678"/>
      <c r="E65" s="678"/>
      <c r="F65" s="678"/>
      <c r="G65" s="678"/>
      <c r="H65" s="612">
        <f>SUM(H66:H67)</f>
        <v>1098000</v>
      </c>
      <c r="I65" s="612">
        <f t="shared" ref="I65:K65" si="17">SUM(I66:I67)</f>
        <v>0</v>
      </c>
      <c r="J65" s="612">
        <f t="shared" si="17"/>
        <v>0</v>
      </c>
      <c r="K65" s="612">
        <f t="shared" si="17"/>
        <v>1098000</v>
      </c>
    </row>
    <row r="66" spans="1:11" ht="33.75" hidden="1" customHeight="1">
      <c r="A66" s="609"/>
      <c r="B66" s="630">
        <v>2800</v>
      </c>
      <c r="C66" s="676" t="s">
        <v>336</v>
      </c>
      <c r="D66" s="677"/>
      <c r="E66" s="677"/>
      <c r="F66" s="677"/>
      <c r="G66" s="677"/>
      <c r="H66" s="617">
        <v>428000</v>
      </c>
      <c r="I66" s="677"/>
      <c r="J66" s="677"/>
      <c r="K66" s="617">
        <f t="shared" si="12"/>
        <v>428000</v>
      </c>
    </row>
    <row r="67" spans="1:11" ht="51.75" hidden="1" customHeight="1">
      <c r="A67" s="609"/>
      <c r="B67" s="630">
        <v>6220</v>
      </c>
      <c r="C67" s="676" t="s">
        <v>330</v>
      </c>
      <c r="D67" s="675"/>
      <c r="E67" s="675"/>
      <c r="F67" s="675"/>
      <c r="G67" s="675"/>
      <c r="H67" s="643">
        <v>670000</v>
      </c>
      <c r="I67" s="675"/>
      <c r="J67" s="675"/>
      <c r="K67" s="617">
        <f t="shared" si="12"/>
        <v>670000</v>
      </c>
    </row>
    <row r="68" spans="1:11" ht="15" hidden="1" customHeight="1">
      <c r="A68" s="609"/>
      <c r="B68" s="672">
        <v>85154</v>
      </c>
      <c r="C68" s="668" t="s">
        <v>524</v>
      </c>
      <c r="D68" s="647"/>
      <c r="E68" s="647"/>
      <c r="F68" s="647"/>
      <c r="G68" s="647"/>
      <c r="H68" s="612">
        <f>H69</f>
        <v>1300000</v>
      </c>
      <c r="I68" s="612">
        <f t="shared" ref="I68:J70" si="18">I69</f>
        <v>0</v>
      </c>
      <c r="J68" s="612">
        <f t="shared" si="18"/>
        <v>0</v>
      </c>
      <c r="K68" s="612">
        <f t="shared" si="12"/>
        <v>1300000</v>
      </c>
    </row>
    <row r="69" spans="1:11" ht="30" hidden="1" customHeight="1">
      <c r="A69" s="609"/>
      <c r="B69" s="674">
        <v>2800</v>
      </c>
      <c r="C69" s="669" t="s">
        <v>336</v>
      </c>
      <c r="D69" s="675"/>
      <c r="E69" s="675"/>
      <c r="F69" s="675"/>
      <c r="G69" s="675"/>
      <c r="H69" s="643">
        <v>1300000</v>
      </c>
      <c r="I69" s="675"/>
      <c r="J69" s="675"/>
      <c r="K69" s="617">
        <f t="shared" si="12"/>
        <v>1300000</v>
      </c>
    </row>
    <row r="70" spans="1:11" ht="15" hidden="1" customHeight="1">
      <c r="A70" s="609"/>
      <c r="B70" s="672">
        <v>85154</v>
      </c>
      <c r="C70" s="668" t="s">
        <v>523</v>
      </c>
      <c r="D70" s="673"/>
      <c r="E70" s="673"/>
      <c r="F70" s="673"/>
      <c r="G70" s="673"/>
      <c r="H70" s="612">
        <f>H71</f>
        <v>640000</v>
      </c>
      <c r="I70" s="612">
        <f t="shared" si="18"/>
        <v>0</v>
      </c>
      <c r="J70" s="612">
        <f t="shared" si="18"/>
        <v>0</v>
      </c>
      <c r="K70" s="612">
        <f t="shared" si="12"/>
        <v>640000</v>
      </c>
    </row>
    <row r="71" spans="1:11" ht="51.75" hidden="1" customHeight="1">
      <c r="A71" s="609"/>
      <c r="B71" s="630">
        <v>6220</v>
      </c>
      <c r="C71" s="676" t="s">
        <v>330</v>
      </c>
      <c r="D71" s="673"/>
      <c r="E71" s="673"/>
      <c r="F71" s="673"/>
      <c r="G71" s="673"/>
      <c r="H71" s="643">
        <v>640000</v>
      </c>
      <c r="I71" s="675"/>
      <c r="J71" s="675"/>
      <c r="K71" s="617">
        <f t="shared" si="12"/>
        <v>640000</v>
      </c>
    </row>
    <row r="72" spans="1:11" s="608" customFormat="1" ht="33" hidden="1" customHeight="1">
      <c r="A72" s="604">
        <v>5</v>
      </c>
      <c r="B72" s="679"/>
      <c r="C72" s="606" t="s">
        <v>1137</v>
      </c>
      <c r="D72" s="680">
        <f>D73</f>
        <v>554582</v>
      </c>
      <c r="E72" s="680">
        <v>0</v>
      </c>
      <c r="F72" s="680">
        <v>0</v>
      </c>
      <c r="G72" s="607">
        <f>G73</f>
        <v>554582</v>
      </c>
      <c r="H72" s="680">
        <f t="shared" ref="H72" si="19">SUM(H73:H75)</f>
        <v>554582</v>
      </c>
      <c r="I72" s="680">
        <f>I75</f>
        <v>0</v>
      </c>
      <c r="J72" s="680">
        <f>J75</f>
        <v>0</v>
      </c>
      <c r="K72" s="607">
        <f>H72+I72-J72</f>
        <v>554582</v>
      </c>
    </row>
    <row r="73" spans="1:11" ht="17.25" hidden="1" customHeight="1">
      <c r="A73" s="609"/>
      <c r="B73" s="681">
        <v>85324</v>
      </c>
      <c r="C73" s="682" t="s">
        <v>1138</v>
      </c>
      <c r="D73" s="647">
        <f>D74</f>
        <v>554582</v>
      </c>
      <c r="E73" s="647"/>
      <c r="F73" s="647"/>
      <c r="G73" s="612">
        <f>D73+E73-F73</f>
        <v>554582</v>
      </c>
      <c r="H73" s="647"/>
      <c r="I73" s="647"/>
      <c r="J73" s="647"/>
      <c r="K73" s="612"/>
    </row>
    <row r="74" spans="1:11" ht="17.25" hidden="1" customHeight="1">
      <c r="A74" s="609"/>
      <c r="B74" s="619" t="s">
        <v>120</v>
      </c>
      <c r="C74" s="683" t="s">
        <v>121</v>
      </c>
      <c r="D74" s="621">
        <v>554582</v>
      </c>
      <c r="E74" s="621"/>
      <c r="F74" s="621"/>
      <c r="G74" s="621">
        <f>D74+E74-F74</f>
        <v>554582</v>
      </c>
      <c r="H74" s="684"/>
      <c r="I74" s="621"/>
      <c r="J74" s="621"/>
      <c r="K74" s="621"/>
    </row>
    <row r="75" spans="1:11" ht="17.25" hidden="1" customHeight="1">
      <c r="A75" s="609"/>
      <c r="B75" s="681">
        <v>85324</v>
      </c>
      <c r="C75" s="682" t="s">
        <v>1139</v>
      </c>
      <c r="D75" s="647"/>
      <c r="E75" s="647"/>
      <c r="F75" s="647"/>
      <c r="G75" s="647"/>
      <c r="H75" s="647">
        <f>SUM(H76:H85)</f>
        <v>554582</v>
      </c>
      <c r="I75" s="647">
        <f>SUM(I76:I85)</f>
        <v>0</v>
      </c>
      <c r="J75" s="647">
        <f>SUM(J76:J85)</f>
        <v>0</v>
      </c>
      <c r="K75" s="647">
        <f>H75+I75-J75</f>
        <v>554582</v>
      </c>
    </row>
    <row r="76" spans="1:11" ht="17.25" hidden="1" customHeight="1">
      <c r="A76" s="609"/>
      <c r="B76" s="630">
        <v>4010</v>
      </c>
      <c r="C76" s="685" t="s">
        <v>313</v>
      </c>
      <c r="D76" s="677"/>
      <c r="E76" s="677"/>
      <c r="F76" s="677"/>
      <c r="G76" s="677"/>
      <c r="H76" s="617">
        <v>406753</v>
      </c>
      <c r="I76" s="677">
        <v>0</v>
      </c>
      <c r="J76" s="677">
        <v>0</v>
      </c>
      <c r="K76" s="617">
        <f>H76+I76-J76</f>
        <v>406753</v>
      </c>
    </row>
    <row r="77" spans="1:11" ht="17.25" hidden="1" customHeight="1">
      <c r="A77" s="609"/>
      <c r="B77" s="630">
        <v>4040</v>
      </c>
      <c r="C77" s="685" t="s">
        <v>1114</v>
      </c>
      <c r="D77" s="677"/>
      <c r="E77" s="677"/>
      <c r="F77" s="677"/>
      <c r="G77" s="677"/>
      <c r="H77" s="617">
        <v>0</v>
      </c>
      <c r="I77" s="677">
        <v>0</v>
      </c>
      <c r="J77" s="677">
        <v>0</v>
      </c>
      <c r="K77" s="617">
        <f t="shared" ref="K77:K85" si="20">H77+I77-J77</f>
        <v>0</v>
      </c>
    </row>
    <row r="78" spans="1:11" ht="17.25" hidden="1" customHeight="1">
      <c r="A78" s="609"/>
      <c r="B78" s="630">
        <v>4110</v>
      </c>
      <c r="C78" s="685" t="s">
        <v>314</v>
      </c>
      <c r="D78" s="677"/>
      <c r="E78" s="677"/>
      <c r="F78" s="677"/>
      <c r="G78" s="677"/>
      <c r="H78" s="617">
        <v>68863</v>
      </c>
      <c r="I78" s="677"/>
      <c r="J78" s="677"/>
      <c r="K78" s="617">
        <f t="shared" si="20"/>
        <v>68863</v>
      </c>
    </row>
    <row r="79" spans="1:11" ht="17.25" hidden="1" customHeight="1">
      <c r="A79" s="609"/>
      <c r="B79" s="630">
        <v>4120</v>
      </c>
      <c r="C79" s="631" t="s">
        <v>315</v>
      </c>
      <c r="D79" s="677"/>
      <c r="E79" s="677"/>
      <c r="F79" s="677"/>
      <c r="G79" s="677"/>
      <c r="H79" s="617">
        <v>9966</v>
      </c>
      <c r="I79" s="677"/>
      <c r="J79" s="677"/>
      <c r="K79" s="617">
        <f t="shared" si="20"/>
        <v>9966</v>
      </c>
    </row>
    <row r="80" spans="1:11" ht="17.25" hidden="1" customHeight="1">
      <c r="A80" s="609"/>
      <c r="B80" s="630">
        <v>4210</v>
      </c>
      <c r="C80" s="685" t="s">
        <v>305</v>
      </c>
      <c r="D80" s="677"/>
      <c r="E80" s="677"/>
      <c r="F80" s="677"/>
      <c r="G80" s="677"/>
      <c r="H80" s="617">
        <v>50000</v>
      </c>
      <c r="I80" s="677"/>
      <c r="J80" s="677"/>
      <c r="K80" s="617">
        <f t="shared" si="20"/>
        <v>50000</v>
      </c>
    </row>
    <row r="81" spans="1:11" ht="17.25" hidden="1" customHeight="1">
      <c r="A81" s="609"/>
      <c r="B81" s="630">
        <v>4220</v>
      </c>
      <c r="C81" s="685" t="s">
        <v>306</v>
      </c>
      <c r="D81" s="677"/>
      <c r="E81" s="677"/>
      <c r="F81" s="677"/>
      <c r="G81" s="677"/>
      <c r="H81" s="617">
        <v>2000</v>
      </c>
      <c r="I81" s="677"/>
      <c r="J81" s="677"/>
      <c r="K81" s="617">
        <f t="shared" si="20"/>
        <v>2000</v>
      </c>
    </row>
    <row r="82" spans="1:11" ht="17.25" hidden="1" customHeight="1">
      <c r="A82" s="609"/>
      <c r="B82" s="630">
        <v>4270</v>
      </c>
      <c r="C82" s="685" t="s">
        <v>333</v>
      </c>
      <c r="D82" s="677"/>
      <c r="E82" s="677"/>
      <c r="F82" s="677"/>
      <c r="G82" s="677"/>
      <c r="H82" s="617">
        <v>2000</v>
      </c>
      <c r="I82" s="677"/>
      <c r="J82" s="677"/>
      <c r="K82" s="617">
        <f t="shared" si="20"/>
        <v>2000</v>
      </c>
    </row>
    <row r="83" spans="1:11" ht="17.25" hidden="1" customHeight="1">
      <c r="A83" s="609"/>
      <c r="B83" s="630">
        <v>4300</v>
      </c>
      <c r="C83" s="685" t="s">
        <v>307</v>
      </c>
      <c r="D83" s="677"/>
      <c r="E83" s="677"/>
      <c r="F83" s="677"/>
      <c r="G83" s="677"/>
      <c r="H83" s="617">
        <v>2000</v>
      </c>
      <c r="I83" s="677"/>
      <c r="J83" s="677"/>
      <c r="K83" s="617">
        <f t="shared" si="20"/>
        <v>2000</v>
      </c>
    </row>
    <row r="84" spans="1:11" ht="17.25" hidden="1" customHeight="1">
      <c r="A84" s="609"/>
      <c r="B84" s="630">
        <v>4410</v>
      </c>
      <c r="C84" s="685" t="s">
        <v>310</v>
      </c>
      <c r="D84" s="677"/>
      <c r="E84" s="677"/>
      <c r="F84" s="677"/>
      <c r="G84" s="677"/>
      <c r="H84" s="617">
        <v>3000</v>
      </c>
      <c r="I84" s="677"/>
      <c r="J84" s="677"/>
      <c r="K84" s="617">
        <f t="shared" si="20"/>
        <v>3000</v>
      </c>
    </row>
    <row r="85" spans="1:11" ht="17.25" hidden="1" customHeight="1">
      <c r="A85" s="609"/>
      <c r="B85" s="630">
        <v>4700</v>
      </c>
      <c r="C85" s="686" t="s">
        <v>1115</v>
      </c>
      <c r="D85" s="675"/>
      <c r="E85" s="673"/>
      <c r="F85" s="673"/>
      <c r="G85" s="673"/>
      <c r="H85" s="651">
        <v>10000</v>
      </c>
      <c r="I85" s="673"/>
      <c r="J85" s="673"/>
      <c r="K85" s="617">
        <f t="shared" si="20"/>
        <v>10000</v>
      </c>
    </row>
    <row r="86" spans="1:11" s="689" customFormat="1" ht="15.75" hidden="1" customHeight="1">
      <c r="A86" s="687">
        <v>6</v>
      </c>
      <c r="B86" s="679"/>
      <c r="C86" s="688" t="s">
        <v>1140</v>
      </c>
      <c r="D86" s="680">
        <f>D87</f>
        <v>910000</v>
      </c>
      <c r="E86" s="680"/>
      <c r="F86" s="680"/>
      <c r="G86" s="607">
        <f>G87</f>
        <v>910000</v>
      </c>
      <c r="H86" s="680">
        <f>H89</f>
        <v>910000</v>
      </c>
      <c r="I86" s="680">
        <f>I89</f>
        <v>0</v>
      </c>
      <c r="J86" s="680">
        <f>J89</f>
        <v>0</v>
      </c>
      <c r="K86" s="607">
        <f>H86+I86-J86</f>
        <v>910000</v>
      </c>
    </row>
    <row r="87" spans="1:11" ht="16.5" hidden="1" customHeight="1">
      <c r="A87" s="609"/>
      <c r="B87" s="681">
        <v>90019</v>
      </c>
      <c r="C87" s="682" t="s">
        <v>1141</v>
      </c>
      <c r="D87" s="647">
        <f>D88</f>
        <v>910000</v>
      </c>
      <c r="E87" s="647"/>
      <c r="F87" s="647"/>
      <c r="G87" s="612">
        <f>D87+E87-F87</f>
        <v>910000</v>
      </c>
      <c r="H87" s="647"/>
      <c r="I87" s="647"/>
      <c r="J87" s="647"/>
      <c r="K87" s="612"/>
    </row>
    <row r="88" spans="1:11" ht="14.25" hidden="1" customHeight="1">
      <c r="A88" s="609"/>
      <c r="B88" s="641" t="s">
        <v>1110</v>
      </c>
      <c r="C88" s="690" t="s">
        <v>1111</v>
      </c>
      <c r="D88" s="643">
        <v>910000</v>
      </c>
      <c r="E88" s="643"/>
      <c r="F88" s="643"/>
      <c r="G88" s="643">
        <f>D88+E88-F88</f>
        <v>910000</v>
      </c>
      <c r="H88" s="675"/>
      <c r="I88" s="643"/>
      <c r="J88" s="643"/>
      <c r="K88" s="643"/>
    </row>
    <row r="89" spans="1:11" ht="16.5" hidden="1" customHeight="1">
      <c r="A89" s="609"/>
      <c r="B89" s="691">
        <v>90019</v>
      </c>
      <c r="C89" s="692" t="s">
        <v>1142</v>
      </c>
      <c r="D89" s="678"/>
      <c r="E89" s="678"/>
      <c r="F89" s="678"/>
      <c r="G89" s="678"/>
      <c r="H89" s="678">
        <f>SUM(H90:H98)</f>
        <v>910000</v>
      </c>
      <c r="I89" s="678">
        <f t="shared" ref="I89:J89" si="21">SUM(I90:I98)</f>
        <v>0</v>
      </c>
      <c r="J89" s="678">
        <f t="shared" si="21"/>
        <v>0</v>
      </c>
      <c r="K89" s="612">
        <f>H89+I89-J89</f>
        <v>910000</v>
      </c>
    </row>
    <row r="90" spans="1:11" ht="16.5" hidden="1" customHeight="1">
      <c r="A90" s="609"/>
      <c r="B90" s="630">
        <v>4010</v>
      </c>
      <c r="C90" s="685" t="s">
        <v>313</v>
      </c>
      <c r="D90" s="677"/>
      <c r="E90" s="677"/>
      <c r="F90" s="677"/>
      <c r="G90" s="677"/>
      <c r="H90" s="617">
        <v>630494</v>
      </c>
      <c r="I90" s="677">
        <v>0</v>
      </c>
      <c r="J90" s="677"/>
      <c r="K90" s="617">
        <f>H90+I90-J90</f>
        <v>630494</v>
      </c>
    </row>
    <row r="91" spans="1:11" ht="16.5" hidden="1" customHeight="1">
      <c r="A91" s="609"/>
      <c r="B91" s="630">
        <v>4040</v>
      </c>
      <c r="C91" s="685" t="s">
        <v>1114</v>
      </c>
      <c r="D91" s="677"/>
      <c r="E91" s="677"/>
      <c r="F91" s="677"/>
      <c r="G91" s="677"/>
      <c r="H91" s="617">
        <v>70000</v>
      </c>
      <c r="I91" s="677">
        <v>0</v>
      </c>
      <c r="J91" s="677"/>
      <c r="K91" s="617">
        <f t="shared" ref="K91:K98" si="22">H91+I91-J91</f>
        <v>70000</v>
      </c>
    </row>
    <row r="92" spans="1:11" ht="16.5" hidden="1" customHeight="1">
      <c r="A92" s="609"/>
      <c r="B92" s="630">
        <v>4110</v>
      </c>
      <c r="C92" s="685" t="s">
        <v>314</v>
      </c>
      <c r="D92" s="677"/>
      <c r="E92" s="677"/>
      <c r="F92" s="677"/>
      <c r="G92" s="677"/>
      <c r="H92" s="617">
        <v>118594</v>
      </c>
      <c r="I92" s="677">
        <v>0</v>
      </c>
      <c r="J92" s="677"/>
      <c r="K92" s="617">
        <f t="shared" si="22"/>
        <v>118594</v>
      </c>
    </row>
    <row r="93" spans="1:11" ht="16.5" hidden="1" customHeight="1">
      <c r="A93" s="609"/>
      <c r="B93" s="630">
        <v>4120</v>
      </c>
      <c r="C93" s="631" t="s">
        <v>315</v>
      </c>
      <c r="D93" s="677"/>
      <c r="E93" s="677"/>
      <c r="F93" s="677"/>
      <c r="G93" s="677"/>
      <c r="H93" s="617">
        <v>17162</v>
      </c>
      <c r="I93" s="677">
        <v>0</v>
      </c>
      <c r="J93" s="677"/>
      <c r="K93" s="617">
        <f t="shared" si="22"/>
        <v>17162</v>
      </c>
    </row>
    <row r="94" spans="1:11" ht="16.5" hidden="1" customHeight="1">
      <c r="A94" s="609"/>
      <c r="B94" s="633">
        <v>4210</v>
      </c>
      <c r="C94" s="685" t="s">
        <v>305</v>
      </c>
      <c r="D94" s="684"/>
      <c r="E94" s="684"/>
      <c r="F94" s="684"/>
      <c r="G94" s="684"/>
      <c r="H94" s="621">
        <v>40000</v>
      </c>
      <c r="I94" s="684">
        <v>0</v>
      </c>
      <c r="J94" s="684"/>
      <c r="K94" s="617">
        <f t="shared" si="22"/>
        <v>40000</v>
      </c>
    </row>
    <row r="95" spans="1:11" ht="16.5" hidden="1" customHeight="1">
      <c r="A95" s="609"/>
      <c r="B95" s="630">
        <v>4300</v>
      </c>
      <c r="C95" s="685" t="s">
        <v>307</v>
      </c>
      <c r="D95" s="677"/>
      <c r="E95" s="677"/>
      <c r="F95" s="677"/>
      <c r="G95" s="677"/>
      <c r="H95" s="617">
        <v>20000</v>
      </c>
      <c r="I95" s="677">
        <v>0</v>
      </c>
      <c r="J95" s="677"/>
      <c r="K95" s="617">
        <f t="shared" si="22"/>
        <v>20000</v>
      </c>
    </row>
    <row r="96" spans="1:11" ht="16.5" hidden="1" customHeight="1">
      <c r="A96" s="609"/>
      <c r="B96" s="630">
        <v>4410</v>
      </c>
      <c r="C96" s="685" t="s">
        <v>310</v>
      </c>
      <c r="D96" s="677"/>
      <c r="E96" s="677"/>
      <c r="F96" s="677"/>
      <c r="G96" s="677"/>
      <c r="H96" s="617">
        <v>400</v>
      </c>
      <c r="I96" s="677">
        <v>0</v>
      </c>
      <c r="J96" s="677"/>
      <c r="K96" s="617">
        <f t="shared" si="22"/>
        <v>400</v>
      </c>
    </row>
    <row r="97" spans="1:11" ht="16.5" hidden="1" customHeight="1">
      <c r="A97" s="609"/>
      <c r="B97" s="633">
        <v>4700</v>
      </c>
      <c r="C97" s="634" t="s">
        <v>1115</v>
      </c>
      <c r="D97" s="684"/>
      <c r="E97" s="684"/>
      <c r="F97" s="684"/>
      <c r="G97" s="684"/>
      <c r="H97" s="621">
        <v>6000</v>
      </c>
      <c r="I97" s="684">
        <v>0</v>
      </c>
      <c r="J97" s="684"/>
      <c r="K97" s="617">
        <f t="shared" si="22"/>
        <v>6000</v>
      </c>
    </row>
    <row r="98" spans="1:11" ht="16.5" hidden="1" customHeight="1">
      <c r="A98" s="693"/>
      <c r="B98" s="674">
        <v>4710</v>
      </c>
      <c r="C98" s="686" t="s">
        <v>318</v>
      </c>
      <c r="D98" s="675"/>
      <c r="E98" s="675"/>
      <c r="F98" s="675"/>
      <c r="G98" s="675"/>
      <c r="H98" s="643">
        <v>7350</v>
      </c>
      <c r="I98" s="675">
        <v>0</v>
      </c>
      <c r="J98" s="675"/>
      <c r="K98" s="621">
        <f t="shared" si="22"/>
        <v>7350</v>
      </c>
    </row>
    <row r="99" spans="1:11" s="608" customFormat="1" ht="30.75" hidden="1" customHeight="1">
      <c r="A99" s="604">
        <v>7</v>
      </c>
      <c r="B99" s="694"/>
      <c r="C99" s="695" t="s">
        <v>1143</v>
      </c>
      <c r="D99" s="696">
        <f>D100+D111</f>
        <v>145250</v>
      </c>
      <c r="E99" s="696">
        <v>0</v>
      </c>
      <c r="F99" s="696">
        <v>0</v>
      </c>
      <c r="G99" s="696">
        <f>G100+G111</f>
        <v>145250</v>
      </c>
      <c r="H99" s="696">
        <f>H102+H113</f>
        <v>145250</v>
      </c>
      <c r="I99" s="696">
        <f>I102+I111</f>
        <v>0</v>
      </c>
      <c r="J99" s="696">
        <f>J102+J111</f>
        <v>0</v>
      </c>
      <c r="K99" s="696">
        <f>H99+I99-J99</f>
        <v>145250</v>
      </c>
    </row>
    <row r="100" spans="1:11" ht="48.75" hidden="1" customHeight="1">
      <c r="A100" s="609"/>
      <c r="B100" s="681">
        <v>90020</v>
      </c>
      <c r="C100" s="697" t="s">
        <v>1144</v>
      </c>
      <c r="D100" s="647">
        <f>D101</f>
        <v>45000</v>
      </c>
      <c r="E100" s="647"/>
      <c r="F100" s="647"/>
      <c r="G100" s="612">
        <f>D100+E100-F100</f>
        <v>45000</v>
      </c>
      <c r="H100" s="647"/>
      <c r="I100" s="647"/>
      <c r="J100" s="647"/>
      <c r="K100" s="612"/>
    </row>
    <row r="101" spans="1:11" ht="15" hidden="1" customHeight="1">
      <c r="A101" s="609"/>
      <c r="B101" s="641" t="s">
        <v>1145</v>
      </c>
      <c r="C101" s="669" t="s">
        <v>1146</v>
      </c>
      <c r="D101" s="643">
        <v>45000</v>
      </c>
      <c r="E101" s="643"/>
      <c r="F101" s="643"/>
      <c r="G101" s="643">
        <f>D101+E101-F101</f>
        <v>45000</v>
      </c>
      <c r="H101" s="675"/>
      <c r="I101" s="643"/>
      <c r="J101" s="643"/>
      <c r="K101" s="643"/>
    </row>
    <row r="102" spans="1:11" ht="29.25" hidden="1" customHeight="1">
      <c r="A102" s="609"/>
      <c r="B102" s="691">
        <v>90020</v>
      </c>
      <c r="C102" s="698" t="s">
        <v>1147</v>
      </c>
      <c r="D102" s="678"/>
      <c r="E102" s="678"/>
      <c r="F102" s="678"/>
      <c r="G102" s="678"/>
      <c r="H102" s="678">
        <f>SUM(H103:H110)</f>
        <v>45000</v>
      </c>
      <c r="I102" s="678">
        <f t="shared" ref="I102:J102" si="23">SUM(I103:I110)</f>
        <v>0</v>
      </c>
      <c r="J102" s="678">
        <f t="shared" si="23"/>
        <v>0</v>
      </c>
      <c r="K102" s="612">
        <f>H102+I102-J102</f>
        <v>45000</v>
      </c>
    </row>
    <row r="103" spans="1:11" s="699" customFormat="1" ht="16.5" hidden="1" customHeight="1">
      <c r="A103" s="609"/>
      <c r="B103" s="630">
        <v>4010</v>
      </c>
      <c r="C103" s="685" t="s">
        <v>313</v>
      </c>
      <c r="D103" s="677"/>
      <c r="E103" s="677"/>
      <c r="F103" s="677"/>
      <c r="G103" s="677"/>
      <c r="H103" s="617">
        <v>26506</v>
      </c>
      <c r="I103" s="677">
        <v>0</v>
      </c>
      <c r="J103" s="677">
        <v>0</v>
      </c>
      <c r="K103" s="617">
        <f>H103+I103-J103</f>
        <v>26506</v>
      </c>
    </row>
    <row r="104" spans="1:11" ht="16.5" hidden="1" customHeight="1">
      <c r="A104" s="609"/>
      <c r="B104" s="630">
        <v>4040</v>
      </c>
      <c r="C104" s="685" t="s">
        <v>1114</v>
      </c>
      <c r="D104" s="677"/>
      <c r="E104" s="677"/>
      <c r="F104" s="677"/>
      <c r="G104" s="677"/>
      <c r="H104" s="617">
        <v>7000</v>
      </c>
      <c r="I104" s="677">
        <v>0</v>
      </c>
      <c r="J104" s="677">
        <v>0</v>
      </c>
      <c r="K104" s="617">
        <f t="shared" ref="K104:K110" si="24">H104+I104-J104</f>
        <v>7000</v>
      </c>
    </row>
    <row r="105" spans="1:11" s="699" customFormat="1" ht="16.5" hidden="1" customHeight="1">
      <c r="A105" s="609"/>
      <c r="B105" s="630">
        <v>4110</v>
      </c>
      <c r="C105" s="685" t="s">
        <v>314</v>
      </c>
      <c r="D105" s="677"/>
      <c r="E105" s="677"/>
      <c r="F105" s="677"/>
      <c r="G105" s="677"/>
      <c r="H105" s="617">
        <v>5673</v>
      </c>
      <c r="I105" s="677"/>
      <c r="J105" s="677"/>
      <c r="K105" s="617">
        <f t="shared" si="24"/>
        <v>5673</v>
      </c>
    </row>
    <row r="106" spans="1:11" s="699" customFormat="1" ht="16.5" hidden="1" customHeight="1">
      <c r="A106" s="609"/>
      <c r="B106" s="630">
        <v>4120</v>
      </c>
      <c r="C106" s="631" t="s">
        <v>315</v>
      </c>
      <c r="D106" s="677"/>
      <c r="E106" s="677"/>
      <c r="F106" s="677"/>
      <c r="G106" s="677"/>
      <c r="H106" s="617">
        <v>821</v>
      </c>
      <c r="I106" s="677"/>
      <c r="J106" s="677"/>
      <c r="K106" s="617">
        <f t="shared" si="24"/>
        <v>821</v>
      </c>
    </row>
    <row r="107" spans="1:11" ht="16.5" hidden="1" customHeight="1">
      <c r="A107" s="609"/>
      <c r="B107" s="633">
        <v>4210</v>
      </c>
      <c r="C107" s="685" t="s">
        <v>305</v>
      </c>
      <c r="D107" s="684"/>
      <c r="E107" s="684"/>
      <c r="F107" s="684"/>
      <c r="G107" s="684"/>
      <c r="H107" s="621">
        <v>0</v>
      </c>
      <c r="I107" s="684"/>
      <c r="J107" s="684"/>
      <c r="K107" s="617">
        <f t="shared" si="24"/>
        <v>0</v>
      </c>
    </row>
    <row r="108" spans="1:11" s="699" customFormat="1" ht="16.5" hidden="1" customHeight="1">
      <c r="A108" s="609"/>
      <c r="B108" s="633">
        <v>4610</v>
      </c>
      <c r="C108" s="620" t="s">
        <v>320</v>
      </c>
      <c r="D108" s="684"/>
      <c r="E108" s="684"/>
      <c r="F108" s="684"/>
      <c r="G108" s="684"/>
      <c r="H108" s="621">
        <v>300</v>
      </c>
      <c r="I108" s="684"/>
      <c r="J108" s="684"/>
      <c r="K108" s="617">
        <f t="shared" si="24"/>
        <v>300</v>
      </c>
    </row>
    <row r="109" spans="1:11" ht="16.5" hidden="1" customHeight="1">
      <c r="A109" s="609"/>
      <c r="B109" s="633">
        <v>4700</v>
      </c>
      <c r="C109" s="634" t="s">
        <v>1115</v>
      </c>
      <c r="D109" s="684"/>
      <c r="E109" s="684"/>
      <c r="F109" s="684"/>
      <c r="G109" s="684"/>
      <c r="H109" s="621">
        <v>4000</v>
      </c>
      <c r="I109" s="684"/>
      <c r="J109" s="684"/>
      <c r="K109" s="617">
        <f t="shared" si="24"/>
        <v>4000</v>
      </c>
    </row>
    <row r="110" spans="1:11" ht="16.5" hidden="1" customHeight="1">
      <c r="A110" s="657"/>
      <c r="B110" s="674">
        <v>4710</v>
      </c>
      <c r="C110" s="686" t="s">
        <v>318</v>
      </c>
      <c r="D110" s="675"/>
      <c r="E110" s="675"/>
      <c r="F110" s="675"/>
      <c r="G110" s="675"/>
      <c r="H110" s="643">
        <v>700</v>
      </c>
      <c r="I110" s="675"/>
      <c r="J110" s="675"/>
      <c r="K110" s="617">
        <f t="shared" si="24"/>
        <v>700</v>
      </c>
    </row>
    <row r="111" spans="1:11" ht="33.75" hidden="1" customHeight="1">
      <c r="A111" s="657"/>
      <c r="B111" s="681">
        <v>90026</v>
      </c>
      <c r="C111" s="697" t="s">
        <v>1148</v>
      </c>
      <c r="D111" s="647">
        <f>D112</f>
        <v>100250</v>
      </c>
      <c r="E111" s="647"/>
      <c r="F111" s="647"/>
      <c r="G111" s="612">
        <f>D111+E111-F111</f>
        <v>100250</v>
      </c>
      <c r="H111" s="647"/>
      <c r="I111" s="647"/>
      <c r="J111" s="647"/>
      <c r="K111" s="612"/>
    </row>
    <row r="112" spans="1:11" ht="16.5" hidden="1" customHeight="1">
      <c r="A112" s="609"/>
      <c r="B112" s="641" t="s">
        <v>1149</v>
      </c>
      <c r="C112" s="669" t="s">
        <v>1150</v>
      </c>
      <c r="D112" s="643">
        <v>100250</v>
      </c>
      <c r="E112" s="643"/>
      <c r="F112" s="643"/>
      <c r="G112" s="643">
        <f>D112+E112-F112</f>
        <v>100250</v>
      </c>
      <c r="H112" s="675"/>
      <c r="I112" s="643"/>
      <c r="J112" s="643"/>
      <c r="K112" s="643"/>
    </row>
    <row r="113" spans="1:11" ht="16.5" hidden="1" customHeight="1">
      <c r="A113" s="609"/>
      <c r="B113" s="691">
        <v>90026</v>
      </c>
      <c r="C113" s="698" t="s">
        <v>1151</v>
      </c>
      <c r="D113" s="678"/>
      <c r="E113" s="678"/>
      <c r="F113" s="678"/>
      <c r="G113" s="678"/>
      <c r="H113" s="678">
        <f>SUM(H114:H120)</f>
        <v>100250</v>
      </c>
      <c r="I113" s="678">
        <f>SUM(I114:I120)</f>
        <v>0</v>
      </c>
      <c r="J113" s="678">
        <f>SUM(J114:J120)</f>
        <v>0</v>
      </c>
      <c r="K113" s="612">
        <f>H113+I113-J113</f>
        <v>100250</v>
      </c>
    </row>
    <row r="114" spans="1:11" ht="16.5" hidden="1" customHeight="1">
      <c r="A114" s="609"/>
      <c r="B114" s="630">
        <v>4010</v>
      </c>
      <c r="C114" s="685" t="s">
        <v>313</v>
      </c>
      <c r="D114" s="617"/>
      <c r="E114" s="617"/>
      <c r="F114" s="617"/>
      <c r="G114" s="617"/>
      <c r="H114" s="617">
        <v>56165</v>
      </c>
      <c r="I114" s="617"/>
      <c r="J114" s="617"/>
      <c r="K114" s="617">
        <f>H114+I114-J114</f>
        <v>56165</v>
      </c>
    </row>
    <row r="115" spans="1:11" ht="16.5" hidden="1" customHeight="1">
      <c r="A115" s="609"/>
      <c r="B115" s="630">
        <v>4040</v>
      </c>
      <c r="C115" s="685" t="s">
        <v>1114</v>
      </c>
      <c r="D115" s="617"/>
      <c r="E115" s="617"/>
      <c r="F115" s="617"/>
      <c r="G115" s="617"/>
      <c r="H115" s="617">
        <v>5218</v>
      </c>
      <c r="I115" s="617"/>
      <c r="J115" s="617"/>
      <c r="K115" s="617">
        <f t="shared" ref="K115:K120" si="25">H115+I115-J115</f>
        <v>5218</v>
      </c>
    </row>
    <row r="116" spans="1:11" ht="16.5" hidden="1" customHeight="1">
      <c r="A116" s="609"/>
      <c r="B116" s="630">
        <v>4110</v>
      </c>
      <c r="C116" s="685" t="s">
        <v>314</v>
      </c>
      <c r="D116" s="617"/>
      <c r="E116" s="617"/>
      <c r="F116" s="617"/>
      <c r="G116" s="617"/>
      <c r="H116" s="617">
        <v>10392</v>
      </c>
      <c r="I116" s="617"/>
      <c r="J116" s="617"/>
      <c r="K116" s="617">
        <f t="shared" si="25"/>
        <v>10392</v>
      </c>
    </row>
    <row r="117" spans="1:11" ht="16.5" hidden="1" customHeight="1">
      <c r="A117" s="657"/>
      <c r="B117" s="630">
        <v>4120</v>
      </c>
      <c r="C117" s="631" t="s">
        <v>315</v>
      </c>
      <c r="D117" s="617"/>
      <c r="E117" s="617"/>
      <c r="F117" s="617"/>
      <c r="G117" s="617"/>
      <c r="H117" s="617">
        <v>1504</v>
      </c>
      <c r="I117" s="617"/>
      <c r="J117" s="617"/>
      <c r="K117" s="617">
        <f t="shared" si="25"/>
        <v>1504</v>
      </c>
    </row>
    <row r="118" spans="1:11" ht="16.5" hidden="1" customHeight="1">
      <c r="A118" s="609"/>
      <c r="B118" s="663">
        <v>4210</v>
      </c>
      <c r="C118" s="700" t="s">
        <v>305</v>
      </c>
      <c r="D118" s="651"/>
      <c r="E118" s="651"/>
      <c r="F118" s="651"/>
      <c r="G118" s="651"/>
      <c r="H118" s="651">
        <v>16800</v>
      </c>
      <c r="I118" s="651"/>
      <c r="J118" s="651"/>
      <c r="K118" s="617">
        <f t="shared" si="25"/>
        <v>16800</v>
      </c>
    </row>
    <row r="119" spans="1:11" ht="16.5" hidden="1" customHeight="1">
      <c r="A119" s="609"/>
      <c r="B119" s="633">
        <v>4700</v>
      </c>
      <c r="C119" s="634" t="s">
        <v>1115</v>
      </c>
      <c r="D119" s="684"/>
      <c r="E119" s="684"/>
      <c r="F119" s="684"/>
      <c r="G119" s="684"/>
      <c r="H119" s="621">
        <v>10000</v>
      </c>
      <c r="I119" s="684"/>
      <c r="J119" s="684"/>
      <c r="K119" s="617">
        <f t="shared" si="25"/>
        <v>10000</v>
      </c>
    </row>
    <row r="120" spans="1:11" ht="16.5" hidden="1" customHeight="1">
      <c r="A120" s="693"/>
      <c r="B120" s="674">
        <v>4710</v>
      </c>
      <c r="C120" s="686" t="s">
        <v>318</v>
      </c>
      <c r="D120" s="675"/>
      <c r="E120" s="675"/>
      <c r="F120" s="675"/>
      <c r="G120" s="675"/>
      <c r="H120" s="643">
        <v>171</v>
      </c>
      <c r="I120" s="675"/>
      <c r="J120" s="675"/>
      <c r="K120" s="617">
        <f t="shared" si="25"/>
        <v>171</v>
      </c>
    </row>
    <row r="121" spans="1:11" s="608" customFormat="1" ht="31.5" hidden="1" customHeight="1">
      <c r="A121" s="604">
        <v>9</v>
      </c>
      <c r="B121" s="694"/>
      <c r="C121" s="701" t="s">
        <v>1152</v>
      </c>
      <c r="D121" s="607">
        <f>D122+D128</f>
        <v>253250</v>
      </c>
      <c r="E121" s="607">
        <f t="shared" ref="E121:F121" si="26">E122+E128</f>
        <v>0</v>
      </c>
      <c r="F121" s="607">
        <f t="shared" si="26"/>
        <v>0</v>
      </c>
      <c r="G121" s="607">
        <f>G122+G128</f>
        <v>253250</v>
      </c>
      <c r="H121" s="607">
        <f>H124+H130</f>
        <v>253250</v>
      </c>
      <c r="I121" s="607">
        <f t="shared" ref="I121:K121" si="27">I124+I130</f>
        <v>0</v>
      </c>
      <c r="J121" s="607">
        <f t="shared" si="27"/>
        <v>0</v>
      </c>
      <c r="K121" s="607">
        <f t="shared" si="27"/>
        <v>253250</v>
      </c>
    </row>
    <row r="122" spans="1:11" ht="48" hidden="1" customHeight="1">
      <c r="A122" s="609"/>
      <c r="B122" s="681">
        <v>90020</v>
      </c>
      <c r="C122" s="697" t="s">
        <v>1153</v>
      </c>
      <c r="D122" s="647">
        <f>D123</f>
        <v>2500</v>
      </c>
      <c r="E122" s="647"/>
      <c r="F122" s="647"/>
      <c r="G122" s="612">
        <f>D122+E122-F122</f>
        <v>2500</v>
      </c>
      <c r="H122" s="647"/>
      <c r="I122" s="647"/>
      <c r="J122" s="647"/>
      <c r="K122" s="612"/>
    </row>
    <row r="123" spans="1:11" s="699" customFormat="1" ht="16.5" hidden="1" customHeight="1">
      <c r="A123" s="609"/>
      <c r="B123" s="641" t="s">
        <v>1145</v>
      </c>
      <c r="C123" s="669" t="s">
        <v>1146</v>
      </c>
      <c r="D123" s="643">
        <v>2500</v>
      </c>
      <c r="E123" s="643"/>
      <c r="F123" s="643"/>
      <c r="G123" s="643">
        <f>D123+E123-F123</f>
        <v>2500</v>
      </c>
      <c r="H123" s="675"/>
      <c r="I123" s="643"/>
      <c r="J123" s="643"/>
      <c r="K123" s="643"/>
    </row>
    <row r="124" spans="1:11" ht="35.25" hidden="1" customHeight="1">
      <c r="A124" s="609"/>
      <c r="B124" s="691">
        <v>90020</v>
      </c>
      <c r="C124" s="698" t="s">
        <v>1154</v>
      </c>
      <c r="D124" s="678"/>
      <c r="E124" s="678"/>
      <c r="F124" s="678"/>
      <c r="G124" s="678"/>
      <c r="H124" s="678">
        <f>SUM(H125:H127)</f>
        <v>2500</v>
      </c>
      <c r="I124" s="678">
        <f t="shared" ref="I124:J124" si="28">SUM(I125:I127)</f>
        <v>0</v>
      </c>
      <c r="J124" s="678">
        <f t="shared" si="28"/>
        <v>0</v>
      </c>
      <c r="K124" s="612">
        <f>H124+I124-J124</f>
        <v>2500</v>
      </c>
    </row>
    <row r="125" spans="1:11" ht="17.25" hidden="1" customHeight="1">
      <c r="A125" s="609"/>
      <c r="B125" s="630">
        <v>4010</v>
      </c>
      <c r="C125" s="685" t="s">
        <v>313</v>
      </c>
      <c r="D125" s="677"/>
      <c r="E125" s="677"/>
      <c r="F125" s="677"/>
      <c r="G125" s="677"/>
      <c r="H125" s="617">
        <v>2094</v>
      </c>
      <c r="I125" s="677"/>
      <c r="J125" s="677"/>
      <c r="K125" s="617">
        <f>H125+I125-J125</f>
        <v>2094</v>
      </c>
    </row>
    <row r="126" spans="1:11" ht="17.25" hidden="1" customHeight="1">
      <c r="A126" s="609"/>
      <c r="B126" s="630">
        <v>4110</v>
      </c>
      <c r="C126" s="685" t="s">
        <v>314</v>
      </c>
      <c r="D126" s="673"/>
      <c r="E126" s="673"/>
      <c r="F126" s="673"/>
      <c r="G126" s="673"/>
      <c r="H126" s="651">
        <v>355</v>
      </c>
      <c r="I126" s="673"/>
      <c r="J126" s="673"/>
      <c r="K126" s="617">
        <f t="shared" ref="K126:K127" si="29">H126+I126-J126</f>
        <v>355</v>
      </c>
    </row>
    <row r="127" spans="1:11" ht="17.25" hidden="1" customHeight="1">
      <c r="A127" s="609"/>
      <c r="B127" s="630">
        <v>4120</v>
      </c>
      <c r="C127" s="631" t="s">
        <v>315</v>
      </c>
      <c r="D127" s="673"/>
      <c r="E127" s="673"/>
      <c r="F127" s="673"/>
      <c r="G127" s="673"/>
      <c r="H127" s="651">
        <v>51</v>
      </c>
      <c r="I127" s="673"/>
      <c r="J127" s="673"/>
      <c r="K127" s="617">
        <f t="shared" si="29"/>
        <v>51</v>
      </c>
    </row>
    <row r="128" spans="1:11" ht="17.25" hidden="1" customHeight="1">
      <c r="A128" s="609"/>
      <c r="B128" s="681">
        <v>90020</v>
      </c>
      <c r="C128" s="697" t="s">
        <v>1155</v>
      </c>
      <c r="D128" s="647">
        <f>D129</f>
        <v>250750</v>
      </c>
      <c r="E128" s="647"/>
      <c r="F128" s="647"/>
      <c r="G128" s="612">
        <f>D128+E128-F128</f>
        <v>250750</v>
      </c>
      <c r="H128" s="647"/>
      <c r="I128" s="647"/>
      <c r="J128" s="647"/>
      <c r="K128" s="612"/>
    </row>
    <row r="129" spans="1:11" s="699" customFormat="1" ht="17.25" hidden="1" customHeight="1">
      <c r="A129" s="609"/>
      <c r="B129" s="641" t="s">
        <v>1145</v>
      </c>
      <c r="C129" s="669" t="s">
        <v>1146</v>
      </c>
      <c r="D129" s="643">
        <v>250750</v>
      </c>
      <c r="E129" s="643"/>
      <c r="F129" s="643"/>
      <c r="G129" s="643">
        <f>D129+E129-F129</f>
        <v>250750</v>
      </c>
      <c r="H129" s="675"/>
      <c r="I129" s="643"/>
      <c r="J129" s="643"/>
      <c r="K129" s="643"/>
    </row>
    <row r="130" spans="1:11" ht="48.75" hidden="1" customHeight="1">
      <c r="A130" s="609"/>
      <c r="B130" s="691">
        <v>90020</v>
      </c>
      <c r="C130" s="698" t="s">
        <v>1156</v>
      </c>
      <c r="D130" s="678"/>
      <c r="E130" s="678"/>
      <c r="F130" s="678"/>
      <c r="G130" s="678"/>
      <c r="H130" s="678">
        <f>SUM(H131:H138)</f>
        <v>250750</v>
      </c>
      <c r="I130" s="678">
        <f t="shared" ref="I130:J130" si="30">SUM(I131:I138)</f>
        <v>0</v>
      </c>
      <c r="J130" s="678">
        <f t="shared" si="30"/>
        <v>0</v>
      </c>
      <c r="K130" s="612">
        <f>H130+I130-J130</f>
        <v>250750</v>
      </c>
    </row>
    <row r="131" spans="1:11" ht="16.5" hidden="1" customHeight="1">
      <c r="A131" s="609"/>
      <c r="B131" s="630">
        <v>4010</v>
      </c>
      <c r="C131" s="685" t="s">
        <v>313</v>
      </c>
      <c r="D131" s="677"/>
      <c r="E131" s="677"/>
      <c r="F131" s="677"/>
      <c r="G131" s="677"/>
      <c r="H131" s="617">
        <v>122377</v>
      </c>
      <c r="I131" s="677"/>
      <c r="J131" s="677"/>
      <c r="K131" s="617">
        <f>H131+I131-J131</f>
        <v>122377</v>
      </c>
    </row>
    <row r="132" spans="1:11" ht="16.5" hidden="1" customHeight="1">
      <c r="A132" s="609"/>
      <c r="B132" s="630">
        <v>4040</v>
      </c>
      <c r="C132" s="685" t="s">
        <v>1114</v>
      </c>
      <c r="D132" s="617"/>
      <c r="E132" s="617"/>
      <c r="F132" s="617"/>
      <c r="G132" s="617"/>
      <c r="H132" s="617">
        <v>5977</v>
      </c>
      <c r="I132" s="617"/>
      <c r="J132" s="617"/>
      <c r="K132" s="617">
        <f t="shared" ref="K132:K138" si="31">H132+I132-J132</f>
        <v>5977</v>
      </c>
    </row>
    <row r="133" spans="1:11" ht="16.5" hidden="1" customHeight="1">
      <c r="A133" s="609"/>
      <c r="B133" s="630">
        <v>4110</v>
      </c>
      <c r="C133" s="685" t="s">
        <v>314</v>
      </c>
      <c r="D133" s="673"/>
      <c r="E133" s="673"/>
      <c r="F133" s="673"/>
      <c r="G133" s="673"/>
      <c r="H133" s="651">
        <v>21730</v>
      </c>
      <c r="I133" s="673"/>
      <c r="J133" s="673"/>
      <c r="K133" s="617">
        <f t="shared" si="31"/>
        <v>21730</v>
      </c>
    </row>
    <row r="134" spans="1:11" ht="16.5" hidden="1" customHeight="1">
      <c r="A134" s="609"/>
      <c r="B134" s="630">
        <v>4120</v>
      </c>
      <c r="C134" s="631" t="s">
        <v>315</v>
      </c>
      <c r="D134" s="673"/>
      <c r="E134" s="673"/>
      <c r="F134" s="673"/>
      <c r="G134" s="673"/>
      <c r="H134" s="651">
        <v>3144</v>
      </c>
      <c r="I134" s="673"/>
      <c r="J134" s="673"/>
      <c r="K134" s="617">
        <f t="shared" si="31"/>
        <v>3144</v>
      </c>
    </row>
    <row r="135" spans="1:11" ht="16.5" hidden="1" customHeight="1">
      <c r="A135" s="609"/>
      <c r="B135" s="663">
        <v>4210</v>
      </c>
      <c r="C135" s="700" t="s">
        <v>305</v>
      </c>
      <c r="D135" s="651"/>
      <c r="E135" s="651"/>
      <c r="F135" s="651"/>
      <c r="G135" s="651"/>
      <c r="H135" s="651">
        <v>16250</v>
      </c>
      <c r="I135" s="651"/>
      <c r="J135" s="651"/>
      <c r="K135" s="617">
        <f t="shared" si="31"/>
        <v>16250</v>
      </c>
    </row>
    <row r="136" spans="1:11" ht="16.5" hidden="1" customHeight="1">
      <c r="A136" s="609"/>
      <c r="B136" s="630">
        <v>4300</v>
      </c>
      <c r="C136" s="685" t="s">
        <v>307</v>
      </c>
      <c r="D136" s="677"/>
      <c r="E136" s="677"/>
      <c r="F136" s="677"/>
      <c r="G136" s="677"/>
      <c r="H136" s="617">
        <v>50000</v>
      </c>
      <c r="I136" s="677">
        <v>0</v>
      </c>
      <c r="J136" s="677"/>
      <c r="K136" s="617">
        <f t="shared" si="31"/>
        <v>50000</v>
      </c>
    </row>
    <row r="137" spans="1:11" ht="16.5" hidden="1" customHeight="1">
      <c r="A137" s="609"/>
      <c r="B137" s="633">
        <v>4700</v>
      </c>
      <c r="C137" s="634" t="s">
        <v>1115</v>
      </c>
      <c r="D137" s="684"/>
      <c r="E137" s="684"/>
      <c r="F137" s="684"/>
      <c r="G137" s="684"/>
      <c r="H137" s="621">
        <v>30000</v>
      </c>
      <c r="I137" s="684"/>
      <c r="J137" s="684"/>
      <c r="K137" s="617">
        <f t="shared" si="31"/>
        <v>30000</v>
      </c>
    </row>
    <row r="138" spans="1:11" ht="16.5" hidden="1" customHeight="1">
      <c r="A138" s="693"/>
      <c r="B138" s="674">
        <v>4710</v>
      </c>
      <c r="C138" s="686" t="s">
        <v>318</v>
      </c>
      <c r="D138" s="675"/>
      <c r="E138" s="675"/>
      <c r="F138" s="675"/>
      <c r="G138" s="675"/>
      <c r="H138" s="643">
        <v>1272</v>
      </c>
      <c r="I138" s="675"/>
      <c r="J138" s="675"/>
      <c r="K138" s="617">
        <f t="shared" si="31"/>
        <v>1272</v>
      </c>
    </row>
    <row r="139" spans="1:11" s="608" customFormat="1" ht="20.25" hidden="1" customHeight="1">
      <c r="A139" s="604">
        <v>9</v>
      </c>
      <c r="B139" s="694"/>
      <c r="C139" s="606" t="s">
        <v>1157</v>
      </c>
      <c r="D139" s="607">
        <f>D140</f>
        <v>2715</v>
      </c>
      <c r="E139" s="607"/>
      <c r="F139" s="607"/>
      <c r="G139" s="607">
        <f>G140</f>
        <v>2715</v>
      </c>
      <c r="H139" s="607">
        <f>H142</f>
        <v>2715</v>
      </c>
      <c r="I139" s="607">
        <f>I142</f>
        <v>0</v>
      </c>
      <c r="J139" s="607">
        <f>J142</f>
        <v>0</v>
      </c>
      <c r="K139" s="607">
        <f>H139+I139-J139</f>
        <v>2715</v>
      </c>
    </row>
    <row r="140" spans="1:11" ht="30.75" hidden="1" customHeight="1">
      <c r="A140" s="609"/>
      <c r="B140" s="681">
        <v>90024</v>
      </c>
      <c r="C140" s="702" t="s">
        <v>1158</v>
      </c>
      <c r="D140" s="647">
        <f>D141</f>
        <v>2715</v>
      </c>
      <c r="E140" s="647"/>
      <c r="F140" s="647"/>
      <c r="G140" s="612">
        <f>D140+E140-F140</f>
        <v>2715</v>
      </c>
      <c r="H140" s="647"/>
      <c r="I140" s="647"/>
      <c r="J140" s="647"/>
      <c r="K140" s="612"/>
    </row>
    <row r="141" spans="1:11" s="699" customFormat="1" ht="15" hidden="1" customHeight="1">
      <c r="A141" s="609"/>
      <c r="B141" s="641" t="s">
        <v>1110</v>
      </c>
      <c r="C141" s="690" t="s">
        <v>1111</v>
      </c>
      <c r="D141" s="643">
        <v>2715</v>
      </c>
      <c r="E141" s="643"/>
      <c r="F141" s="643"/>
      <c r="G141" s="643">
        <f>D141+E141-F141</f>
        <v>2715</v>
      </c>
      <c r="H141" s="675"/>
      <c r="I141" s="643"/>
      <c r="J141" s="643"/>
      <c r="K141" s="643"/>
    </row>
    <row r="142" spans="1:11" ht="29.25" hidden="1" customHeight="1">
      <c r="A142" s="609"/>
      <c r="B142" s="657">
        <v>90024</v>
      </c>
      <c r="C142" s="703" t="s">
        <v>1159</v>
      </c>
      <c r="D142" s="678"/>
      <c r="E142" s="673"/>
      <c r="F142" s="673"/>
      <c r="G142" s="673"/>
      <c r="H142" s="673">
        <f>H143</f>
        <v>2715</v>
      </c>
      <c r="I142" s="673"/>
      <c r="J142" s="673"/>
      <c r="K142" s="612">
        <f>H142+I142-J142</f>
        <v>2715</v>
      </c>
    </row>
    <row r="143" spans="1:11" ht="18" hidden="1" customHeight="1">
      <c r="A143" s="609"/>
      <c r="B143" s="630">
        <v>4210</v>
      </c>
      <c r="C143" s="685" t="s">
        <v>305</v>
      </c>
      <c r="D143" s="677"/>
      <c r="E143" s="677"/>
      <c r="F143" s="677"/>
      <c r="G143" s="677"/>
      <c r="H143" s="617">
        <v>2715</v>
      </c>
      <c r="I143" s="677"/>
      <c r="J143" s="677"/>
      <c r="K143" s="617">
        <f>H143+I143-J143</f>
        <v>2715</v>
      </c>
    </row>
    <row r="144" spans="1:11" s="608" customFormat="1" ht="34.5" hidden="1" customHeight="1">
      <c r="A144" s="604">
        <v>10</v>
      </c>
      <c r="B144" s="679"/>
      <c r="C144" s="606" t="s">
        <v>1160</v>
      </c>
      <c r="D144" s="680">
        <f>D145</f>
        <v>135</v>
      </c>
      <c r="E144" s="680"/>
      <c r="F144" s="680"/>
      <c r="G144" s="607">
        <f>G145</f>
        <v>135</v>
      </c>
      <c r="H144" s="680">
        <f>H147</f>
        <v>135</v>
      </c>
      <c r="I144" s="680">
        <f t="shared" ref="I144:K144" si="32">I147</f>
        <v>0</v>
      </c>
      <c r="J144" s="680">
        <f t="shared" si="32"/>
        <v>0</v>
      </c>
      <c r="K144" s="680">
        <f t="shared" si="32"/>
        <v>135</v>
      </c>
    </row>
    <row r="145" spans="1:11" ht="18" hidden="1" customHeight="1">
      <c r="A145" s="609"/>
      <c r="B145" s="681">
        <v>90026</v>
      </c>
      <c r="C145" s="697" t="s">
        <v>1161</v>
      </c>
      <c r="D145" s="647">
        <f>D146</f>
        <v>135</v>
      </c>
      <c r="E145" s="647"/>
      <c r="F145" s="647"/>
      <c r="G145" s="612">
        <f>D145+E145-F145</f>
        <v>135</v>
      </c>
      <c r="H145" s="647"/>
      <c r="I145" s="647"/>
      <c r="J145" s="647"/>
      <c r="K145" s="612">
        <f>H145+I145-J145</f>
        <v>0</v>
      </c>
    </row>
    <row r="146" spans="1:11" ht="18" hidden="1" customHeight="1">
      <c r="A146" s="609"/>
      <c r="B146" s="641" t="s">
        <v>1149</v>
      </c>
      <c r="C146" s="669" t="s">
        <v>1150</v>
      </c>
      <c r="D146" s="643">
        <v>135</v>
      </c>
      <c r="E146" s="643"/>
      <c r="F146" s="643"/>
      <c r="G146" s="643">
        <f>D146+E146-F146</f>
        <v>135</v>
      </c>
      <c r="H146" s="675"/>
      <c r="I146" s="643"/>
      <c r="J146" s="643"/>
      <c r="K146" s="643">
        <f>H146+I146-J146</f>
        <v>0</v>
      </c>
    </row>
    <row r="147" spans="1:11" ht="18" hidden="1" customHeight="1">
      <c r="A147" s="609"/>
      <c r="B147" s="691">
        <v>90026</v>
      </c>
      <c r="C147" s="698" t="s">
        <v>1162</v>
      </c>
      <c r="D147" s="678"/>
      <c r="E147" s="678"/>
      <c r="F147" s="678"/>
      <c r="G147" s="678"/>
      <c r="H147" s="678">
        <f>H148</f>
        <v>135</v>
      </c>
      <c r="I147" s="678"/>
      <c r="J147" s="678"/>
      <c r="K147" s="612">
        <f>H147+I147-J147</f>
        <v>135</v>
      </c>
    </row>
    <row r="148" spans="1:11" ht="18" hidden="1" customHeight="1">
      <c r="A148" s="704"/>
      <c r="B148" s="674">
        <v>4210</v>
      </c>
      <c r="C148" s="685" t="s">
        <v>305</v>
      </c>
      <c r="D148" s="675"/>
      <c r="E148" s="675"/>
      <c r="F148" s="675"/>
      <c r="G148" s="675"/>
      <c r="H148" s="643">
        <v>135</v>
      </c>
      <c r="I148" s="675"/>
      <c r="J148" s="675"/>
      <c r="K148" s="617">
        <f>H148+I148-J148</f>
        <v>135</v>
      </c>
    </row>
    <row r="149" spans="1:11" s="608" customFormat="1" ht="30.75" hidden="1" customHeight="1">
      <c r="A149" s="604">
        <v>11</v>
      </c>
      <c r="B149" s="679"/>
      <c r="C149" s="606" t="s">
        <v>1163</v>
      </c>
      <c r="D149" s="680">
        <f>D150</f>
        <v>9800</v>
      </c>
      <c r="E149" s="680"/>
      <c r="F149" s="680"/>
      <c r="G149" s="607">
        <f>G150</f>
        <v>9800</v>
      </c>
      <c r="H149" s="680">
        <f>H152</f>
        <v>9800</v>
      </c>
      <c r="I149" s="680">
        <f t="shared" ref="I149:K149" si="33">I152</f>
        <v>0</v>
      </c>
      <c r="J149" s="680">
        <f t="shared" si="33"/>
        <v>0</v>
      </c>
      <c r="K149" s="680">
        <f t="shared" si="33"/>
        <v>9800</v>
      </c>
    </row>
    <row r="150" spans="1:11" ht="18" hidden="1" customHeight="1">
      <c r="A150" s="609"/>
      <c r="B150" s="681">
        <v>90095</v>
      </c>
      <c r="C150" s="697" t="s">
        <v>1164</v>
      </c>
      <c r="D150" s="647">
        <f>D151</f>
        <v>9800</v>
      </c>
      <c r="E150" s="647"/>
      <c r="F150" s="647"/>
      <c r="G150" s="612">
        <f>D150+E150-F150</f>
        <v>9800</v>
      </c>
      <c r="H150" s="647"/>
      <c r="I150" s="647"/>
      <c r="J150" s="647"/>
      <c r="K150" s="612">
        <f t="shared" ref="K150:K165" si="34">H150+I150-J150</f>
        <v>0</v>
      </c>
    </row>
    <row r="151" spans="1:11" s="699" customFormat="1" ht="18" hidden="1" customHeight="1">
      <c r="A151" s="609"/>
      <c r="B151" s="641" t="s">
        <v>1110</v>
      </c>
      <c r="C151" s="690" t="s">
        <v>1111</v>
      </c>
      <c r="D151" s="643">
        <v>9800</v>
      </c>
      <c r="E151" s="643"/>
      <c r="F151" s="643"/>
      <c r="G151" s="643">
        <f>D151+E151-F151</f>
        <v>9800</v>
      </c>
      <c r="H151" s="675"/>
      <c r="I151" s="643"/>
      <c r="J151" s="643"/>
      <c r="K151" s="643">
        <f t="shared" si="34"/>
        <v>0</v>
      </c>
    </row>
    <row r="152" spans="1:11" ht="18" hidden="1" customHeight="1">
      <c r="A152" s="609"/>
      <c r="B152" s="691">
        <v>90095</v>
      </c>
      <c r="C152" s="698" t="s">
        <v>1165</v>
      </c>
      <c r="D152" s="678"/>
      <c r="E152" s="678"/>
      <c r="F152" s="678"/>
      <c r="G152" s="678"/>
      <c r="H152" s="678">
        <f>H153</f>
        <v>9800</v>
      </c>
      <c r="I152" s="678"/>
      <c r="J152" s="678"/>
      <c r="K152" s="612">
        <f t="shared" si="34"/>
        <v>9800</v>
      </c>
    </row>
    <row r="153" spans="1:11" ht="18" hidden="1" customHeight="1">
      <c r="A153" s="704"/>
      <c r="B153" s="674">
        <v>4210</v>
      </c>
      <c r="C153" s="685" t="s">
        <v>305</v>
      </c>
      <c r="D153" s="675"/>
      <c r="E153" s="675"/>
      <c r="F153" s="675"/>
      <c r="G153" s="675"/>
      <c r="H153" s="643">
        <v>9800</v>
      </c>
      <c r="I153" s="675"/>
      <c r="J153" s="675"/>
      <c r="K153" s="617">
        <f t="shared" si="34"/>
        <v>9800</v>
      </c>
    </row>
    <row r="154" spans="1:11" s="705" customFormat="1" ht="18" hidden="1" customHeight="1">
      <c r="A154" s="604">
        <v>12</v>
      </c>
      <c r="B154" s="694"/>
      <c r="C154" s="606" t="s">
        <v>1166</v>
      </c>
      <c r="D154" s="680">
        <f>D155</f>
        <v>236003</v>
      </c>
      <c r="E154" s="680">
        <v>0</v>
      </c>
      <c r="F154" s="680">
        <v>0</v>
      </c>
      <c r="G154" s="607">
        <f>G155</f>
        <v>236003</v>
      </c>
      <c r="H154" s="680">
        <f>H157</f>
        <v>236003</v>
      </c>
      <c r="I154" s="680">
        <f>I157</f>
        <v>0</v>
      </c>
      <c r="J154" s="680">
        <f>J157</f>
        <v>0</v>
      </c>
      <c r="K154" s="607">
        <f t="shared" si="34"/>
        <v>236003</v>
      </c>
    </row>
    <row r="155" spans="1:11" ht="18" hidden="1" customHeight="1">
      <c r="A155" s="609"/>
      <c r="B155" s="681">
        <v>90095</v>
      </c>
      <c r="C155" s="706" t="s">
        <v>1167</v>
      </c>
      <c r="D155" s="647">
        <f>D156</f>
        <v>236003</v>
      </c>
      <c r="E155" s="647"/>
      <c r="F155" s="647"/>
      <c r="G155" s="612">
        <f>D155+E155-F155</f>
        <v>236003</v>
      </c>
      <c r="H155" s="647"/>
      <c r="I155" s="647"/>
      <c r="J155" s="647"/>
      <c r="K155" s="612">
        <f t="shared" si="34"/>
        <v>0</v>
      </c>
    </row>
    <row r="156" spans="1:11" ht="18" hidden="1" customHeight="1">
      <c r="A156" s="609"/>
      <c r="B156" s="641" t="s">
        <v>1110</v>
      </c>
      <c r="C156" s="690" t="s">
        <v>1111</v>
      </c>
      <c r="D156" s="643">
        <v>236003</v>
      </c>
      <c r="E156" s="707"/>
      <c r="F156" s="707"/>
      <c r="G156" s="643">
        <f>D156+E156-F156</f>
        <v>236003</v>
      </c>
      <c r="H156" s="708"/>
      <c r="I156" s="707"/>
      <c r="J156" s="707"/>
      <c r="K156" s="643">
        <f t="shared" si="34"/>
        <v>0</v>
      </c>
    </row>
    <row r="157" spans="1:11" ht="18" hidden="1" customHeight="1">
      <c r="A157" s="609"/>
      <c r="B157" s="681">
        <v>90095</v>
      </c>
      <c r="C157" s="706" t="s">
        <v>1168</v>
      </c>
      <c r="D157" s="647"/>
      <c r="E157" s="647"/>
      <c r="F157" s="647"/>
      <c r="G157" s="647"/>
      <c r="H157" s="647">
        <f>SUM(H158:H165)</f>
        <v>236003</v>
      </c>
      <c r="I157" s="647">
        <f t="shared" ref="I157:J157" si="35">SUM(I158:I165)</f>
        <v>0</v>
      </c>
      <c r="J157" s="647">
        <f t="shared" si="35"/>
        <v>0</v>
      </c>
      <c r="K157" s="647">
        <f t="shared" si="34"/>
        <v>236003</v>
      </c>
    </row>
    <row r="158" spans="1:11" s="699" customFormat="1" ht="18" hidden="1" customHeight="1">
      <c r="A158" s="609"/>
      <c r="B158" s="630">
        <v>4010</v>
      </c>
      <c r="C158" s="685" t="s">
        <v>313</v>
      </c>
      <c r="D158" s="677"/>
      <c r="E158" s="677"/>
      <c r="F158" s="677"/>
      <c r="G158" s="677"/>
      <c r="H158" s="617">
        <v>118094</v>
      </c>
      <c r="I158" s="677">
        <v>0</v>
      </c>
      <c r="J158" s="677">
        <v>0</v>
      </c>
      <c r="K158" s="617">
        <f t="shared" si="34"/>
        <v>118094</v>
      </c>
    </row>
    <row r="159" spans="1:11" s="699" customFormat="1" ht="18" hidden="1" customHeight="1">
      <c r="A159" s="609"/>
      <c r="B159" s="630">
        <v>4040</v>
      </c>
      <c r="C159" s="685" t="s">
        <v>1114</v>
      </c>
      <c r="D159" s="677"/>
      <c r="E159" s="677"/>
      <c r="F159" s="677"/>
      <c r="G159" s="677"/>
      <c r="H159" s="617">
        <v>11083</v>
      </c>
      <c r="I159" s="677">
        <v>0</v>
      </c>
      <c r="J159" s="677">
        <v>0</v>
      </c>
      <c r="K159" s="617">
        <f t="shared" si="34"/>
        <v>11083</v>
      </c>
    </row>
    <row r="160" spans="1:11" s="699" customFormat="1" ht="18" hidden="1" customHeight="1">
      <c r="A160" s="609"/>
      <c r="B160" s="633">
        <v>4110</v>
      </c>
      <c r="C160" s="683" t="s">
        <v>314</v>
      </c>
      <c r="D160" s="684"/>
      <c r="E160" s="684"/>
      <c r="F160" s="684"/>
      <c r="G160" s="684"/>
      <c r="H160" s="621">
        <v>21869</v>
      </c>
      <c r="I160" s="684"/>
      <c r="J160" s="684"/>
      <c r="K160" s="617">
        <f t="shared" si="34"/>
        <v>21869</v>
      </c>
    </row>
    <row r="161" spans="1:12" s="699" customFormat="1" ht="18" hidden="1" customHeight="1">
      <c r="A161" s="609"/>
      <c r="B161" s="709">
        <v>4120</v>
      </c>
      <c r="C161" s="710" t="s">
        <v>315</v>
      </c>
      <c r="D161" s="678"/>
      <c r="E161" s="678"/>
      <c r="F161" s="678"/>
      <c r="G161" s="678"/>
      <c r="H161" s="711">
        <v>3167</v>
      </c>
      <c r="I161" s="678"/>
      <c r="J161" s="678"/>
      <c r="K161" s="617">
        <f t="shared" si="34"/>
        <v>3167</v>
      </c>
    </row>
    <row r="162" spans="1:12" s="699" customFormat="1" ht="18" hidden="1" customHeight="1">
      <c r="A162" s="609"/>
      <c r="B162" s="630">
        <v>4210</v>
      </c>
      <c r="C162" s="685" t="s">
        <v>305</v>
      </c>
      <c r="D162" s="677"/>
      <c r="E162" s="677"/>
      <c r="F162" s="677"/>
      <c r="G162" s="677"/>
      <c r="H162" s="617">
        <v>20000</v>
      </c>
      <c r="I162" s="677"/>
      <c r="J162" s="677"/>
      <c r="K162" s="617">
        <f t="shared" si="34"/>
        <v>20000</v>
      </c>
    </row>
    <row r="163" spans="1:12" ht="18" hidden="1" customHeight="1">
      <c r="A163" s="609"/>
      <c r="B163" s="630">
        <v>4300</v>
      </c>
      <c r="C163" s="685" t="s">
        <v>307</v>
      </c>
      <c r="D163" s="677"/>
      <c r="E163" s="677"/>
      <c r="F163" s="677"/>
      <c r="G163" s="677"/>
      <c r="H163" s="617">
        <v>20000</v>
      </c>
      <c r="I163" s="677"/>
      <c r="J163" s="677"/>
      <c r="K163" s="617">
        <f t="shared" si="34"/>
        <v>20000</v>
      </c>
    </row>
    <row r="164" spans="1:12" ht="18" hidden="1" customHeight="1">
      <c r="A164" s="609"/>
      <c r="B164" s="630">
        <v>4700</v>
      </c>
      <c r="C164" s="634" t="s">
        <v>1115</v>
      </c>
      <c r="D164" s="684"/>
      <c r="E164" s="684"/>
      <c r="F164" s="684"/>
      <c r="G164" s="684"/>
      <c r="H164" s="621">
        <v>40000</v>
      </c>
      <c r="I164" s="684"/>
      <c r="J164" s="684"/>
      <c r="K164" s="617">
        <f t="shared" si="34"/>
        <v>40000</v>
      </c>
    </row>
    <row r="165" spans="1:12" ht="18" hidden="1" customHeight="1">
      <c r="A165" s="693"/>
      <c r="B165" s="674">
        <v>4710</v>
      </c>
      <c r="C165" s="686" t="s">
        <v>318</v>
      </c>
      <c r="D165" s="675"/>
      <c r="E165" s="675"/>
      <c r="F165" s="675"/>
      <c r="G165" s="675"/>
      <c r="H165" s="643">
        <v>1790</v>
      </c>
      <c r="I165" s="675"/>
      <c r="J165" s="675"/>
      <c r="K165" s="617">
        <f t="shared" si="34"/>
        <v>1790</v>
      </c>
    </row>
    <row r="166" spans="1:12" s="716" customFormat="1" ht="28.5" hidden="1" customHeight="1">
      <c r="A166" s="712">
        <v>13</v>
      </c>
      <c r="B166" s="713"/>
      <c r="C166" s="714" t="s">
        <v>1169</v>
      </c>
      <c r="D166" s="715">
        <f>D167+D171</f>
        <v>966731.5</v>
      </c>
      <c r="E166" s="715">
        <f t="shared" ref="E166:G166" si="36">E167+E171</f>
        <v>0</v>
      </c>
      <c r="F166" s="715">
        <f t="shared" si="36"/>
        <v>0</v>
      </c>
      <c r="G166" s="715">
        <f t="shared" si="36"/>
        <v>966731.5</v>
      </c>
      <c r="H166" s="715">
        <f>H169+H173+H178+H184+H187+H192</f>
        <v>966731.5</v>
      </c>
      <c r="I166" s="715">
        <f t="shared" ref="I166:K166" si="37">I169+I173+I178+I184+I187+I192</f>
        <v>0</v>
      </c>
      <c r="J166" s="715">
        <f t="shared" si="37"/>
        <v>0</v>
      </c>
      <c r="K166" s="715">
        <f t="shared" si="37"/>
        <v>966731.5</v>
      </c>
      <c r="L166" s="716">
        <f>K166-G166</f>
        <v>0</v>
      </c>
    </row>
    <row r="167" spans="1:12" s="723" customFormat="1" ht="18" hidden="1" customHeight="1">
      <c r="A167" s="717"/>
      <c r="B167" s="718">
        <v>75495</v>
      </c>
      <c r="C167" s="719" t="s">
        <v>1170</v>
      </c>
      <c r="D167" s="719">
        <f t="shared" ref="D167:G167" si="38">D168</f>
        <v>451432.5</v>
      </c>
      <c r="E167" s="719">
        <f t="shared" si="38"/>
        <v>0</v>
      </c>
      <c r="F167" s="719">
        <f t="shared" si="38"/>
        <v>0</v>
      </c>
      <c r="G167" s="720">
        <f t="shared" si="38"/>
        <v>451432.5</v>
      </c>
      <c r="H167" s="719"/>
      <c r="I167" s="721"/>
      <c r="J167" s="722"/>
      <c r="K167" s="722"/>
    </row>
    <row r="168" spans="1:12" s="723" customFormat="1" ht="28.5" hidden="1" customHeight="1">
      <c r="A168" s="717"/>
      <c r="B168" s="724" t="s">
        <v>1171</v>
      </c>
      <c r="C168" s="725" t="s">
        <v>1172</v>
      </c>
      <c r="D168" s="726">
        <v>451432.5</v>
      </c>
      <c r="E168" s="726">
        <v>0</v>
      </c>
      <c r="F168" s="726">
        <v>0</v>
      </c>
      <c r="G168" s="727">
        <f t="shared" ref="G168" si="39">D168+E168-F168</f>
        <v>451432.5</v>
      </c>
      <c r="H168" s="728"/>
      <c r="I168" s="729"/>
      <c r="J168" s="730"/>
      <c r="K168" s="730"/>
    </row>
    <row r="169" spans="1:12" s="723" customFormat="1" ht="15" hidden="1" customHeight="1">
      <c r="A169" s="731"/>
      <c r="B169" s="718">
        <v>75495</v>
      </c>
      <c r="C169" s="732" t="s">
        <v>1173</v>
      </c>
      <c r="D169" s="719"/>
      <c r="E169" s="719"/>
      <c r="F169" s="719"/>
      <c r="G169" s="719"/>
      <c r="H169" s="719">
        <f>SUM(H170:H170)</f>
        <v>451432.5</v>
      </c>
      <c r="I169" s="719">
        <f>SUM(I170:I170)</f>
        <v>0</v>
      </c>
      <c r="J169" s="719">
        <f>SUM(J170:J170)</f>
        <v>0</v>
      </c>
      <c r="K169" s="719">
        <f>SUM(K170:K170)</f>
        <v>451432.5</v>
      </c>
    </row>
    <row r="170" spans="1:12" s="738" customFormat="1" ht="17.25" hidden="1" customHeight="1">
      <c r="A170" s="731"/>
      <c r="B170" s="733">
        <v>4370</v>
      </c>
      <c r="C170" s="734" t="s">
        <v>1174</v>
      </c>
      <c r="D170" s="735"/>
      <c r="E170" s="735"/>
      <c r="F170" s="735"/>
      <c r="G170" s="735"/>
      <c r="H170" s="736">
        <v>451432.5</v>
      </c>
      <c r="I170" s="736">
        <v>0</v>
      </c>
      <c r="J170" s="737">
        <v>0</v>
      </c>
      <c r="K170" s="737">
        <f t="shared" ref="K170" si="40">H170+I170-J170</f>
        <v>451432.5</v>
      </c>
    </row>
    <row r="171" spans="1:12" s="723" customFormat="1" ht="16.5" hidden="1" customHeight="1">
      <c r="A171" s="731"/>
      <c r="B171" s="718">
        <v>75814</v>
      </c>
      <c r="C171" s="719" t="s">
        <v>1175</v>
      </c>
      <c r="D171" s="719">
        <f>SUM(D172:D172)</f>
        <v>515299</v>
      </c>
      <c r="E171" s="719">
        <f>SUM(E172:E172)</f>
        <v>0</v>
      </c>
      <c r="F171" s="719">
        <f>SUM(F172:F172)</f>
        <v>0</v>
      </c>
      <c r="G171" s="719">
        <f>SUM(G172:G172)</f>
        <v>515299</v>
      </c>
      <c r="H171" s="719"/>
      <c r="I171" s="721"/>
      <c r="J171" s="722"/>
      <c r="K171" s="722"/>
    </row>
    <row r="172" spans="1:12" s="723" customFormat="1" ht="27.75" hidden="1" customHeight="1">
      <c r="A172" s="731"/>
      <c r="B172" s="724" t="s">
        <v>1171</v>
      </c>
      <c r="C172" s="725" t="s">
        <v>1172</v>
      </c>
      <c r="D172" s="726">
        <v>515299</v>
      </c>
      <c r="E172" s="726">
        <v>0</v>
      </c>
      <c r="F172" s="726">
        <v>0</v>
      </c>
      <c r="G172" s="727">
        <f t="shared" ref="G172" si="41">D172+E172-F172</f>
        <v>515299</v>
      </c>
      <c r="H172" s="728"/>
      <c r="I172" s="729"/>
      <c r="J172" s="730"/>
      <c r="K172" s="730"/>
    </row>
    <row r="173" spans="1:12" s="723" customFormat="1" ht="15.75" hidden="1" customHeight="1">
      <c r="A173" s="717"/>
      <c r="B173" s="718">
        <v>80102</v>
      </c>
      <c r="C173" s="732" t="s">
        <v>1173</v>
      </c>
      <c r="D173" s="719"/>
      <c r="E173" s="719"/>
      <c r="F173" s="719"/>
      <c r="G173" s="719"/>
      <c r="H173" s="719">
        <f>SUM(H174:H175)</f>
        <v>313537</v>
      </c>
      <c r="I173" s="719">
        <f>SUM(I174:I175)</f>
        <v>0</v>
      </c>
      <c r="J173" s="719">
        <f>SUM(J174:J175)</f>
        <v>0</v>
      </c>
      <c r="K173" s="719">
        <f>SUM(K174:K175)</f>
        <v>313537</v>
      </c>
    </row>
    <row r="174" spans="1:12" s="744" customFormat="1" ht="27.75" hidden="1" customHeight="1">
      <c r="A174" s="739"/>
      <c r="B174" s="740">
        <v>4750</v>
      </c>
      <c r="C174" s="741" t="s">
        <v>1176</v>
      </c>
      <c r="D174" s="742"/>
      <c r="E174" s="742"/>
      <c r="F174" s="742"/>
      <c r="G174" s="742"/>
      <c r="H174" s="742">
        <v>287341</v>
      </c>
      <c r="I174" s="742">
        <v>0</v>
      </c>
      <c r="J174" s="742">
        <v>0</v>
      </c>
      <c r="K174" s="743">
        <f t="shared" ref="K174:K175" si="42">H174+I174-J174</f>
        <v>287341</v>
      </c>
    </row>
    <row r="175" spans="1:12" s="744" customFormat="1" ht="27.75" hidden="1" customHeight="1">
      <c r="A175" s="739"/>
      <c r="B175" s="745">
        <v>4850</v>
      </c>
      <c r="C175" s="746" t="s">
        <v>1177</v>
      </c>
      <c r="D175" s="726"/>
      <c r="E175" s="726"/>
      <c r="F175" s="726"/>
      <c r="G175" s="726"/>
      <c r="H175" s="726">
        <v>26196</v>
      </c>
      <c r="I175" s="726">
        <v>0</v>
      </c>
      <c r="J175" s="726">
        <v>0</v>
      </c>
      <c r="K175" s="726">
        <f t="shared" si="42"/>
        <v>26196</v>
      </c>
    </row>
    <row r="176" spans="1:12" s="723" customFormat="1" ht="15.75" hidden="1" customHeight="1">
      <c r="A176" s="731"/>
      <c r="B176" s="747">
        <v>80105</v>
      </c>
      <c r="C176" s="748" t="s">
        <v>1173</v>
      </c>
      <c r="D176" s="749"/>
      <c r="E176" s="719"/>
      <c r="F176" s="719"/>
      <c r="G176" s="719"/>
      <c r="H176" s="719">
        <f>H177</f>
        <v>0</v>
      </c>
      <c r="I176" s="719">
        <f>I177</f>
        <v>0</v>
      </c>
      <c r="J176" s="719">
        <f>J177</f>
        <v>0</v>
      </c>
      <c r="K176" s="719">
        <f>K177</f>
        <v>0</v>
      </c>
    </row>
    <row r="177" spans="1:11" s="744" customFormat="1" ht="29.25" hidden="1" customHeight="1">
      <c r="A177" s="739"/>
      <c r="B177" s="740">
        <v>4750</v>
      </c>
      <c r="C177" s="750" t="s">
        <v>1176</v>
      </c>
      <c r="D177" s="751"/>
      <c r="E177" s="742"/>
      <c r="F177" s="742"/>
      <c r="G177" s="742"/>
      <c r="H177" s="742">
        <v>0</v>
      </c>
      <c r="I177" s="742">
        <v>0</v>
      </c>
      <c r="J177" s="742">
        <v>0</v>
      </c>
      <c r="K177" s="743">
        <f t="shared" ref="K177" si="43">H177+I177-J177</f>
        <v>0</v>
      </c>
    </row>
    <row r="178" spans="1:11" s="723" customFormat="1" ht="15" hidden="1" customHeight="1">
      <c r="A178" s="731"/>
      <c r="B178" s="718">
        <v>80116</v>
      </c>
      <c r="C178" s="752" t="s">
        <v>1173</v>
      </c>
      <c r="D178" s="749"/>
      <c r="E178" s="719"/>
      <c r="F178" s="719"/>
      <c r="G178" s="719"/>
      <c r="H178" s="719">
        <f>SUM(H179:H180)</f>
        <v>120242</v>
      </c>
      <c r="I178" s="719">
        <f t="shared" ref="I178:K178" si="44">SUM(I179:I180)</f>
        <v>0</v>
      </c>
      <c r="J178" s="719">
        <f t="shared" si="44"/>
        <v>0</v>
      </c>
      <c r="K178" s="719">
        <f t="shared" si="44"/>
        <v>120242</v>
      </c>
    </row>
    <row r="179" spans="1:11" s="744" customFormat="1" ht="27" hidden="1" customHeight="1">
      <c r="A179" s="739"/>
      <c r="B179" s="740">
        <v>4750</v>
      </c>
      <c r="C179" s="750" t="s">
        <v>1176</v>
      </c>
      <c r="D179" s="753"/>
      <c r="E179" s="742"/>
      <c r="F179" s="742"/>
      <c r="G179" s="742"/>
      <c r="H179" s="742">
        <v>102108</v>
      </c>
      <c r="I179" s="742">
        <v>0</v>
      </c>
      <c r="J179" s="742">
        <v>0</v>
      </c>
      <c r="K179" s="742">
        <f t="shared" ref="K179:K180" si="45">H179+I179-J179</f>
        <v>102108</v>
      </c>
    </row>
    <row r="180" spans="1:11" s="744" customFormat="1" ht="27" hidden="1" customHeight="1">
      <c r="A180" s="754"/>
      <c r="B180" s="745">
        <v>4850</v>
      </c>
      <c r="C180" s="746" t="s">
        <v>1177</v>
      </c>
      <c r="D180" s="726"/>
      <c r="E180" s="726"/>
      <c r="F180" s="726"/>
      <c r="G180" s="726"/>
      <c r="H180" s="726">
        <v>18134</v>
      </c>
      <c r="I180" s="726">
        <v>0</v>
      </c>
      <c r="J180" s="726">
        <v>0</v>
      </c>
      <c r="K180" s="726">
        <f t="shared" si="45"/>
        <v>18134</v>
      </c>
    </row>
    <row r="181" spans="1:11" s="723" customFormat="1" ht="16.5" hidden="1" customHeight="1">
      <c r="A181" s="731"/>
      <c r="B181" s="718">
        <v>80121</v>
      </c>
      <c r="C181" s="752" t="s">
        <v>1173</v>
      </c>
      <c r="D181" s="719"/>
      <c r="E181" s="719"/>
      <c r="F181" s="719"/>
      <c r="G181" s="719"/>
      <c r="H181" s="719">
        <f>SUM(H182:H183)</f>
        <v>0</v>
      </c>
      <c r="I181" s="719">
        <f>SUM(I182:I183)</f>
        <v>0</v>
      </c>
      <c r="J181" s="719">
        <f>SUM(J182:J183)</f>
        <v>0</v>
      </c>
      <c r="K181" s="719">
        <f>SUM(K182:K183)</f>
        <v>0</v>
      </c>
    </row>
    <row r="182" spans="1:11" s="744" customFormat="1" ht="29.25" hidden="1" customHeight="1">
      <c r="A182" s="754"/>
      <c r="B182" s="740">
        <v>4750</v>
      </c>
      <c r="C182" s="741" t="s">
        <v>1176</v>
      </c>
      <c r="D182" s="742"/>
      <c r="E182" s="742"/>
      <c r="F182" s="742"/>
      <c r="G182" s="742"/>
      <c r="H182" s="742">
        <v>0</v>
      </c>
      <c r="I182" s="742">
        <v>0</v>
      </c>
      <c r="J182" s="742">
        <v>0</v>
      </c>
      <c r="K182" s="742">
        <f t="shared" ref="K182:K183" si="46">H182+I182-J182</f>
        <v>0</v>
      </c>
    </row>
    <row r="183" spans="1:11" s="744" customFormat="1" ht="29.25" hidden="1" customHeight="1">
      <c r="A183" s="754"/>
      <c r="B183" s="745">
        <v>4850</v>
      </c>
      <c r="C183" s="746" t="s">
        <v>1177</v>
      </c>
      <c r="D183" s="726"/>
      <c r="E183" s="726"/>
      <c r="F183" s="726"/>
      <c r="G183" s="726"/>
      <c r="H183" s="726">
        <v>0</v>
      </c>
      <c r="I183" s="726">
        <v>0</v>
      </c>
      <c r="J183" s="726">
        <v>0</v>
      </c>
      <c r="K183" s="726">
        <f t="shared" si="46"/>
        <v>0</v>
      </c>
    </row>
    <row r="184" spans="1:11" s="723" customFormat="1" ht="17.25" hidden="1" customHeight="1">
      <c r="A184" s="731"/>
      <c r="B184" s="755">
        <v>80134</v>
      </c>
      <c r="C184" s="756" t="s">
        <v>1173</v>
      </c>
      <c r="D184" s="749"/>
      <c r="E184" s="749"/>
      <c r="F184" s="749"/>
      <c r="G184" s="749"/>
      <c r="H184" s="749">
        <f>SUM(H185:H186)</f>
        <v>51643</v>
      </c>
      <c r="I184" s="749">
        <f>SUM(I185:I186)</f>
        <v>0</v>
      </c>
      <c r="J184" s="749">
        <f>SUM(J185:J186)</f>
        <v>0</v>
      </c>
      <c r="K184" s="749">
        <f>SUM(K185:K186)</f>
        <v>51643</v>
      </c>
    </row>
    <row r="185" spans="1:11" s="744" customFormat="1" ht="30" hidden="1" customHeight="1">
      <c r="A185" s="754"/>
      <c r="B185" s="757">
        <v>4750</v>
      </c>
      <c r="C185" s="750" t="s">
        <v>1176</v>
      </c>
      <c r="D185" s="753"/>
      <c r="E185" s="753"/>
      <c r="F185" s="753"/>
      <c r="G185" s="753"/>
      <c r="H185" s="753">
        <v>48032</v>
      </c>
      <c r="I185" s="753">
        <v>0</v>
      </c>
      <c r="J185" s="753">
        <v>0</v>
      </c>
      <c r="K185" s="753">
        <f t="shared" ref="K185:K186" si="47">H185+I185-J185</f>
        <v>48032</v>
      </c>
    </row>
    <row r="186" spans="1:11" s="744" customFormat="1" ht="30" hidden="1" customHeight="1">
      <c r="A186" s="754"/>
      <c r="B186" s="745">
        <v>4850</v>
      </c>
      <c r="C186" s="746" t="s">
        <v>1177</v>
      </c>
      <c r="D186" s="726"/>
      <c r="E186" s="726"/>
      <c r="F186" s="726"/>
      <c r="G186" s="726"/>
      <c r="H186" s="726">
        <v>3611</v>
      </c>
      <c r="I186" s="726">
        <v>0</v>
      </c>
      <c r="J186" s="726">
        <v>0</v>
      </c>
      <c r="K186" s="726">
        <f t="shared" si="47"/>
        <v>3611</v>
      </c>
    </row>
    <row r="187" spans="1:11" s="723" customFormat="1" ht="17.25" hidden="1" customHeight="1">
      <c r="A187" s="731"/>
      <c r="B187" s="718">
        <v>80140</v>
      </c>
      <c r="C187" s="752" t="s">
        <v>1173</v>
      </c>
      <c r="D187" s="719"/>
      <c r="E187" s="719"/>
      <c r="F187" s="719"/>
      <c r="G187" s="719"/>
      <c r="H187" s="719">
        <f>H188</f>
        <v>2510</v>
      </c>
      <c r="I187" s="719">
        <f>I188</f>
        <v>0</v>
      </c>
      <c r="J187" s="719">
        <f>J188</f>
        <v>0</v>
      </c>
      <c r="K187" s="719">
        <f>K188</f>
        <v>2510</v>
      </c>
    </row>
    <row r="188" spans="1:11" s="744" customFormat="1" ht="28.5" hidden="1" customHeight="1">
      <c r="A188" s="754"/>
      <c r="B188" s="758">
        <v>4750</v>
      </c>
      <c r="C188" s="759" t="s">
        <v>1176</v>
      </c>
      <c r="D188" s="760"/>
      <c r="E188" s="760"/>
      <c r="F188" s="760"/>
      <c r="G188" s="760"/>
      <c r="H188" s="760">
        <v>2510</v>
      </c>
      <c r="I188" s="760">
        <v>0</v>
      </c>
      <c r="J188" s="760">
        <v>0</v>
      </c>
      <c r="K188" s="760">
        <f t="shared" ref="K188" si="48">H188+I188-J188</f>
        <v>2510</v>
      </c>
    </row>
    <row r="189" spans="1:11" s="723" customFormat="1" ht="17.25" hidden="1" customHeight="1">
      <c r="A189" s="731"/>
      <c r="B189" s="747">
        <v>80149</v>
      </c>
      <c r="C189" s="761" t="s">
        <v>1173</v>
      </c>
      <c r="D189" s="762"/>
      <c r="E189" s="762"/>
      <c r="F189" s="762"/>
      <c r="G189" s="762"/>
      <c r="H189" s="762">
        <f>SUM(H190:H191)</f>
        <v>0</v>
      </c>
      <c r="I189" s="762">
        <f>SUM(I190:I191)</f>
        <v>0</v>
      </c>
      <c r="J189" s="762">
        <f>SUM(J190:J191)</f>
        <v>0</v>
      </c>
      <c r="K189" s="762">
        <f>SUM(K190:K191)</f>
        <v>0</v>
      </c>
    </row>
    <row r="190" spans="1:11" s="744" customFormat="1" ht="31.5" hidden="1" customHeight="1">
      <c r="A190" s="754"/>
      <c r="B190" s="740">
        <v>4750</v>
      </c>
      <c r="C190" s="741" t="s">
        <v>1176</v>
      </c>
      <c r="D190" s="742"/>
      <c r="E190" s="742"/>
      <c r="F190" s="742"/>
      <c r="G190" s="742"/>
      <c r="H190" s="742">
        <v>0</v>
      </c>
      <c r="I190" s="742">
        <v>0</v>
      </c>
      <c r="J190" s="742">
        <v>0</v>
      </c>
      <c r="K190" s="742">
        <f t="shared" ref="K190:K191" si="49">H190+I190-J190</f>
        <v>0</v>
      </c>
    </row>
    <row r="191" spans="1:11" s="744" customFormat="1" ht="30.75" hidden="1" customHeight="1">
      <c r="A191" s="754"/>
      <c r="B191" s="745">
        <v>4850</v>
      </c>
      <c r="C191" s="746" t="s">
        <v>1177</v>
      </c>
      <c r="D191" s="726"/>
      <c r="E191" s="726"/>
      <c r="F191" s="726"/>
      <c r="G191" s="726"/>
      <c r="H191" s="726">
        <v>0</v>
      </c>
      <c r="I191" s="726">
        <v>0</v>
      </c>
      <c r="J191" s="726">
        <v>0</v>
      </c>
      <c r="K191" s="726">
        <f t="shared" si="49"/>
        <v>0</v>
      </c>
    </row>
    <row r="192" spans="1:11" s="723" customFormat="1" ht="15.75" hidden="1" customHeight="1">
      <c r="A192" s="731"/>
      <c r="B192" s="755">
        <v>85403</v>
      </c>
      <c r="C192" s="756" t="s">
        <v>1173</v>
      </c>
      <c r="D192" s="749"/>
      <c r="E192" s="749"/>
      <c r="F192" s="749"/>
      <c r="G192" s="749"/>
      <c r="H192" s="749">
        <f>SUM(H193:H194)</f>
        <v>27367</v>
      </c>
      <c r="I192" s="749">
        <f>SUM(I193:I194)</f>
        <v>0</v>
      </c>
      <c r="J192" s="749">
        <f>SUM(J193:J194)</f>
        <v>0</v>
      </c>
      <c r="K192" s="749">
        <f>SUM(K193:K194)</f>
        <v>27367</v>
      </c>
    </row>
    <row r="193" spans="1:11" s="744" customFormat="1" ht="28.5" hidden="1" customHeight="1">
      <c r="A193" s="754"/>
      <c r="B193" s="733">
        <v>4750</v>
      </c>
      <c r="C193" s="763" t="s">
        <v>1176</v>
      </c>
      <c r="D193" s="751"/>
      <c r="E193" s="751"/>
      <c r="F193" s="751"/>
      <c r="G193" s="751"/>
      <c r="H193" s="751">
        <v>27046</v>
      </c>
      <c r="I193" s="751">
        <v>0</v>
      </c>
      <c r="J193" s="751">
        <v>0</v>
      </c>
      <c r="K193" s="751">
        <f t="shared" ref="K193:K194" si="50">H193+I193-J193</f>
        <v>27046</v>
      </c>
    </row>
    <row r="194" spans="1:11" s="744" customFormat="1" ht="28.5" hidden="1" customHeight="1">
      <c r="A194" s="754"/>
      <c r="B194" s="745">
        <v>4850</v>
      </c>
      <c r="C194" s="746" t="s">
        <v>1177</v>
      </c>
      <c r="D194" s="726"/>
      <c r="E194" s="726"/>
      <c r="F194" s="726"/>
      <c r="G194" s="726"/>
      <c r="H194" s="726">
        <v>321</v>
      </c>
      <c r="I194" s="726">
        <v>0</v>
      </c>
      <c r="J194" s="726">
        <v>0</v>
      </c>
      <c r="K194" s="726">
        <f t="shared" si="50"/>
        <v>321</v>
      </c>
    </row>
    <row r="195" spans="1:11" s="723" customFormat="1" ht="17.25" hidden="1" customHeight="1">
      <c r="A195" s="731"/>
      <c r="B195" s="718">
        <v>85407</v>
      </c>
      <c r="C195" s="732" t="s">
        <v>1173</v>
      </c>
      <c r="D195" s="719"/>
      <c r="E195" s="719"/>
      <c r="F195" s="719"/>
      <c r="G195" s="719"/>
      <c r="H195" s="719">
        <f>SUM(H196:H197)</f>
        <v>0</v>
      </c>
      <c r="I195" s="719">
        <f>SUM(I196:I197)</f>
        <v>0</v>
      </c>
      <c r="J195" s="719">
        <f>SUM(J196:J197)</f>
        <v>0</v>
      </c>
      <c r="K195" s="719">
        <f>SUM(K196:K197)</f>
        <v>0</v>
      </c>
    </row>
    <row r="196" spans="1:11" s="744" customFormat="1" ht="30.75" hidden="1" customHeight="1">
      <c r="A196" s="739"/>
      <c r="B196" s="740">
        <v>4750</v>
      </c>
      <c r="C196" s="741" t="s">
        <v>1176</v>
      </c>
      <c r="D196" s="742"/>
      <c r="E196" s="742"/>
      <c r="F196" s="742"/>
      <c r="G196" s="742"/>
      <c r="H196" s="742">
        <v>0</v>
      </c>
      <c r="I196" s="742">
        <v>0</v>
      </c>
      <c r="J196" s="742">
        <v>0</v>
      </c>
      <c r="K196" s="743">
        <f t="shared" ref="K196:K197" si="51">H196+I196-J196</f>
        <v>0</v>
      </c>
    </row>
    <row r="197" spans="1:11" s="744" customFormat="1" ht="32.25" hidden="1" customHeight="1">
      <c r="A197" s="764"/>
      <c r="B197" s="745">
        <v>4850</v>
      </c>
      <c r="C197" s="746" t="s">
        <v>1177</v>
      </c>
      <c r="D197" s="726"/>
      <c r="E197" s="726"/>
      <c r="F197" s="726"/>
      <c r="G197" s="726"/>
      <c r="H197" s="726">
        <v>0</v>
      </c>
      <c r="I197" s="726">
        <v>0</v>
      </c>
      <c r="J197" s="726">
        <v>0</v>
      </c>
      <c r="K197" s="726">
        <f t="shared" si="51"/>
        <v>0</v>
      </c>
    </row>
    <row r="198" spans="1:11" s="699" customFormat="1" ht="18" customHeight="1">
      <c r="A198" s="1112" t="s">
        <v>1178</v>
      </c>
      <c r="B198" s="1113"/>
      <c r="C198" s="1114"/>
      <c r="D198" s="696">
        <f t="shared" ref="D198:K198" si="52">D46+D99+D121+D139+D86+D72+D149+D144+D154+D10+D26+D35+D166</f>
        <v>66793855.5</v>
      </c>
      <c r="E198" s="696">
        <f t="shared" si="52"/>
        <v>2084310</v>
      </c>
      <c r="F198" s="696">
        <f t="shared" si="52"/>
        <v>0</v>
      </c>
      <c r="G198" s="696">
        <f t="shared" si="52"/>
        <v>68878165.5</v>
      </c>
      <c r="H198" s="696">
        <f t="shared" si="52"/>
        <v>74596855.5</v>
      </c>
      <c r="I198" s="696">
        <f t="shared" si="52"/>
        <v>2084310</v>
      </c>
      <c r="J198" s="696">
        <f t="shared" si="52"/>
        <v>0</v>
      </c>
      <c r="K198" s="696">
        <f t="shared" si="52"/>
        <v>76681165.5</v>
      </c>
    </row>
    <row r="199" spans="1:11" s="766" customFormat="1" ht="12.75">
      <c r="A199" s="765"/>
      <c r="B199" s="765"/>
      <c r="D199" s="767"/>
      <c r="E199" s="767"/>
      <c r="F199" s="767"/>
      <c r="G199" s="767"/>
      <c r="H199" s="767"/>
      <c r="I199" s="767"/>
      <c r="J199" s="767"/>
      <c r="K199" s="767"/>
    </row>
    <row r="200" spans="1:11">
      <c r="D200" s="768"/>
      <c r="E200" s="768"/>
      <c r="F200" s="768"/>
      <c r="G200" s="768"/>
      <c r="H200" s="768"/>
      <c r="I200" s="768"/>
      <c r="J200" s="768"/>
      <c r="K200" s="768"/>
    </row>
    <row r="201" spans="1:11">
      <c r="D201" s="768"/>
      <c r="E201" s="768"/>
      <c r="F201" s="768"/>
      <c r="G201" s="768"/>
      <c r="H201" s="768"/>
      <c r="I201" s="768"/>
      <c r="J201" s="768"/>
      <c r="K201" s="768"/>
    </row>
    <row r="202" spans="1:11">
      <c r="D202" s="768"/>
      <c r="E202" s="768"/>
      <c r="F202" s="768"/>
      <c r="G202" s="768"/>
      <c r="H202" s="768"/>
      <c r="I202" s="768"/>
      <c r="J202" s="768"/>
      <c r="K202" s="768"/>
    </row>
    <row r="203" spans="1:11">
      <c r="D203" s="768"/>
      <c r="E203" s="768"/>
      <c r="F203" s="768"/>
      <c r="G203" s="768"/>
      <c r="H203" s="768"/>
      <c r="I203" s="768"/>
      <c r="J203" s="768"/>
      <c r="K203" s="768"/>
    </row>
    <row r="204" spans="1:11">
      <c r="D204" s="768"/>
      <c r="E204" s="768"/>
      <c r="F204" s="768"/>
      <c r="G204" s="768"/>
      <c r="H204" s="768"/>
      <c r="I204" s="768"/>
      <c r="J204" s="768"/>
      <c r="K204" s="768"/>
    </row>
    <row r="205" spans="1:11">
      <c r="D205" s="768"/>
      <c r="E205" s="768"/>
      <c r="F205" s="768"/>
      <c r="G205" s="768"/>
      <c r="H205" s="768"/>
      <c r="I205" s="768"/>
      <c r="J205" s="768"/>
      <c r="K205" s="768"/>
    </row>
    <row r="206" spans="1:11">
      <c r="D206" s="768"/>
      <c r="E206" s="768"/>
      <c r="F206" s="768"/>
      <c r="G206" s="768"/>
      <c r="H206" s="768"/>
      <c r="I206" s="768"/>
      <c r="J206" s="768"/>
      <c r="K206" s="768"/>
    </row>
    <row r="207" spans="1:11">
      <c r="D207" s="768"/>
      <c r="E207" s="768"/>
      <c r="F207" s="768"/>
      <c r="G207" s="768"/>
      <c r="H207" s="768"/>
      <c r="I207" s="768"/>
      <c r="J207" s="768"/>
      <c r="K207" s="768"/>
    </row>
    <row r="208" spans="1:11">
      <c r="D208" s="768"/>
      <c r="E208" s="768"/>
      <c r="F208" s="768"/>
      <c r="G208" s="768"/>
      <c r="H208" s="768"/>
      <c r="I208" s="768"/>
      <c r="J208" s="768"/>
      <c r="K208" s="768"/>
    </row>
    <row r="209" spans="4:11">
      <c r="D209" s="768"/>
      <c r="E209" s="768"/>
      <c r="F209" s="768"/>
      <c r="G209" s="768"/>
      <c r="H209" s="768"/>
      <c r="I209" s="768"/>
      <c r="J209" s="768"/>
      <c r="K209" s="768"/>
    </row>
    <row r="210" spans="4:11">
      <c r="D210" s="768"/>
      <c r="E210" s="768"/>
      <c r="F210" s="768"/>
      <c r="G210" s="768"/>
      <c r="H210" s="768"/>
      <c r="I210" s="768"/>
      <c r="J210" s="768"/>
      <c r="K210" s="768"/>
    </row>
    <row r="211" spans="4:11">
      <c r="D211" s="768"/>
      <c r="E211" s="768"/>
      <c r="F211" s="768"/>
      <c r="G211" s="768"/>
      <c r="H211" s="768"/>
      <c r="I211" s="768"/>
      <c r="J211" s="768"/>
      <c r="K211" s="768"/>
    </row>
    <row r="212" spans="4:11">
      <c r="D212" s="768"/>
      <c r="E212" s="768"/>
      <c r="F212" s="768"/>
      <c r="G212" s="768"/>
      <c r="H212" s="768"/>
      <c r="I212" s="768"/>
      <c r="J212" s="768"/>
      <c r="K212" s="768"/>
    </row>
    <row r="213" spans="4:11">
      <c r="D213" s="768"/>
      <c r="E213" s="768"/>
      <c r="F213" s="768"/>
      <c r="G213" s="768"/>
      <c r="H213" s="768"/>
      <c r="I213" s="768"/>
      <c r="J213" s="768"/>
      <c r="K213" s="768"/>
    </row>
    <row r="214" spans="4:11">
      <c r="D214" s="768"/>
      <c r="E214" s="768"/>
      <c r="F214" s="768"/>
      <c r="G214" s="768"/>
      <c r="H214" s="768"/>
      <c r="I214" s="768"/>
      <c r="J214" s="768"/>
      <c r="K214" s="768"/>
    </row>
    <row r="215" spans="4:11">
      <c r="D215" s="768"/>
      <c r="E215" s="768"/>
      <c r="F215" s="768"/>
      <c r="G215" s="768"/>
      <c r="H215" s="768"/>
      <c r="I215" s="768"/>
      <c r="J215" s="768"/>
      <c r="K215" s="768"/>
    </row>
    <row r="216" spans="4:11">
      <c r="D216" s="768"/>
      <c r="E216" s="768"/>
      <c r="F216" s="768"/>
      <c r="G216" s="768"/>
      <c r="H216" s="768"/>
      <c r="I216" s="768"/>
      <c r="J216" s="768"/>
      <c r="K216" s="768"/>
    </row>
    <row r="217" spans="4:11">
      <c r="D217" s="768"/>
      <c r="E217" s="768"/>
      <c r="F217" s="768"/>
      <c r="G217" s="768"/>
      <c r="H217" s="768"/>
      <c r="I217" s="768"/>
      <c r="J217" s="768"/>
      <c r="K217" s="768"/>
    </row>
    <row r="218" spans="4:11">
      <c r="D218" s="768"/>
      <c r="E218" s="768"/>
      <c r="F218" s="768"/>
      <c r="G218" s="768"/>
      <c r="H218" s="768"/>
      <c r="I218" s="768"/>
      <c r="J218" s="768"/>
      <c r="K218" s="768"/>
    </row>
    <row r="219" spans="4:11">
      <c r="D219" s="768"/>
      <c r="E219" s="768"/>
      <c r="F219" s="768"/>
      <c r="G219" s="768"/>
      <c r="H219" s="768"/>
      <c r="I219" s="768"/>
      <c r="J219" s="768"/>
      <c r="K219" s="768"/>
    </row>
    <row r="220" spans="4:11">
      <c r="D220" s="768"/>
      <c r="E220" s="768"/>
      <c r="F220" s="768"/>
      <c r="G220" s="768"/>
      <c r="H220" s="768"/>
      <c r="I220" s="768"/>
      <c r="J220" s="768"/>
      <c r="K220" s="768"/>
    </row>
    <row r="221" spans="4:11">
      <c r="D221" s="768"/>
      <c r="E221" s="768"/>
      <c r="F221" s="768"/>
      <c r="G221" s="768"/>
      <c r="H221" s="768"/>
      <c r="I221" s="768"/>
      <c r="J221" s="768"/>
      <c r="K221" s="768"/>
    </row>
    <row r="222" spans="4:11">
      <c r="D222" s="768"/>
      <c r="E222" s="768"/>
      <c r="F222" s="768"/>
      <c r="G222" s="768"/>
      <c r="H222" s="768"/>
      <c r="I222" s="768"/>
      <c r="J222" s="768"/>
      <c r="K222" s="768"/>
    </row>
    <row r="223" spans="4:11">
      <c r="D223" s="768"/>
      <c r="E223" s="768"/>
      <c r="F223" s="768"/>
      <c r="G223" s="768"/>
      <c r="H223" s="768"/>
      <c r="I223" s="768"/>
      <c r="J223" s="768"/>
      <c r="K223" s="768"/>
    </row>
    <row r="224" spans="4:11">
      <c r="D224" s="768"/>
      <c r="E224" s="768"/>
      <c r="F224" s="768"/>
      <c r="G224" s="768"/>
      <c r="H224" s="768"/>
      <c r="I224" s="768"/>
      <c r="J224" s="768"/>
      <c r="K224" s="768"/>
    </row>
    <row r="225" spans="4:11">
      <c r="D225" s="768"/>
      <c r="E225" s="768"/>
      <c r="F225" s="768"/>
      <c r="G225" s="768"/>
      <c r="H225" s="768"/>
      <c r="I225" s="768"/>
      <c r="J225" s="768"/>
      <c r="K225" s="768"/>
    </row>
    <row r="226" spans="4:11">
      <c r="D226" s="768"/>
      <c r="E226" s="768"/>
      <c r="F226" s="768"/>
      <c r="G226" s="768"/>
      <c r="H226" s="768"/>
      <c r="I226" s="768"/>
      <c r="J226" s="768"/>
      <c r="K226" s="768"/>
    </row>
    <row r="227" spans="4:11">
      <c r="D227" s="768"/>
      <c r="E227" s="768"/>
      <c r="F227" s="768"/>
      <c r="G227" s="768"/>
      <c r="H227" s="768"/>
      <c r="I227" s="768"/>
      <c r="J227" s="768"/>
      <c r="K227" s="768"/>
    </row>
    <row r="228" spans="4:11">
      <c r="D228" s="768"/>
      <c r="E228" s="768"/>
      <c r="F228" s="768"/>
      <c r="G228" s="768"/>
      <c r="H228" s="768"/>
      <c r="I228" s="768"/>
      <c r="J228" s="768"/>
      <c r="K228" s="768"/>
    </row>
    <row r="229" spans="4:11">
      <c r="D229" s="768"/>
      <c r="E229" s="768"/>
      <c r="F229" s="768"/>
      <c r="G229" s="768"/>
      <c r="H229" s="768"/>
      <c r="I229" s="768"/>
      <c r="J229" s="768"/>
      <c r="K229" s="768"/>
    </row>
    <row r="230" spans="4:11">
      <c r="D230" s="768"/>
      <c r="E230" s="768"/>
      <c r="F230" s="768"/>
      <c r="G230" s="768"/>
      <c r="H230" s="768"/>
      <c r="I230" s="768"/>
      <c r="J230" s="768"/>
      <c r="K230" s="768"/>
    </row>
    <row r="231" spans="4:11">
      <c r="D231" s="768"/>
      <c r="E231" s="768"/>
      <c r="F231" s="768"/>
      <c r="G231" s="768"/>
      <c r="H231" s="768"/>
      <c r="I231" s="768"/>
      <c r="J231" s="768"/>
      <c r="K231" s="768"/>
    </row>
    <row r="232" spans="4:11">
      <c r="D232" s="768"/>
      <c r="E232" s="768"/>
      <c r="F232" s="768"/>
      <c r="G232" s="768"/>
      <c r="H232" s="768"/>
      <c r="I232" s="768"/>
      <c r="J232" s="768"/>
      <c r="K232" s="768"/>
    </row>
    <row r="233" spans="4:11">
      <c r="D233" s="768"/>
      <c r="E233" s="768"/>
      <c r="F233" s="768"/>
      <c r="G233" s="768"/>
      <c r="H233" s="768"/>
      <c r="I233" s="768"/>
      <c r="J233" s="768"/>
      <c r="K233" s="768"/>
    </row>
    <row r="234" spans="4:11">
      <c r="D234" s="768"/>
      <c r="E234" s="768"/>
      <c r="F234" s="768"/>
      <c r="G234" s="768"/>
      <c r="H234" s="768"/>
      <c r="I234" s="768"/>
      <c r="J234" s="768"/>
      <c r="K234" s="768"/>
    </row>
    <row r="235" spans="4:11">
      <c r="D235" s="768"/>
      <c r="E235" s="768"/>
      <c r="F235" s="768"/>
      <c r="G235" s="768"/>
      <c r="H235" s="768"/>
      <c r="I235" s="768"/>
      <c r="J235" s="768"/>
      <c r="K235" s="768"/>
    </row>
    <row r="236" spans="4:11">
      <c r="D236" s="768"/>
      <c r="E236" s="768"/>
      <c r="F236" s="768"/>
      <c r="G236" s="768"/>
      <c r="H236" s="768"/>
      <c r="I236" s="768"/>
      <c r="J236" s="768"/>
      <c r="K236" s="768"/>
    </row>
    <row r="237" spans="4:11">
      <c r="D237" s="768"/>
      <c r="E237" s="768"/>
      <c r="F237" s="768"/>
      <c r="G237" s="768"/>
      <c r="H237" s="768"/>
      <c r="I237" s="768"/>
      <c r="J237" s="768"/>
      <c r="K237" s="768"/>
    </row>
    <row r="238" spans="4:11">
      <c r="D238" s="768"/>
      <c r="E238" s="768"/>
      <c r="F238" s="768"/>
      <c r="G238" s="768"/>
      <c r="H238" s="768"/>
      <c r="I238" s="768"/>
      <c r="J238" s="768"/>
      <c r="K238" s="768"/>
    </row>
    <row r="239" spans="4:11">
      <c r="D239" s="768"/>
      <c r="E239" s="768"/>
      <c r="F239" s="768"/>
      <c r="G239" s="768"/>
      <c r="H239" s="768"/>
      <c r="I239" s="768"/>
      <c r="J239" s="768"/>
      <c r="K239" s="768"/>
    </row>
    <row r="240" spans="4:11">
      <c r="D240" s="768"/>
      <c r="E240" s="768"/>
      <c r="F240" s="768"/>
      <c r="G240" s="768"/>
      <c r="H240" s="768"/>
      <c r="I240" s="768"/>
      <c r="J240" s="768"/>
      <c r="K240" s="768"/>
    </row>
    <row r="241" spans="4:11">
      <c r="D241" s="768"/>
      <c r="E241" s="768"/>
      <c r="F241" s="768"/>
      <c r="G241" s="768"/>
      <c r="H241" s="768"/>
      <c r="I241" s="768"/>
      <c r="J241" s="768"/>
      <c r="K241" s="768"/>
    </row>
    <row r="242" spans="4:11">
      <c r="D242" s="768"/>
      <c r="E242" s="768"/>
      <c r="F242" s="768"/>
      <c r="G242" s="768"/>
      <c r="H242" s="768"/>
      <c r="I242" s="768"/>
      <c r="J242" s="768"/>
      <c r="K242" s="768"/>
    </row>
    <row r="243" spans="4:11">
      <c r="D243" s="768"/>
      <c r="E243" s="768"/>
      <c r="F243" s="768"/>
      <c r="G243" s="768"/>
      <c r="H243" s="768"/>
      <c r="I243" s="768"/>
      <c r="J243" s="768"/>
      <c r="K243" s="768"/>
    </row>
    <row r="244" spans="4:11">
      <c r="D244" s="768"/>
      <c r="E244" s="768"/>
      <c r="F244" s="768"/>
      <c r="G244" s="768"/>
      <c r="H244" s="768"/>
      <c r="I244" s="768"/>
      <c r="J244" s="768"/>
      <c r="K244" s="768"/>
    </row>
    <row r="245" spans="4:11">
      <c r="D245" s="768"/>
      <c r="E245" s="768"/>
      <c r="F245" s="768"/>
      <c r="G245" s="768"/>
      <c r="H245" s="768"/>
      <c r="I245" s="768"/>
      <c r="J245" s="768"/>
      <c r="K245" s="768"/>
    </row>
    <row r="246" spans="4:11">
      <c r="D246" s="768"/>
      <c r="E246" s="768"/>
      <c r="F246" s="768"/>
      <c r="G246" s="768"/>
      <c r="H246" s="768"/>
      <c r="I246" s="768"/>
      <c r="J246" s="768"/>
      <c r="K246" s="768"/>
    </row>
    <row r="247" spans="4:11">
      <c r="D247" s="768"/>
      <c r="E247" s="768"/>
      <c r="F247" s="768"/>
      <c r="G247" s="768"/>
      <c r="H247" s="768"/>
      <c r="I247" s="768"/>
      <c r="J247" s="768"/>
      <c r="K247" s="768"/>
    </row>
    <row r="248" spans="4:11">
      <c r="D248" s="768"/>
      <c r="E248" s="768"/>
      <c r="F248" s="768"/>
      <c r="G248" s="768"/>
      <c r="H248" s="768"/>
      <c r="I248" s="768"/>
      <c r="J248" s="768"/>
      <c r="K248" s="768"/>
    </row>
    <row r="249" spans="4:11">
      <c r="D249" s="768"/>
      <c r="E249" s="768"/>
      <c r="F249" s="768"/>
      <c r="G249" s="768"/>
      <c r="H249" s="768"/>
      <c r="I249" s="768"/>
      <c r="J249" s="768"/>
      <c r="K249" s="768"/>
    </row>
    <row r="250" spans="4:11">
      <c r="D250" s="768"/>
      <c r="E250" s="768"/>
      <c r="F250" s="768"/>
      <c r="G250" s="768"/>
      <c r="H250" s="768"/>
      <c r="I250" s="768"/>
      <c r="J250" s="768"/>
      <c r="K250" s="768"/>
    </row>
    <row r="251" spans="4:11">
      <c r="D251" s="768"/>
      <c r="E251" s="768"/>
      <c r="F251" s="768"/>
      <c r="G251" s="768"/>
      <c r="H251" s="768"/>
      <c r="I251" s="768"/>
      <c r="J251" s="768"/>
      <c r="K251" s="768"/>
    </row>
    <row r="252" spans="4:11">
      <c r="D252" s="768"/>
      <c r="E252" s="768"/>
      <c r="F252" s="768"/>
      <c r="G252" s="768"/>
      <c r="H252" s="768"/>
      <c r="I252" s="768"/>
      <c r="J252" s="768"/>
      <c r="K252" s="768"/>
    </row>
    <row r="253" spans="4:11">
      <c r="D253" s="768"/>
      <c r="E253" s="768"/>
      <c r="F253" s="768"/>
      <c r="G253" s="768"/>
      <c r="H253" s="768"/>
      <c r="I253" s="768"/>
      <c r="J253" s="768"/>
      <c r="K253" s="768"/>
    </row>
    <row r="254" spans="4:11">
      <c r="D254" s="768"/>
      <c r="E254" s="768"/>
      <c r="F254" s="768"/>
      <c r="G254" s="768"/>
      <c r="H254" s="768"/>
      <c r="I254" s="768"/>
      <c r="J254" s="768"/>
      <c r="K254" s="768"/>
    </row>
    <row r="255" spans="4:11">
      <c r="D255" s="768"/>
      <c r="E255" s="768"/>
      <c r="F255" s="768"/>
      <c r="G255" s="768"/>
      <c r="H255" s="768"/>
      <c r="I255" s="768"/>
      <c r="J255" s="768"/>
      <c r="K255" s="768"/>
    </row>
    <row r="256" spans="4:11">
      <c r="D256" s="768"/>
      <c r="E256" s="768"/>
      <c r="F256" s="768"/>
      <c r="G256" s="768"/>
      <c r="H256" s="768"/>
      <c r="I256" s="768"/>
      <c r="J256" s="768"/>
      <c r="K256" s="768"/>
    </row>
    <row r="257" spans="4:11">
      <c r="D257" s="768"/>
      <c r="E257" s="768"/>
      <c r="F257" s="768"/>
      <c r="G257" s="768"/>
      <c r="H257" s="768"/>
      <c r="I257" s="768"/>
      <c r="J257" s="768"/>
      <c r="K257" s="768"/>
    </row>
    <row r="258" spans="4:11">
      <c r="D258" s="768"/>
      <c r="E258" s="768"/>
      <c r="F258" s="768"/>
      <c r="G258" s="768"/>
      <c r="H258" s="768"/>
      <c r="I258" s="768"/>
      <c r="J258" s="768"/>
      <c r="K258" s="768"/>
    </row>
    <row r="259" spans="4:11">
      <c r="D259" s="768"/>
      <c r="E259" s="768"/>
      <c r="F259" s="768"/>
      <c r="G259" s="768"/>
      <c r="H259" s="768"/>
      <c r="I259" s="768"/>
      <c r="J259" s="768"/>
      <c r="K259" s="768"/>
    </row>
    <row r="260" spans="4:11">
      <c r="D260" s="768"/>
      <c r="E260" s="768"/>
      <c r="F260" s="768"/>
      <c r="G260" s="768"/>
      <c r="H260" s="768"/>
      <c r="I260" s="768"/>
      <c r="J260" s="768"/>
      <c r="K260" s="768"/>
    </row>
    <row r="261" spans="4:11">
      <c r="D261" s="768"/>
      <c r="E261" s="768"/>
      <c r="F261" s="768"/>
      <c r="G261" s="768"/>
      <c r="H261" s="768"/>
      <c r="I261" s="768"/>
      <c r="J261" s="768"/>
      <c r="K261" s="768"/>
    </row>
  </sheetData>
  <sheetProtection algorithmName="SHA-512" hashValue="kE+7CjXmxFSrj4CgaH+P5VH0BWuyXoJYPX854NShPpWFicxTO23zUHGkxhkrFaBI2c55XUNNrW8i2TV4qtBMIg==" saltValue="kIeE8PutSsucQCrJpZui7g==" spinCount="100000" sheet="1" objects="1" scenarios="1"/>
  <mergeCells count="10">
    <mergeCell ref="A198:C198"/>
    <mergeCell ref="C1:H1"/>
    <mergeCell ref="C2:H2"/>
    <mergeCell ref="C3:H3"/>
    <mergeCell ref="A5:K5"/>
    <mergeCell ref="A7:A8"/>
    <mergeCell ref="B7:B8"/>
    <mergeCell ref="C7:C8"/>
    <mergeCell ref="D7:G7"/>
    <mergeCell ref="H7:K7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CC4D-A750-442D-A281-D82462EE3B33}">
  <dimension ref="A1:H77"/>
  <sheetViews>
    <sheetView view="pageBreakPreview" zoomScaleNormal="100" workbookViewId="0">
      <selection activeCell="F44" sqref="F44"/>
    </sheetView>
  </sheetViews>
  <sheetFormatPr defaultColWidth="8" defaultRowHeight="12.75"/>
  <cols>
    <col min="1" max="1" width="5.375" style="482" customWidth="1"/>
    <col min="2" max="2" width="7.625" style="482" customWidth="1"/>
    <col min="3" max="3" width="16" style="484" customWidth="1"/>
    <col min="4" max="4" width="34.625" style="484" customWidth="1"/>
    <col min="5" max="5" width="1.875" style="483" customWidth="1"/>
    <col min="6" max="6" width="12.875" style="509" customWidth="1"/>
    <col min="7" max="7" width="14.375" style="484" customWidth="1"/>
    <col min="8" max="8" width="8.25" style="484" bestFit="1" customWidth="1"/>
    <col min="9" max="16384" width="8" style="487"/>
  </cols>
  <sheetData>
    <row r="1" spans="1:8" ht="15" customHeight="1">
      <c r="C1" s="488"/>
      <c r="D1" s="1132" t="s">
        <v>1181</v>
      </c>
      <c r="E1" s="1132"/>
      <c r="F1" s="1132"/>
      <c r="G1" s="1132"/>
      <c r="H1" s="487"/>
    </row>
    <row r="2" spans="1:8" ht="15" customHeight="1">
      <c r="C2" s="488"/>
      <c r="D2" s="1133" t="s">
        <v>850</v>
      </c>
      <c r="E2" s="1133"/>
      <c r="F2" s="1133"/>
      <c r="G2" s="1133"/>
      <c r="H2" s="487"/>
    </row>
    <row r="3" spans="1:8" ht="9.75" customHeight="1">
      <c r="D3" s="1133" t="s">
        <v>851</v>
      </c>
      <c r="E3" s="1133"/>
      <c r="F3" s="1133"/>
      <c r="G3" s="1133"/>
      <c r="H3" s="487"/>
    </row>
    <row r="4" spans="1:8" ht="42" customHeight="1">
      <c r="A4" s="1134" t="s">
        <v>852</v>
      </c>
      <c r="B4" s="1134"/>
      <c r="C4" s="1134"/>
      <c r="D4" s="1134"/>
      <c r="E4" s="1134"/>
      <c r="F4" s="1134"/>
      <c r="G4" s="1134"/>
      <c r="H4" s="487"/>
    </row>
    <row r="5" spans="1:8" ht="11.25" customHeight="1">
      <c r="F5" s="488"/>
      <c r="G5" s="489" t="s">
        <v>35</v>
      </c>
    </row>
    <row r="6" spans="1:8" s="369" customFormat="1" ht="25.5" customHeight="1">
      <c r="A6" s="1135" t="s">
        <v>36</v>
      </c>
      <c r="B6" s="1135" t="s">
        <v>300</v>
      </c>
      <c r="C6" s="1137" t="s">
        <v>561</v>
      </c>
      <c r="D6" s="1138"/>
      <c r="E6" s="1139" t="s">
        <v>94</v>
      </c>
      <c r="F6" s="1141" t="s">
        <v>853</v>
      </c>
      <c r="G6" s="1139" t="s">
        <v>854</v>
      </c>
      <c r="H6" s="491"/>
    </row>
    <row r="7" spans="1:8" s="369" customFormat="1" ht="29.25" customHeight="1">
      <c r="A7" s="1136"/>
      <c r="B7" s="1136"/>
      <c r="C7" s="490" t="s">
        <v>855</v>
      </c>
      <c r="D7" s="490" t="s">
        <v>856</v>
      </c>
      <c r="E7" s="1140"/>
      <c r="F7" s="1142"/>
      <c r="G7" s="1143"/>
      <c r="H7" s="491"/>
    </row>
    <row r="8" spans="1:8" s="392" customFormat="1" ht="11.25">
      <c r="A8" s="492">
        <v>1</v>
      </c>
      <c r="B8" s="492">
        <v>2</v>
      </c>
      <c r="C8" s="493">
        <v>3</v>
      </c>
      <c r="D8" s="493">
        <v>4</v>
      </c>
      <c r="E8" s="493"/>
      <c r="F8" s="494">
        <v>5</v>
      </c>
      <c r="G8" s="493">
        <v>6</v>
      </c>
      <c r="H8" s="393"/>
    </row>
    <row r="9" spans="1:8" s="498" customFormat="1" ht="22.5" customHeight="1">
      <c r="A9" s="1144" t="s">
        <v>151</v>
      </c>
      <c r="B9" s="1145"/>
      <c r="C9" s="1145"/>
      <c r="D9" s="1146"/>
      <c r="E9" s="496" t="s">
        <v>0</v>
      </c>
      <c r="F9" s="497">
        <f>F12+F15+F18+F21+F24+F27+F30+F33+F36+F39</f>
        <v>14288000</v>
      </c>
      <c r="G9" s="497">
        <f>G12+G15+G18+G21+G24+G27+G30+G33+G36+G39</f>
        <v>14288000</v>
      </c>
    </row>
    <row r="10" spans="1:8" s="498" customFormat="1" ht="22.5" customHeight="1">
      <c r="A10" s="1016"/>
      <c r="B10" s="1017"/>
      <c r="C10" s="1017"/>
      <c r="D10" s="1018"/>
      <c r="E10" s="499" t="s">
        <v>1</v>
      </c>
      <c r="F10" s="497">
        <f t="shared" ref="F10:G11" si="0">F13+F16+F19+F22+F25+F28+F31+F34+F37+F40</f>
        <v>306938</v>
      </c>
      <c r="G10" s="497">
        <f t="shared" si="0"/>
        <v>306938</v>
      </c>
    </row>
    <row r="11" spans="1:8" s="498" customFormat="1" ht="22.5" customHeight="1">
      <c r="A11" s="1019"/>
      <c r="B11" s="1020"/>
      <c r="C11" s="1020"/>
      <c r="D11" s="1021"/>
      <c r="E11" s="499" t="s">
        <v>2</v>
      </c>
      <c r="F11" s="497">
        <f t="shared" si="0"/>
        <v>14594938</v>
      </c>
      <c r="G11" s="497">
        <f t="shared" si="0"/>
        <v>14594938</v>
      </c>
    </row>
    <row r="12" spans="1:8" s="434" customFormat="1" ht="15" hidden="1" customHeight="1">
      <c r="A12" s="500" t="s">
        <v>42</v>
      </c>
      <c r="B12" s="500" t="s">
        <v>154</v>
      </c>
      <c r="C12" s="1127" t="s">
        <v>857</v>
      </c>
      <c r="D12" s="1128" t="s">
        <v>858</v>
      </c>
      <c r="E12" s="501" t="s">
        <v>0</v>
      </c>
      <c r="F12" s="502">
        <v>3500000</v>
      </c>
      <c r="G12" s="503">
        <v>3500000</v>
      </c>
      <c r="H12" s="504"/>
    </row>
    <row r="13" spans="1:8" s="434" customFormat="1" ht="15" hidden="1" customHeight="1">
      <c r="A13" s="505"/>
      <c r="B13" s="505"/>
      <c r="C13" s="1059"/>
      <c r="D13" s="1129"/>
      <c r="E13" s="506" t="s">
        <v>1</v>
      </c>
      <c r="F13" s="502">
        <v>0</v>
      </c>
      <c r="G13" s="503">
        <v>0</v>
      </c>
      <c r="H13" s="504"/>
    </row>
    <row r="14" spans="1:8" s="434" customFormat="1" ht="15" hidden="1" customHeight="1">
      <c r="A14" s="505"/>
      <c r="B14" s="505"/>
      <c r="C14" s="1060"/>
      <c r="D14" s="1130"/>
      <c r="E14" s="506" t="s">
        <v>2</v>
      </c>
      <c r="F14" s="502">
        <f>F12+F13</f>
        <v>3500000</v>
      </c>
      <c r="G14" s="502">
        <f>G12+G13</f>
        <v>3500000</v>
      </c>
      <c r="H14" s="504"/>
    </row>
    <row r="15" spans="1:8" s="434" customFormat="1" ht="24.95" hidden="1" customHeight="1">
      <c r="A15" s="505"/>
      <c r="B15" s="505"/>
      <c r="C15" s="1127" t="s">
        <v>857</v>
      </c>
      <c r="D15" s="1128" t="s">
        <v>859</v>
      </c>
      <c r="E15" s="501" t="s">
        <v>0</v>
      </c>
      <c r="F15" s="502">
        <v>185000</v>
      </c>
      <c r="G15" s="503">
        <v>185000</v>
      </c>
      <c r="H15" s="504"/>
    </row>
    <row r="16" spans="1:8" s="434" customFormat="1" ht="24.95" hidden="1" customHeight="1">
      <c r="A16" s="505"/>
      <c r="B16" s="505"/>
      <c r="C16" s="1059"/>
      <c r="D16" s="1129"/>
      <c r="E16" s="506" t="s">
        <v>1</v>
      </c>
      <c r="F16" s="502">
        <v>0</v>
      </c>
      <c r="G16" s="503">
        <v>0</v>
      </c>
      <c r="H16" s="504"/>
    </row>
    <row r="17" spans="1:8" s="434" customFormat="1" ht="24.95" hidden="1" customHeight="1">
      <c r="A17" s="505"/>
      <c r="B17" s="505"/>
      <c r="C17" s="1060"/>
      <c r="D17" s="1130"/>
      <c r="E17" s="506" t="s">
        <v>2</v>
      </c>
      <c r="F17" s="502">
        <f>F15+F16</f>
        <v>185000</v>
      </c>
      <c r="G17" s="502">
        <f>G15+G16</f>
        <v>185000</v>
      </c>
      <c r="H17" s="504"/>
    </row>
    <row r="18" spans="1:8" s="434" customFormat="1" ht="20.100000000000001" hidden="1" customHeight="1">
      <c r="A18" s="505"/>
      <c r="B18" s="500" t="s">
        <v>158</v>
      </c>
      <c r="C18" s="1127" t="s">
        <v>857</v>
      </c>
      <c r="D18" s="1128" t="s">
        <v>860</v>
      </c>
      <c r="E18" s="501" t="s">
        <v>0</v>
      </c>
      <c r="F18" s="502">
        <v>6000000</v>
      </c>
      <c r="G18" s="503">
        <v>6000000</v>
      </c>
      <c r="H18" s="504"/>
    </row>
    <row r="19" spans="1:8" s="434" customFormat="1" ht="20.100000000000001" hidden="1" customHeight="1">
      <c r="A19" s="505"/>
      <c r="B19" s="505"/>
      <c r="C19" s="1059"/>
      <c r="D19" s="1129"/>
      <c r="E19" s="506" t="s">
        <v>1</v>
      </c>
      <c r="F19" s="502">
        <v>0</v>
      </c>
      <c r="G19" s="503">
        <v>0</v>
      </c>
      <c r="H19" s="504"/>
    </row>
    <row r="20" spans="1:8" s="434" customFormat="1" ht="20.100000000000001" hidden="1" customHeight="1">
      <c r="A20" s="505"/>
      <c r="B20" s="505"/>
      <c r="C20" s="1060"/>
      <c r="D20" s="1130"/>
      <c r="E20" s="506" t="s">
        <v>2</v>
      </c>
      <c r="F20" s="502">
        <f>F18+F19</f>
        <v>6000000</v>
      </c>
      <c r="G20" s="502">
        <f>G18+G19</f>
        <v>6000000</v>
      </c>
      <c r="H20" s="504"/>
    </row>
    <row r="21" spans="1:8" s="434" customFormat="1" ht="20.100000000000001" hidden="1" customHeight="1">
      <c r="A21" s="505"/>
      <c r="B21" s="505"/>
      <c r="C21" s="1127" t="s">
        <v>857</v>
      </c>
      <c r="D21" s="1128" t="s">
        <v>861</v>
      </c>
      <c r="E21" s="501" t="s">
        <v>0</v>
      </c>
      <c r="F21" s="502">
        <v>475000</v>
      </c>
      <c r="G21" s="503">
        <v>475000</v>
      </c>
      <c r="H21" s="504"/>
    </row>
    <row r="22" spans="1:8" s="434" customFormat="1" ht="20.100000000000001" hidden="1" customHeight="1">
      <c r="A22" s="505"/>
      <c r="B22" s="505"/>
      <c r="C22" s="1059"/>
      <c r="D22" s="1129"/>
      <c r="E22" s="506" t="s">
        <v>1</v>
      </c>
      <c r="F22" s="502">
        <v>0</v>
      </c>
      <c r="G22" s="503">
        <v>0</v>
      </c>
      <c r="H22" s="504"/>
    </row>
    <row r="23" spans="1:8" s="434" customFormat="1" ht="20.100000000000001" hidden="1" customHeight="1">
      <c r="A23" s="505"/>
      <c r="B23" s="505"/>
      <c r="C23" s="1060"/>
      <c r="D23" s="1130"/>
      <c r="E23" s="506" t="s">
        <v>2</v>
      </c>
      <c r="F23" s="502">
        <f>F21+F22</f>
        <v>475000</v>
      </c>
      <c r="G23" s="502">
        <f>G21+G22</f>
        <v>475000</v>
      </c>
      <c r="H23" s="504"/>
    </row>
    <row r="24" spans="1:8" s="434" customFormat="1" ht="15" hidden="1" customHeight="1">
      <c r="A24" s="505"/>
      <c r="B24" s="505"/>
      <c r="C24" s="1127" t="s">
        <v>857</v>
      </c>
      <c r="D24" s="1128" t="s">
        <v>862</v>
      </c>
      <c r="E24" s="501" t="s">
        <v>0</v>
      </c>
      <c r="F24" s="502">
        <v>80000</v>
      </c>
      <c r="G24" s="503">
        <v>80000</v>
      </c>
      <c r="H24" s="504"/>
    </row>
    <row r="25" spans="1:8" s="434" customFormat="1" ht="15" hidden="1" customHeight="1">
      <c r="A25" s="505"/>
      <c r="B25" s="505"/>
      <c r="C25" s="1059"/>
      <c r="D25" s="1129"/>
      <c r="E25" s="506" t="s">
        <v>1</v>
      </c>
      <c r="F25" s="502">
        <v>0</v>
      </c>
      <c r="G25" s="503">
        <v>0</v>
      </c>
      <c r="H25" s="504"/>
    </row>
    <row r="26" spans="1:8" s="434" customFormat="1" ht="15" hidden="1" customHeight="1">
      <c r="A26" s="505"/>
      <c r="B26" s="505"/>
      <c r="C26" s="1060"/>
      <c r="D26" s="1130"/>
      <c r="E26" s="506" t="s">
        <v>2</v>
      </c>
      <c r="F26" s="502">
        <f>F24+F25</f>
        <v>80000</v>
      </c>
      <c r="G26" s="502">
        <f>G24+G25</f>
        <v>80000</v>
      </c>
      <c r="H26" s="504"/>
    </row>
    <row r="27" spans="1:8" s="434" customFormat="1" ht="15" hidden="1" customHeight="1">
      <c r="A27" s="505"/>
      <c r="B27" s="505"/>
      <c r="C27" s="1127" t="s">
        <v>857</v>
      </c>
      <c r="D27" s="1128" t="s">
        <v>863</v>
      </c>
      <c r="E27" s="501" t="s">
        <v>0</v>
      </c>
      <c r="F27" s="502">
        <v>745000</v>
      </c>
      <c r="G27" s="503">
        <v>745000</v>
      </c>
      <c r="H27" s="504"/>
    </row>
    <row r="28" spans="1:8" s="434" customFormat="1" ht="15" hidden="1" customHeight="1">
      <c r="A28" s="505"/>
      <c r="B28" s="505"/>
      <c r="C28" s="1059"/>
      <c r="D28" s="1129"/>
      <c r="E28" s="506" t="s">
        <v>1</v>
      </c>
      <c r="F28" s="502">
        <v>0</v>
      </c>
      <c r="G28" s="503">
        <v>0</v>
      </c>
      <c r="H28" s="504"/>
    </row>
    <row r="29" spans="1:8" s="434" customFormat="1" ht="15" hidden="1" customHeight="1">
      <c r="A29" s="505"/>
      <c r="B29" s="505"/>
      <c r="C29" s="1060"/>
      <c r="D29" s="1130"/>
      <c r="E29" s="506" t="s">
        <v>2</v>
      </c>
      <c r="F29" s="502">
        <f>F27+F28</f>
        <v>745000</v>
      </c>
      <c r="G29" s="502">
        <f>G27+G28</f>
        <v>745000</v>
      </c>
      <c r="H29" s="504"/>
    </row>
    <row r="30" spans="1:8" s="434" customFormat="1" ht="15" hidden="1" customHeight="1">
      <c r="A30" s="500" t="s">
        <v>43</v>
      </c>
      <c r="B30" s="500" t="s">
        <v>161</v>
      </c>
      <c r="C30" s="1127" t="s">
        <v>857</v>
      </c>
      <c r="D30" s="1128" t="s">
        <v>864</v>
      </c>
      <c r="E30" s="501" t="s">
        <v>0</v>
      </c>
      <c r="F30" s="502">
        <v>140000</v>
      </c>
      <c r="G30" s="503">
        <v>140000</v>
      </c>
      <c r="H30" s="504"/>
    </row>
    <row r="31" spans="1:8" s="434" customFormat="1" ht="15" hidden="1" customHeight="1">
      <c r="A31" s="505"/>
      <c r="B31" s="505"/>
      <c r="C31" s="1059"/>
      <c r="D31" s="1129"/>
      <c r="E31" s="506" t="s">
        <v>1</v>
      </c>
      <c r="F31" s="502">
        <v>0</v>
      </c>
      <c r="G31" s="503">
        <v>0</v>
      </c>
      <c r="H31" s="504"/>
    </row>
    <row r="32" spans="1:8" s="434" customFormat="1" ht="15" hidden="1" customHeight="1">
      <c r="A32" s="507"/>
      <c r="B32" s="507"/>
      <c r="C32" s="1060"/>
      <c r="D32" s="1130"/>
      <c r="E32" s="506" t="s">
        <v>2</v>
      </c>
      <c r="F32" s="502">
        <f>F30+F31</f>
        <v>140000</v>
      </c>
      <c r="G32" s="502">
        <f>G30+G31</f>
        <v>140000</v>
      </c>
      <c r="H32" s="504"/>
    </row>
    <row r="33" spans="1:8" s="434" customFormat="1" ht="15" customHeight="1">
      <c r="A33" s="500" t="s">
        <v>53</v>
      </c>
      <c r="B33" s="500" t="s">
        <v>212</v>
      </c>
      <c r="C33" s="1127" t="s">
        <v>865</v>
      </c>
      <c r="D33" s="1128" t="s">
        <v>866</v>
      </c>
      <c r="E33" s="501" t="s">
        <v>0</v>
      </c>
      <c r="F33" s="502">
        <v>1560000</v>
      </c>
      <c r="G33" s="503">
        <v>1560000</v>
      </c>
      <c r="H33" s="504"/>
    </row>
    <row r="34" spans="1:8" s="434" customFormat="1" ht="15" customHeight="1">
      <c r="A34" s="505"/>
      <c r="B34" s="505"/>
      <c r="C34" s="1059"/>
      <c r="D34" s="1129"/>
      <c r="E34" s="506" t="s">
        <v>1</v>
      </c>
      <c r="F34" s="502">
        <v>306938</v>
      </c>
      <c r="G34" s="503">
        <v>306938</v>
      </c>
      <c r="H34" s="504"/>
    </row>
    <row r="35" spans="1:8" s="434" customFormat="1" ht="15" customHeight="1">
      <c r="A35" s="507"/>
      <c r="B35" s="507"/>
      <c r="C35" s="1060"/>
      <c r="D35" s="1130"/>
      <c r="E35" s="506" t="s">
        <v>2</v>
      </c>
      <c r="F35" s="502">
        <f>F33+F34</f>
        <v>1866938</v>
      </c>
      <c r="G35" s="502">
        <f>G33+G34</f>
        <v>1866938</v>
      </c>
      <c r="H35" s="504"/>
    </row>
    <row r="36" spans="1:8" s="434" customFormat="1" ht="15" hidden="1" customHeight="1">
      <c r="A36" s="505"/>
      <c r="B36" s="505"/>
      <c r="C36" s="1131" t="s">
        <v>865</v>
      </c>
      <c r="D36" s="1128" t="s">
        <v>867</v>
      </c>
      <c r="E36" s="501" t="s">
        <v>0</v>
      </c>
      <c r="F36" s="502">
        <v>350000</v>
      </c>
      <c r="G36" s="503">
        <v>350000</v>
      </c>
      <c r="H36" s="504"/>
    </row>
    <row r="37" spans="1:8" s="434" customFormat="1" ht="15" hidden="1" customHeight="1">
      <c r="A37" s="505"/>
      <c r="B37" s="505"/>
      <c r="C37" s="1059"/>
      <c r="D37" s="1129"/>
      <c r="E37" s="506" t="s">
        <v>1</v>
      </c>
      <c r="F37" s="502">
        <v>0</v>
      </c>
      <c r="G37" s="503">
        <v>0</v>
      </c>
      <c r="H37" s="504"/>
    </row>
    <row r="38" spans="1:8" s="434" customFormat="1" ht="15" hidden="1" customHeight="1">
      <c r="A38" s="507"/>
      <c r="B38" s="507"/>
      <c r="C38" s="1060"/>
      <c r="D38" s="1130"/>
      <c r="E38" s="506" t="s">
        <v>2</v>
      </c>
      <c r="F38" s="502">
        <f>F36+F37</f>
        <v>350000</v>
      </c>
      <c r="G38" s="502">
        <f>G36+G37</f>
        <v>350000</v>
      </c>
      <c r="H38" s="504"/>
    </row>
    <row r="39" spans="1:8" s="434" customFormat="1" ht="15" hidden="1" customHeight="1">
      <c r="A39" s="500" t="s">
        <v>59</v>
      </c>
      <c r="B39" s="500" t="s">
        <v>239</v>
      </c>
      <c r="C39" s="1127" t="s">
        <v>857</v>
      </c>
      <c r="D39" s="1128" t="s">
        <v>868</v>
      </c>
      <c r="E39" s="501" t="s">
        <v>0</v>
      </c>
      <c r="F39" s="502">
        <v>1253000</v>
      </c>
      <c r="G39" s="503">
        <v>1253000</v>
      </c>
      <c r="H39" s="504"/>
    </row>
    <row r="40" spans="1:8" s="434" customFormat="1" ht="15" hidden="1" customHeight="1">
      <c r="A40" s="505"/>
      <c r="B40" s="505"/>
      <c r="C40" s="1059"/>
      <c r="D40" s="1129"/>
      <c r="E40" s="506" t="s">
        <v>1</v>
      </c>
      <c r="F40" s="502">
        <v>0</v>
      </c>
      <c r="G40" s="503">
        <v>0</v>
      </c>
      <c r="H40" s="504"/>
    </row>
    <row r="41" spans="1:8" s="434" customFormat="1" ht="15" hidden="1" customHeight="1">
      <c r="A41" s="507"/>
      <c r="B41" s="507"/>
      <c r="C41" s="1060"/>
      <c r="D41" s="1130"/>
      <c r="E41" s="506" t="s">
        <v>2</v>
      </c>
      <c r="F41" s="502">
        <f>F39+F40</f>
        <v>1253000</v>
      </c>
      <c r="G41" s="502">
        <f>G39+G40</f>
        <v>1253000</v>
      </c>
      <c r="H41" s="504"/>
    </row>
    <row r="42" spans="1:8" s="511" customFormat="1" ht="14.25" customHeight="1">
      <c r="A42" s="508" t="s">
        <v>869</v>
      </c>
      <c r="B42" s="482"/>
      <c r="C42" s="484"/>
      <c r="D42" s="484"/>
      <c r="E42" s="363"/>
      <c r="F42" s="509"/>
      <c r="G42" s="510"/>
    </row>
    <row r="43" spans="1:8" s="508" customFormat="1" ht="14.25" customHeight="1">
      <c r="A43" s="508" t="s">
        <v>870</v>
      </c>
      <c r="C43" s="512"/>
      <c r="D43" s="512"/>
      <c r="E43" s="361"/>
      <c r="F43" s="488"/>
      <c r="G43" s="512"/>
    </row>
    <row r="44" spans="1:8" s="514" customFormat="1" ht="14.25" customHeight="1">
      <c r="A44" s="508" t="s">
        <v>871</v>
      </c>
      <c r="B44" s="508"/>
      <c r="C44" s="512"/>
      <c r="D44" s="512"/>
      <c r="E44" s="361"/>
      <c r="F44" s="488"/>
      <c r="G44" s="513"/>
    </row>
    <row r="45" spans="1:8" s="508" customFormat="1" ht="14.25" customHeight="1">
      <c r="A45" s="508" t="s">
        <v>872</v>
      </c>
      <c r="C45" s="512"/>
      <c r="D45" s="512"/>
      <c r="E45" s="361"/>
      <c r="F45" s="488"/>
      <c r="G45" s="512"/>
    </row>
    <row r="46" spans="1:8" s="511" customFormat="1" ht="27" customHeight="1">
      <c r="A46" s="482"/>
      <c r="B46" s="482"/>
      <c r="C46" s="484"/>
      <c r="D46" s="484"/>
      <c r="E46" s="483"/>
      <c r="F46" s="509"/>
      <c r="G46" s="510"/>
      <c r="H46" s="510"/>
    </row>
    <row r="47" spans="1:8" ht="27" customHeight="1"/>
    <row r="48" spans="1:8" s="516" customFormat="1" ht="24.75" customHeight="1">
      <c r="A48" s="482"/>
      <c r="B48" s="482"/>
      <c r="C48" s="484"/>
      <c r="D48" s="484"/>
      <c r="E48" s="483"/>
      <c r="F48" s="509"/>
      <c r="G48" s="515"/>
      <c r="H48" s="515"/>
    </row>
    <row r="49" spans="1:8" ht="30" customHeight="1"/>
    <row r="50" spans="1:8" ht="30" customHeight="1"/>
    <row r="51" spans="1:8" s="518" customFormat="1" ht="22.5" customHeight="1">
      <c r="A51" s="482"/>
      <c r="B51" s="482"/>
      <c r="C51" s="484"/>
      <c r="D51" s="484"/>
      <c r="E51" s="483"/>
      <c r="F51" s="509"/>
      <c r="G51" s="517"/>
      <c r="H51" s="517"/>
    </row>
    <row r="52" spans="1:8" ht="30" customHeight="1"/>
    <row r="53" spans="1:8" ht="28.5" customHeight="1"/>
    <row r="54" spans="1:8" s="511" customFormat="1" ht="24.75" customHeight="1">
      <c r="A54" s="482"/>
      <c r="B54" s="482"/>
      <c r="C54" s="484"/>
      <c r="D54" s="484"/>
      <c r="E54" s="483"/>
      <c r="F54" s="509"/>
      <c r="G54" s="510"/>
      <c r="H54" s="510"/>
    </row>
    <row r="55" spans="1:8" ht="24.75" customHeight="1"/>
    <row r="56" spans="1:8" s="516" customFormat="1" ht="21" customHeight="1">
      <c r="A56" s="482"/>
      <c r="B56" s="482"/>
      <c r="C56" s="484"/>
      <c r="D56" s="484"/>
      <c r="E56" s="483"/>
      <c r="F56" s="509"/>
      <c r="G56" s="515"/>
      <c r="H56" s="515"/>
    </row>
    <row r="58" spans="1:8" ht="9" customHeight="1"/>
    <row r="59" spans="1:8" s="433" customFormat="1" ht="35.25" customHeight="1">
      <c r="A59" s="482"/>
      <c r="B59" s="482"/>
      <c r="C59" s="484"/>
      <c r="D59" s="484"/>
      <c r="E59" s="483"/>
      <c r="F59" s="509"/>
    </row>
    <row r="60" spans="1:8" s="511" customFormat="1" ht="22.5" customHeight="1">
      <c r="A60" s="482"/>
      <c r="B60" s="482"/>
      <c r="C60" s="484"/>
      <c r="D60" s="484"/>
      <c r="E60" s="483"/>
      <c r="F60" s="509"/>
      <c r="G60" s="510"/>
      <c r="H60" s="510"/>
    </row>
    <row r="61" spans="1:8" ht="41.25" customHeight="1"/>
    <row r="62" spans="1:8" s="433" customFormat="1" ht="21.75" customHeight="1">
      <c r="A62" s="482"/>
      <c r="B62" s="482"/>
      <c r="C62" s="484"/>
      <c r="D62" s="484"/>
      <c r="E62" s="483"/>
      <c r="F62" s="509"/>
    </row>
    <row r="63" spans="1:8" ht="21.75" customHeight="1">
      <c r="G63" s="487"/>
      <c r="H63" s="487"/>
    </row>
    <row r="64" spans="1:8" ht="24.75" customHeight="1">
      <c r="G64" s="487"/>
      <c r="H64" s="487"/>
    </row>
    <row r="65" spans="1:8" ht="12" customHeight="1">
      <c r="G65" s="487"/>
      <c r="H65" s="487"/>
    </row>
    <row r="66" spans="1:8" s="519" customFormat="1" ht="30.75" customHeight="1">
      <c r="A66" s="482"/>
      <c r="B66" s="482"/>
      <c r="C66" s="484"/>
      <c r="D66" s="484"/>
      <c r="E66" s="483"/>
      <c r="F66" s="509"/>
    </row>
    <row r="67" spans="1:8" s="433" customFormat="1" ht="21.75" customHeight="1">
      <c r="A67" s="482"/>
      <c r="B67" s="482"/>
      <c r="C67" s="484"/>
      <c r="D67" s="484"/>
      <c r="E67" s="483"/>
      <c r="F67" s="509"/>
    </row>
    <row r="68" spans="1:8" s="520" customFormat="1" ht="21.75" customHeight="1">
      <c r="A68" s="482"/>
      <c r="B68" s="482"/>
      <c r="C68" s="484"/>
      <c r="D68" s="484"/>
      <c r="E68" s="483"/>
      <c r="F68" s="509"/>
    </row>
    <row r="69" spans="1:8" s="520" customFormat="1" ht="21.75" customHeight="1">
      <c r="A69" s="482"/>
      <c r="B69" s="482"/>
      <c r="C69" s="484"/>
      <c r="D69" s="484"/>
      <c r="E69" s="483"/>
      <c r="F69" s="509"/>
    </row>
    <row r="71" spans="1:8" s="369" customFormat="1" ht="24" customHeight="1">
      <c r="A71" s="482"/>
      <c r="B71" s="482"/>
      <c r="C71" s="484"/>
      <c r="D71" s="484"/>
      <c r="E71" s="483"/>
      <c r="F71" s="509"/>
      <c r="G71" s="491"/>
      <c r="H71" s="491"/>
    </row>
    <row r="72" spans="1:8" s="369" customFormat="1" ht="24" customHeight="1">
      <c r="A72" s="482"/>
      <c r="B72" s="482"/>
      <c r="C72" s="484"/>
      <c r="D72" s="484"/>
      <c r="E72" s="483"/>
      <c r="F72" s="509"/>
      <c r="G72" s="491"/>
      <c r="H72" s="491"/>
    </row>
    <row r="73" spans="1:8" s="353" customFormat="1" ht="24" customHeight="1">
      <c r="A73" s="482"/>
      <c r="B73" s="482"/>
      <c r="C73" s="484"/>
      <c r="D73" s="484"/>
      <c r="E73" s="483"/>
      <c r="F73" s="509"/>
      <c r="G73" s="364"/>
      <c r="H73" s="364"/>
    </row>
    <row r="74" spans="1:8" s="353" customFormat="1" ht="24" customHeight="1">
      <c r="A74" s="482"/>
      <c r="B74" s="482"/>
      <c r="C74" s="484"/>
      <c r="D74" s="484"/>
      <c r="E74" s="483"/>
      <c r="F74" s="509"/>
      <c r="G74" s="364"/>
      <c r="H74" s="364"/>
    </row>
    <row r="75" spans="1:8" s="369" customFormat="1" ht="21" customHeight="1">
      <c r="A75" s="482"/>
      <c r="B75" s="482"/>
      <c r="C75" s="484"/>
      <c r="D75" s="484"/>
      <c r="E75" s="483"/>
      <c r="F75" s="509"/>
      <c r="G75" s="491"/>
      <c r="H75" s="491"/>
    </row>
    <row r="76" spans="1:8" ht="19.5" customHeight="1"/>
    <row r="77" spans="1:8" ht="21.75" customHeight="1"/>
  </sheetData>
  <sheetProtection algorithmName="SHA-512" hashValue="Wa7o0Nbt1nCYH4f0Hcckm25/6Zp6vfG3h425+uy58nPwbK1UFKBbycc5EZxAxFysZ5KbKU1aEKdPjBsQJ+agBA==" saltValue="gJNhEceB1MtM2OPmwc7KrQ==" spinCount="100000" sheet="1" objects="1" scenarios="1"/>
  <mergeCells count="31">
    <mergeCell ref="A9:D11"/>
    <mergeCell ref="C12:C14"/>
    <mergeCell ref="D12:D14"/>
    <mergeCell ref="C15:C17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  <mergeCell ref="D15:D17"/>
    <mergeCell ref="C21:C23"/>
    <mergeCell ref="D21:D23"/>
    <mergeCell ref="C24:C26"/>
    <mergeCell ref="D24:D26"/>
    <mergeCell ref="C18:C20"/>
    <mergeCell ref="D18:D20"/>
    <mergeCell ref="C27:C29"/>
    <mergeCell ref="D27:D29"/>
    <mergeCell ref="C39:C41"/>
    <mergeCell ref="D39:D41"/>
    <mergeCell ref="C30:C32"/>
    <mergeCell ref="D30:D32"/>
    <mergeCell ref="C33:C35"/>
    <mergeCell ref="D33:D35"/>
    <mergeCell ref="C36:C38"/>
    <mergeCell ref="D36:D38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E5C2-4542-4038-B7A6-BB05B859F16B}">
  <dimension ref="A1:N112"/>
  <sheetViews>
    <sheetView tabSelected="1" view="pageBreakPreview" topLeftCell="A76" zoomScaleNormal="100" zoomScaleSheetLayoutView="100" workbookViewId="0">
      <selection activeCell="D88" sqref="D88"/>
    </sheetView>
  </sheetViews>
  <sheetFormatPr defaultColWidth="8" defaultRowHeight="12.75"/>
  <cols>
    <col min="1" max="1" width="4.625" style="482" customWidth="1"/>
    <col min="2" max="2" width="6.625" style="482" customWidth="1"/>
    <col min="3" max="3" width="21.625" style="484" customWidth="1"/>
    <col min="4" max="4" width="42" style="484" customWidth="1"/>
    <col min="5" max="5" width="2" style="483" customWidth="1"/>
    <col min="6" max="6" width="13.75" style="509" customWidth="1"/>
    <col min="7" max="7" width="16.125" style="484" customWidth="1"/>
    <col min="8" max="8" width="2.875" style="484" customWidth="1"/>
    <col min="9" max="16384" width="8" style="487"/>
  </cols>
  <sheetData>
    <row r="1" spans="1:8" s="353" customFormat="1" ht="15" customHeight="1">
      <c r="A1" s="362"/>
      <c r="B1" s="362"/>
      <c r="C1" s="359"/>
      <c r="D1" s="521" t="s">
        <v>873</v>
      </c>
      <c r="E1" s="1167" t="s">
        <v>1182</v>
      </c>
      <c r="F1" s="1167"/>
      <c r="G1" s="1167"/>
      <c r="H1" s="364"/>
    </row>
    <row r="2" spans="1:8" s="353" customFormat="1" ht="15" customHeight="1">
      <c r="A2" s="362"/>
      <c r="B2" s="362"/>
      <c r="C2" s="359"/>
      <c r="D2" s="359" t="s">
        <v>874</v>
      </c>
      <c r="E2" s="1168" t="s">
        <v>875</v>
      </c>
      <c r="F2" s="1168"/>
      <c r="G2" s="1168"/>
      <c r="H2" s="364"/>
    </row>
    <row r="3" spans="1:8" ht="6" customHeight="1">
      <c r="D3" s="1133" t="s">
        <v>851</v>
      </c>
      <c r="E3" s="1133"/>
      <c r="F3" s="1133"/>
      <c r="G3" s="1133"/>
    </row>
    <row r="4" spans="1:8" ht="41.25" customHeight="1">
      <c r="A4" s="1134" t="s">
        <v>876</v>
      </c>
      <c r="B4" s="1134"/>
      <c r="C4" s="1134"/>
      <c r="D4" s="1134"/>
      <c r="E4" s="1134"/>
      <c r="F4" s="1134"/>
      <c r="G4" s="1134"/>
    </row>
    <row r="5" spans="1:8" s="353" customFormat="1" ht="14.25" customHeight="1">
      <c r="A5" s="362"/>
      <c r="B5" s="362"/>
      <c r="C5" s="364"/>
      <c r="D5" s="364"/>
      <c r="E5" s="363"/>
      <c r="F5" s="359"/>
      <c r="G5" s="354" t="s">
        <v>35</v>
      </c>
      <c r="H5" s="364"/>
    </row>
    <row r="6" spans="1:8" s="369" customFormat="1" ht="15.75" customHeight="1">
      <c r="A6" s="1135" t="s">
        <v>36</v>
      </c>
      <c r="B6" s="1135" t="s">
        <v>300</v>
      </c>
      <c r="C6" s="1137" t="s">
        <v>561</v>
      </c>
      <c r="D6" s="1138"/>
      <c r="E6" s="1139" t="s">
        <v>94</v>
      </c>
      <c r="F6" s="1141" t="s">
        <v>877</v>
      </c>
      <c r="G6" s="1139" t="s">
        <v>854</v>
      </c>
      <c r="H6" s="491"/>
    </row>
    <row r="7" spans="1:8" s="369" customFormat="1" ht="38.25" customHeight="1">
      <c r="A7" s="1136"/>
      <c r="B7" s="1136"/>
      <c r="C7" s="490" t="s">
        <v>878</v>
      </c>
      <c r="D7" s="490" t="s">
        <v>856</v>
      </c>
      <c r="E7" s="1154"/>
      <c r="F7" s="1142"/>
      <c r="G7" s="1143"/>
      <c r="H7" s="491"/>
    </row>
    <row r="8" spans="1:8" s="392" customFormat="1" ht="11.25">
      <c r="A8" s="492">
        <v>1</v>
      </c>
      <c r="B8" s="492">
        <v>2</v>
      </c>
      <c r="C8" s="493">
        <v>3</v>
      </c>
      <c r="D8" s="493">
        <v>4</v>
      </c>
      <c r="E8" s="493"/>
      <c r="F8" s="494">
        <v>5</v>
      </c>
      <c r="G8" s="493">
        <v>6</v>
      </c>
      <c r="H8" s="393"/>
    </row>
    <row r="9" spans="1:8" s="498" customFormat="1" ht="15" customHeight="1">
      <c r="A9" s="1144" t="s">
        <v>151</v>
      </c>
      <c r="B9" s="1145"/>
      <c r="C9" s="1145"/>
      <c r="D9" s="1146"/>
      <c r="E9" s="495" t="s">
        <v>0</v>
      </c>
      <c r="F9" s="497">
        <f>F13+F16+F19+F22+F25+F28+F31+F34+F37+F40+F43+F46+F49+F52+F55+F58+F61+F64+F67+F70+F73+F76+F79+F82</f>
        <v>57665337</v>
      </c>
      <c r="G9" s="497">
        <f>G13+G16+G19+G22+G25+G28+G31+G34+G37+G40+G43+G46+G49+G52+G55+G58+G61+G64+G67+G70+G73+G76+G79+G82</f>
        <v>135642260</v>
      </c>
    </row>
    <row r="10" spans="1:8" s="498" customFormat="1" ht="15" customHeight="1">
      <c r="A10" s="1016"/>
      <c r="B10" s="1017"/>
      <c r="C10" s="1017"/>
      <c r="D10" s="1018"/>
      <c r="E10" s="522" t="s">
        <v>1</v>
      </c>
      <c r="F10" s="497">
        <f t="shared" ref="F10:G11" si="0">F14+F17+F20+F23+F26+F29+F32+F35+F38+F41+F44+F47+F50+F53+F56+F59+F62+F65+F68+F71+F74+F77+F80+F83</f>
        <v>1100356</v>
      </c>
      <c r="G10" s="497">
        <f t="shared" si="0"/>
        <v>3501765</v>
      </c>
    </row>
    <row r="11" spans="1:8" s="498" customFormat="1" ht="15" customHeight="1">
      <c r="A11" s="1019"/>
      <c r="B11" s="1020"/>
      <c r="C11" s="1020"/>
      <c r="D11" s="1021"/>
      <c r="E11" s="523" t="s">
        <v>2</v>
      </c>
      <c r="F11" s="497">
        <f t="shared" si="0"/>
        <v>58765693</v>
      </c>
      <c r="G11" s="497">
        <f t="shared" si="0"/>
        <v>139144025</v>
      </c>
    </row>
    <row r="12" spans="1:8" s="498" customFormat="1" ht="9" customHeight="1">
      <c r="A12" s="1164"/>
      <c r="B12" s="1165"/>
      <c r="C12" s="1165"/>
      <c r="D12" s="1165"/>
      <c r="E12" s="1165"/>
      <c r="F12" s="1165"/>
      <c r="G12" s="1166"/>
    </row>
    <row r="13" spans="1:8" s="530" customFormat="1" ht="15" hidden="1" customHeight="1">
      <c r="A13" s="524">
        <v>600</v>
      </c>
      <c r="B13" s="525">
        <v>60001</v>
      </c>
      <c r="C13" s="1155" t="s">
        <v>879</v>
      </c>
      <c r="D13" s="1158" t="s">
        <v>643</v>
      </c>
      <c r="E13" s="526" t="s">
        <v>0</v>
      </c>
      <c r="F13" s="527">
        <v>1350534</v>
      </c>
      <c r="G13" s="528">
        <v>1350534</v>
      </c>
      <c r="H13" s="529"/>
    </row>
    <row r="14" spans="1:8" s="530" customFormat="1" ht="15" hidden="1" customHeight="1">
      <c r="A14" s="524"/>
      <c r="B14" s="525"/>
      <c r="C14" s="1059"/>
      <c r="D14" s="1129"/>
      <c r="E14" s="412" t="s">
        <v>1</v>
      </c>
      <c r="F14" s="527">
        <v>0</v>
      </c>
      <c r="G14" s="528">
        <v>0</v>
      </c>
      <c r="H14" s="529"/>
    </row>
    <row r="15" spans="1:8" s="530" customFormat="1" ht="15" hidden="1" customHeight="1">
      <c r="A15" s="524"/>
      <c r="B15" s="525"/>
      <c r="C15" s="1060"/>
      <c r="D15" s="1130"/>
      <c r="E15" s="412" t="s">
        <v>2</v>
      </c>
      <c r="F15" s="527">
        <f>F13+F14</f>
        <v>1350534</v>
      </c>
      <c r="G15" s="527">
        <f>G13+G14</f>
        <v>1350534</v>
      </c>
      <c r="H15" s="529"/>
    </row>
    <row r="16" spans="1:8" s="530" customFormat="1" ht="24" hidden="1" customHeight="1">
      <c r="A16" s="524"/>
      <c r="B16" s="525"/>
      <c r="C16" s="1155" t="s">
        <v>880</v>
      </c>
      <c r="D16" s="1158" t="s">
        <v>643</v>
      </c>
      <c r="E16" s="531" t="s">
        <v>0</v>
      </c>
      <c r="F16" s="527">
        <v>255305</v>
      </c>
      <c r="G16" s="528">
        <v>255305</v>
      </c>
      <c r="H16" s="529"/>
    </row>
    <row r="17" spans="1:8" s="530" customFormat="1" ht="24" hidden="1" customHeight="1">
      <c r="A17" s="524"/>
      <c r="B17" s="525"/>
      <c r="C17" s="1059"/>
      <c r="D17" s="1129"/>
      <c r="E17" s="412" t="s">
        <v>1</v>
      </c>
      <c r="F17" s="527">
        <v>0</v>
      </c>
      <c r="G17" s="528">
        <v>0</v>
      </c>
      <c r="H17" s="529"/>
    </row>
    <row r="18" spans="1:8" s="530" customFormat="1" ht="24" hidden="1" customHeight="1">
      <c r="A18" s="524"/>
      <c r="B18" s="525"/>
      <c r="C18" s="1060"/>
      <c r="D18" s="1130"/>
      <c r="E18" s="412" t="s">
        <v>2</v>
      </c>
      <c r="F18" s="527">
        <f>F16+F17</f>
        <v>255305</v>
      </c>
      <c r="G18" s="527">
        <f>G16+G17</f>
        <v>255305</v>
      </c>
      <c r="H18" s="529"/>
    </row>
    <row r="19" spans="1:8" s="530" customFormat="1" ht="15" hidden="1" customHeight="1">
      <c r="A19" s="524"/>
      <c r="B19" s="525"/>
      <c r="C19" s="1155" t="s">
        <v>879</v>
      </c>
      <c r="D19" s="1158" t="s">
        <v>644</v>
      </c>
      <c r="E19" s="531" t="s">
        <v>0</v>
      </c>
      <c r="F19" s="527">
        <v>162546</v>
      </c>
      <c r="G19" s="528">
        <v>162546</v>
      </c>
      <c r="H19" s="529"/>
    </row>
    <row r="20" spans="1:8" s="530" customFormat="1" ht="15" hidden="1" customHeight="1">
      <c r="A20" s="524"/>
      <c r="B20" s="525"/>
      <c r="C20" s="1059"/>
      <c r="D20" s="1129"/>
      <c r="E20" s="412" t="s">
        <v>1</v>
      </c>
      <c r="F20" s="527">
        <v>0</v>
      </c>
      <c r="G20" s="528">
        <v>0</v>
      </c>
      <c r="H20" s="529"/>
    </row>
    <row r="21" spans="1:8" s="530" customFormat="1" ht="15" hidden="1" customHeight="1">
      <c r="A21" s="524"/>
      <c r="B21" s="525"/>
      <c r="C21" s="1060"/>
      <c r="D21" s="1130"/>
      <c r="E21" s="412" t="s">
        <v>2</v>
      </c>
      <c r="F21" s="527">
        <f>F19+F20</f>
        <v>162546</v>
      </c>
      <c r="G21" s="527">
        <f>G19+G20</f>
        <v>162546</v>
      </c>
      <c r="H21" s="529"/>
    </row>
    <row r="22" spans="1:8" s="530" customFormat="1" ht="24" hidden="1" customHeight="1">
      <c r="A22" s="524"/>
      <c r="B22" s="525"/>
      <c r="C22" s="1155" t="s">
        <v>880</v>
      </c>
      <c r="D22" s="1158" t="s">
        <v>644</v>
      </c>
      <c r="E22" s="531" t="s">
        <v>0</v>
      </c>
      <c r="F22" s="527">
        <v>36065</v>
      </c>
      <c r="G22" s="528">
        <v>36065</v>
      </c>
      <c r="H22" s="529"/>
    </row>
    <row r="23" spans="1:8" s="530" customFormat="1" ht="24" hidden="1" customHeight="1">
      <c r="A23" s="524"/>
      <c r="B23" s="525"/>
      <c r="C23" s="1059"/>
      <c r="D23" s="1129"/>
      <c r="E23" s="412" t="s">
        <v>1</v>
      </c>
      <c r="F23" s="527">
        <v>0</v>
      </c>
      <c r="G23" s="528">
        <v>0</v>
      </c>
      <c r="H23" s="529"/>
    </row>
    <row r="24" spans="1:8" s="530" customFormat="1" ht="24" hidden="1" customHeight="1">
      <c r="A24" s="524"/>
      <c r="B24" s="525"/>
      <c r="C24" s="1060"/>
      <c r="D24" s="1130"/>
      <c r="E24" s="412" t="s">
        <v>2</v>
      </c>
      <c r="F24" s="527">
        <f>F22+F23</f>
        <v>36065</v>
      </c>
      <c r="G24" s="527">
        <f>G22+G23</f>
        <v>36065</v>
      </c>
      <c r="H24" s="529"/>
    </row>
    <row r="25" spans="1:8" s="530" customFormat="1" ht="15" hidden="1" customHeight="1">
      <c r="A25" s="524"/>
      <c r="B25" s="532">
        <v>60013</v>
      </c>
      <c r="C25" s="1155" t="s">
        <v>881</v>
      </c>
      <c r="D25" s="1158" t="s">
        <v>494</v>
      </c>
      <c r="E25" s="531" t="s">
        <v>0</v>
      </c>
      <c r="F25" s="527">
        <v>264451</v>
      </c>
      <c r="G25" s="528">
        <v>264451</v>
      </c>
      <c r="H25" s="529"/>
    </row>
    <row r="26" spans="1:8" s="530" customFormat="1" ht="15" hidden="1" customHeight="1">
      <c r="A26" s="524"/>
      <c r="B26" s="525"/>
      <c r="C26" s="1059"/>
      <c r="D26" s="1129"/>
      <c r="E26" s="412" t="s">
        <v>1</v>
      </c>
      <c r="F26" s="527">
        <v>0</v>
      </c>
      <c r="G26" s="528">
        <v>0</v>
      </c>
      <c r="H26" s="529"/>
    </row>
    <row r="27" spans="1:8" s="530" customFormat="1" ht="15" hidden="1" customHeight="1">
      <c r="A27" s="524"/>
      <c r="B27" s="525"/>
      <c r="C27" s="1060"/>
      <c r="D27" s="1130"/>
      <c r="E27" s="412" t="s">
        <v>2</v>
      </c>
      <c r="F27" s="527">
        <f>F25+F26</f>
        <v>264451</v>
      </c>
      <c r="G27" s="527">
        <f>G25+G26</f>
        <v>264451</v>
      </c>
      <c r="H27" s="529"/>
    </row>
    <row r="28" spans="1:8" s="530" customFormat="1" ht="15" customHeight="1">
      <c r="A28" s="524">
        <v>600</v>
      </c>
      <c r="B28" s="525">
        <v>60013</v>
      </c>
      <c r="C28" s="1155" t="s">
        <v>882</v>
      </c>
      <c r="D28" s="1158" t="s">
        <v>491</v>
      </c>
      <c r="E28" s="531" t="s">
        <v>0</v>
      </c>
      <c r="F28" s="527">
        <v>354240</v>
      </c>
      <c r="G28" s="528">
        <v>377856</v>
      </c>
      <c r="H28" s="529"/>
    </row>
    <row r="29" spans="1:8" s="530" customFormat="1" ht="15" customHeight="1">
      <c r="A29" s="524"/>
      <c r="B29" s="525"/>
      <c r="C29" s="1059"/>
      <c r="D29" s="1129"/>
      <c r="E29" s="412" t="s">
        <v>1</v>
      </c>
      <c r="F29" s="527">
        <v>0</v>
      </c>
      <c r="G29" s="528">
        <v>118080</v>
      </c>
      <c r="H29" s="529"/>
    </row>
    <row r="30" spans="1:8" s="530" customFormat="1" ht="15" customHeight="1">
      <c r="A30" s="524"/>
      <c r="B30" s="525"/>
      <c r="C30" s="1060"/>
      <c r="D30" s="1130"/>
      <c r="E30" s="412" t="s">
        <v>2</v>
      </c>
      <c r="F30" s="527">
        <f>F28+F29</f>
        <v>354240</v>
      </c>
      <c r="G30" s="527">
        <f>G28+G29</f>
        <v>495936</v>
      </c>
      <c r="H30" s="529"/>
    </row>
    <row r="31" spans="1:8" s="530" customFormat="1" ht="15" hidden="1" customHeight="1">
      <c r="A31" s="524"/>
      <c r="B31" s="525"/>
      <c r="C31" s="1155" t="s">
        <v>883</v>
      </c>
      <c r="D31" s="1158" t="s">
        <v>493</v>
      </c>
      <c r="E31" s="531" t="s">
        <v>0</v>
      </c>
      <c r="F31" s="527">
        <v>326360</v>
      </c>
      <c r="G31" s="528">
        <v>326360</v>
      </c>
      <c r="H31" s="529"/>
    </row>
    <row r="32" spans="1:8" s="530" customFormat="1" ht="15" hidden="1" customHeight="1">
      <c r="A32" s="524"/>
      <c r="B32" s="525"/>
      <c r="C32" s="1059"/>
      <c r="D32" s="1129"/>
      <c r="E32" s="412" t="s">
        <v>1</v>
      </c>
      <c r="F32" s="527">
        <v>0</v>
      </c>
      <c r="G32" s="528">
        <v>0</v>
      </c>
      <c r="H32" s="529"/>
    </row>
    <row r="33" spans="1:8" s="530" customFormat="1" ht="15" hidden="1" customHeight="1">
      <c r="A33" s="524"/>
      <c r="B33" s="525"/>
      <c r="C33" s="1060"/>
      <c r="D33" s="1130"/>
      <c r="E33" s="412" t="s">
        <v>2</v>
      </c>
      <c r="F33" s="527">
        <f>F31+F32</f>
        <v>326360</v>
      </c>
      <c r="G33" s="527">
        <f>G31+G32</f>
        <v>326360</v>
      </c>
      <c r="H33" s="529"/>
    </row>
    <row r="34" spans="1:8" s="530" customFormat="1" ht="15" customHeight="1">
      <c r="A34" s="524"/>
      <c r="B34" s="525"/>
      <c r="C34" s="1155" t="s">
        <v>884</v>
      </c>
      <c r="D34" s="1158" t="s">
        <v>492</v>
      </c>
      <c r="E34" s="531" t="s">
        <v>0</v>
      </c>
      <c r="F34" s="527">
        <v>112744</v>
      </c>
      <c r="G34" s="528">
        <v>112744</v>
      </c>
      <c r="H34" s="529"/>
    </row>
    <row r="35" spans="1:8" s="530" customFormat="1" ht="15" customHeight="1">
      <c r="A35" s="524"/>
      <c r="B35" s="525"/>
      <c r="C35" s="1059"/>
      <c r="D35" s="1129"/>
      <c r="E35" s="412" t="s">
        <v>1</v>
      </c>
      <c r="F35" s="527">
        <v>0</v>
      </c>
      <c r="G35" s="528">
        <v>56372</v>
      </c>
      <c r="H35" s="529"/>
    </row>
    <row r="36" spans="1:8" s="530" customFormat="1" ht="15" customHeight="1">
      <c r="A36" s="524"/>
      <c r="B36" s="525"/>
      <c r="C36" s="1060"/>
      <c r="D36" s="1130"/>
      <c r="E36" s="412" t="s">
        <v>2</v>
      </c>
      <c r="F36" s="527">
        <f>F34+F35</f>
        <v>112744</v>
      </c>
      <c r="G36" s="527">
        <f>G34+G35</f>
        <v>169116</v>
      </c>
      <c r="H36" s="529"/>
    </row>
    <row r="37" spans="1:8" s="530" customFormat="1" ht="15" customHeight="1">
      <c r="A37" s="533"/>
      <c r="B37" s="525"/>
      <c r="C37" s="1155" t="s">
        <v>885</v>
      </c>
      <c r="D37" s="1158" t="s">
        <v>488</v>
      </c>
      <c r="E37" s="531" t="s">
        <v>0</v>
      </c>
      <c r="F37" s="527">
        <v>0</v>
      </c>
      <c r="G37" s="528">
        <v>0</v>
      </c>
      <c r="H37" s="529"/>
    </row>
    <row r="38" spans="1:8" s="530" customFormat="1" ht="15" customHeight="1">
      <c r="A38" s="533"/>
      <c r="B38" s="525"/>
      <c r="C38" s="1059"/>
      <c r="D38" s="1129"/>
      <c r="E38" s="412" t="s">
        <v>1</v>
      </c>
      <c r="F38" s="527">
        <v>175583</v>
      </c>
      <c r="G38" s="528">
        <v>364528</v>
      </c>
      <c r="H38" s="529"/>
    </row>
    <row r="39" spans="1:8" s="530" customFormat="1" ht="15" customHeight="1">
      <c r="A39" s="533"/>
      <c r="B39" s="525"/>
      <c r="C39" s="1060"/>
      <c r="D39" s="1130"/>
      <c r="E39" s="412" t="s">
        <v>2</v>
      </c>
      <c r="F39" s="527">
        <f>F37+F38</f>
        <v>175583</v>
      </c>
      <c r="G39" s="527">
        <f>G37+G38</f>
        <v>364528</v>
      </c>
      <c r="H39" s="529"/>
    </row>
    <row r="40" spans="1:8" s="530" customFormat="1" ht="15" customHeight="1">
      <c r="A40" s="524"/>
      <c r="B40" s="525"/>
      <c r="C40" s="1155" t="s">
        <v>886</v>
      </c>
      <c r="D40" s="1158" t="s">
        <v>490</v>
      </c>
      <c r="E40" s="531" t="s">
        <v>0</v>
      </c>
      <c r="F40" s="527">
        <v>786380</v>
      </c>
      <c r="G40" s="528">
        <v>1179570</v>
      </c>
      <c r="H40" s="529"/>
    </row>
    <row r="41" spans="1:8" s="530" customFormat="1" ht="15" customHeight="1">
      <c r="A41" s="524"/>
      <c r="B41" s="525"/>
      <c r="C41" s="1059"/>
      <c r="D41" s="1129"/>
      <c r="E41" s="412" t="s">
        <v>1</v>
      </c>
      <c r="F41" s="527">
        <v>83558</v>
      </c>
      <c r="G41" s="528">
        <v>125337</v>
      </c>
      <c r="H41" s="529"/>
    </row>
    <row r="42" spans="1:8" s="530" customFormat="1" ht="15" customHeight="1">
      <c r="A42" s="524"/>
      <c r="B42" s="525"/>
      <c r="C42" s="1060"/>
      <c r="D42" s="1130"/>
      <c r="E42" s="412" t="s">
        <v>2</v>
      </c>
      <c r="F42" s="527">
        <f>F40+F41</f>
        <v>869938</v>
      </c>
      <c r="G42" s="527">
        <f>G40+G41</f>
        <v>1304907</v>
      </c>
      <c r="H42" s="529"/>
    </row>
    <row r="43" spans="1:8" s="530" customFormat="1" ht="15" hidden="1" customHeight="1">
      <c r="A43" s="533"/>
      <c r="B43" s="525"/>
      <c r="C43" s="1155" t="s">
        <v>887</v>
      </c>
      <c r="D43" s="1158" t="s">
        <v>472</v>
      </c>
      <c r="E43" s="531" t="s">
        <v>0</v>
      </c>
      <c r="F43" s="527">
        <v>2617535</v>
      </c>
      <c r="G43" s="528">
        <v>6817535</v>
      </c>
      <c r="H43" s="529"/>
    </row>
    <row r="44" spans="1:8" s="530" customFormat="1" ht="15" hidden="1" customHeight="1">
      <c r="A44" s="533"/>
      <c r="B44" s="525"/>
      <c r="C44" s="1059"/>
      <c r="D44" s="1129"/>
      <c r="E44" s="412" t="s">
        <v>1</v>
      </c>
      <c r="F44" s="527">
        <v>0</v>
      </c>
      <c r="G44" s="528">
        <v>0</v>
      </c>
      <c r="H44" s="529"/>
    </row>
    <row r="45" spans="1:8" s="530" customFormat="1" ht="15" hidden="1" customHeight="1">
      <c r="A45" s="533"/>
      <c r="B45" s="525"/>
      <c r="C45" s="1059"/>
      <c r="D45" s="1129"/>
      <c r="E45" s="470" t="s">
        <v>2</v>
      </c>
      <c r="F45" s="534">
        <f>F43+F44</f>
        <v>2617535</v>
      </c>
      <c r="G45" s="534">
        <f>G43+G44</f>
        <v>6817535</v>
      </c>
      <c r="H45" s="529"/>
    </row>
    <row r="46" spans="1:8" s="530" customFormat="1" ht="18.95" customHeight="1">
      <c r="A46" s="533"/>
      <c r="B46" s="525"/>
      <c r="C46" s="1155" t="s">
        <v>887</v>
      </c>
      <c r="D46" s="1158" t="s">
        <v>888</v>
      </c>
      <c r="E46" s="531" t="s">
        <v>0</v>
      </c>
      <c r="F46" s="527">
        <v>0</v>
      </c>
      <c r="G46" s="528">
        <v>0</v>
      </c>
      <c r="H46" s="529"/>
    </row>
    <row r="47" spans="1:8" s="530" customFormat="1" ht="18.95" customHeight="1">
      <c r="A47" s="533"/>
      <c r="B47" s="525"/>
      <c r="C47" s="1161"/>
      <c r="D47" s="1147"/>
      <c r="E47" s="531" t="s">
        <v>1</v>
      </c>
      <c r="F47" s="527">
        <v>201215</v>
      </c>
      <c r="G47" s="528">
        <v>201215</v>
      </c>
      <c r="H47" s="529"/>
    </row>
    <row r="48" spans="1:8" s="530" customFormat="1" ht="18.95" customHeight="1">
      <c r="A48" s="533"/>
      <c r="B48" s="525"/>
      <c r="C48" s="1162"/>
      <c r="D48" s="1148"/>
      <c r="E48" s="531" t="s">
        <v>2</v>
      </c>
      <c r="F48" s="527">
        <f>F46+F47</f>
        <v>201215</v>
      </c>
      <c r="G48" s="527">
        <f>G46+G47</f>
        <v>201215</v>
      </c>
      <c r="H48" s="529"/>
    </row>
    <row r="49" spans="1:10" s="434" customFormat="1" ht="15" hidden="1" customHeight="1">
      <c r="A49" s="1163"/>
      <c r="B49" s="1163"/>
      <c r="C49" s="1155" t="s">
        <v>889</v>
      </c>
      <c r="D49" s="1128" t="s">
        <v>890</v>
      </c>
      <c r="E49" s="501" t="s">
        <v>0</v>
      </c>
      <c r="F49" s="535">
        <v>30295</v>
      </c>
      <c r="G49" s="536">
        <v>30295</v>
      </c>
      <c r="H49" s="504"/>
    </row>
    <row r="50" spans="1:10" s="434" customFormat="1" ht="15" hidden="1" customHeight="1">
      <c r="A50" s="1163"/>
      <c r="B50" s="1163"/>
      <c r="C50" s="1059"/>
      <c r="D50" s="1147"/>
      <c r="E50" s="501" t="s">
        <v>1</v>
      </c>
      <c r="F50" s="535">
        <v>0</v>
      </c>
      <c r="G50" s="536">
        <v>0</v>
      </c>
      <c r="H50" s="504"/>
      <c r="J50" s="537"/>
    </row>
    <row r="51" spans="1:10" s="434" customFormat="1" ht="15" hidden="1" customHeight="1">
      <c r="A51" s="1163"/>
      <c r="B51" s="1163"/>
      <c r="C51" s="1059"/>
      <c r="D51" s="1147"/>
      <c r="E51" s="538" t="s">
        <v>2</v>
      </c>
      <c r="F51" s="539">
        <f>F49+F50</f>
        <v>30295</v>
      </c>
      <c r="G51" s="540">
        <f>G49+G50</f>
        <v>30295</v>
      </c>
      <c r="H51" s="504"/>
    </row>
    <row r="52" spans="1:10" s="530" customFormat="1" ht="15" hidden="1" customHeight="1">
      <c r="A52" s="533"/>
      <c r="B52" s="525"/>
      <c r="C52" s="1155" t="s">
        <v>891</v>
      </c>
      <c r="D52" s="1158" t="s">
        <v>892</v>
      </c>
      <c r="E52" s="531" t="s">
        <v>0</v>
      </c>
      <c r="F52" s="527">
        <v>1004469</v>
      </c>
      <c r="G52" s="528">
        <v>1674114</v>
      </c>
      <c r="H52" s="529"/>
    </row>
    <row r="53" spans="1:10" s="530" customFormat="1" ht="15" hidden="1" customHeight="1">
      <c r="A53" s="533"/>
      <c r="B53" s="525"/>
      <c r="C53" s="1156"/>
      <c r="D53" s="1159"/>
      <c r="E53" s="412" t="s">
        <v>1</v>
      </c>
      <c r="F53" s="527">
        <v>0</v>
      </c>
      <c r="G53" s="528">
        <v>0</v>
      </c>
      <c r="H53" s="529"/>
    </row>
    <row r="54" spans="1:10" s="530" customFormat="1" ht="15" hidden="1" customHeight="1">
      <c r="A54" s="541"/>
      <c r="B54" s="542"/>
      <c r="C54" s="1157"/>
      <c r="D54" s="1160"/>
      <c r="E54" s="412" t="s">
        <v>2</v>
      </c>
      <c r="F54" s="527">
        <f>F52+F53</f>
        <v>1004469</v>
      </c>
      <c r="G54" s="527">
        <f>G52+G53</f>
        <v>1674114</v>
      </c>
      <c r="H54" s="529"/>
    </row>
    <row r="55" spans="1:10" s="434" customFormat="1" ht="15" hidden="1" customHeight="1">
      <c r="A55" s="500" t="s">
        <v>59</v>
      </c>
      <c r="B55" s="500" t="s">
        <v>237</v>
      </c>
      <c r="C55" s="1127" t="s">
        <v>893</v>
      </c>
      <c r="D55" s="1128" t="s">
        <v>894</v>
      </c>
      <c r="E55" s="543" t="s">
        <v>0</v>
      </c>
      <c r="F55" s="502">
        <v>850000</v>
      </c>
      <c r="G55" s="503">
        <v>850000</v>
      </c>
      <c r="H55" s="504"/>
    </row>
    <row r="56" spans="1:10" s="434" customFormat="1" ht="15" hidden="1" customHeight="1">
      <c r="A56" s="505"/>
      <c r="B56" s="505"/>
      <c r="C56" s="1059"/>
      <c r="D56" s="1129"/>
      <c r="E56" s="412" t="s">
        <v>1</v>
      </c>
      <c r="F56" s="502">
        <v>0</v>
      </c>
      <c r="G56" s="503">
        <v>0</v>
      </c>
      <c r="H56" s="504"/>
    </row>
    <row r="57" spans="1:10" s="434" customFormat="1" ht="15" hidden="1" customHeight="1">
      <c r="A57" s="507"/>
      <c r="B57" s="507"/>
      <c r="C57" s="1060"/>
      <c r="D57" s="1130"/>
      <c r="E57" s="412" t="s">
        <v>2</v>
      </c>
      <c r="F57" s="527">
        <f>F55+F56</f>
        <v>850000</v>
      </c>
      <c r="G57" s="527">
        <f>G55+G56</f>
        <v>850000</v>
      </c>
      <c r="H57" s="504"/>
    </row>
    <row r="58" spans="1:10" s="434" customFormat="1" ht="15" hidden="1" customHeight="1">
      <c r="A58" s="500" t="s">
        <v>25</v>
      </c>
      <c r="B58" s="500" t="s">
        <v>763</v>
      </c>
      <c r="C58" s="1127" t="s">
        <v>893</v>
      </c>
      <c r="D58" s="1128" t="s">
        <v>895</v>
      </c>
      <c r="E58" s="543" t="s">
        <v>0</v>
      </c>
      <c r="F58" s="502">
        <v>76000</v>
      </c>
      <c r="G58" s="503">
        <v>550000</v>
      </c>
      <c r="H58" s="504"/>
    </row>
    <row r="59" spans="1:10" s="434" customFormat="1" ht="15" hidden="1" customHeight="1">
      <c r="A59" s="505"/>
      <c r="B59" s="505"/>
      <c r="C59" s="1059"/>
      <c r="D59" s="1129"/>
      <c r="E59" s="412" t="s">
        <v>1</v>
      </c>
      <c r="F59" s="502">
        <v>0</v>
      </c>
      <c r="G59" s="503">
        <v>0</v>
      </c>
      <c r="H59" s="504"/>
    </row>
    <row r="60" spans="1:10" s="434" customFormat="1" ht="15" hidden="1" customHeight="1">
      <c r="A60" s="507"/>
      <c r="B60" s="507"/>
      <c r="C60" s="1060"/>
      <c r="D60" s="1130"/>
      <c r="E60" s="412" t="s">
        <v>2</v>
      </c>
      <c r="F60" s="527">
        <f>F58+F59</f>
        <v>76000</v>
      </c>
      <c r="G60" s="527">
        <f>G58+G59</f>
        <v>550000</v>
      </c>
      <c r="H60" s="504"/>
    </row>
    <row r="61" spans="1:10" s="434" customFormat="1" ht="15" customHeight="1">
      <c r="A61" s="500" t="s">
        <v>67</v>
      </c>
      <c r="B61" s="1152" t="s">
        <v>896</v>
      </c>
      <c r="C61" s="1127" t="s">
        <v>897</v>
      </c>
      <c r="D61" s="1128" t="s">
        <v>898</v>
      </c>
      <c r="E61" s="543" t="s">
        <v>0</v>
      </c>
      <c r="F61" s="502">
        <v>0</v>
      </c>
      <c r="G61" s="503">
        <v>0</v>
      </c>
      <c r="H61" s="504"/>
    </row>
    <row r="62" spans="1:10" s="434" customFormat="1" ht="15" customHeight="1">
      <c r="A62" s="505"/>
      <c r="B62" s="1153"/>
      <c r="C62" s="1059"/>
      <c r="D62" s="1129"/>
      <c r="E62" s="412" t="s">
        <v>1</v>
      </c>
      <c r="F62" s="502">
        <v>340000</v>
      </c>
      <c r="G62" s="503">
        <v>1190000</v>
      </c>
      <c r="H62" s="504"/>
    </row>
    <row r="63" spans="1:10" s="434" customFormat="1" ht="15" customHeight="1">
      <c r="A63" s="505"/>
      <c r="B63" s="1154"/>
      <c r="C63" s="1060"/>
      <c r="D63" s="1130"/>
      <c r="E63" s="412" t="s">
        <v>2</v>
      </c>
      <c r="F63" s="527">
        <f>F61+F62</f>
        <v>340000</v>
      </c>
      <c r="G63" s="527">
        <f>G61+G62</f>
        <v>1190000</v>
      </c>
      <c r="H63" s="504"/>
    </row>
    <row r="64" spans="1:10" s="434" customFormat="1" ht="15" customHeight="1">
      <c r="A64" s="505"/>
      <c r="B64" s="1152" t="s">
        <v>896</v>
      </c>
      <c r="C64" s="1127" t="s">
        <v>897</v>
      </c>
      <c r="D64" s="1128" t="s">
        <v>899</v>
      </c>
      <c r="E64" s="543" t="s">
        <v>0</v>
      </c>
      <c r="F64" s="502">
        <v>0</v>
      </c>
      <c r="G64" s="503">
        <v>0</v>
      </c>
      <c r="H64" s="504"/>
    </row>
    <row r="65" spans="1:8" s="434" customFormat="1" ht="15" customHeight="1">
      <c r="A65" s="505"/>
      <c r="B65" s="1153"/>
      <c r="C65" s="1059"/>
      <c r="D65" s="1129"/>
      <c r="E65" s="412" t="s">
        <v>1</v>
      </c>
      <c r="F65" s="502">
        <v>260000</v>
      </c>
      <c r="G65" s="503">
        <v>1010000</v>
      </c>
      <c r="H65" s="504"/>
    </row>
    <row r="66" spans="1:8" s="434" customFormat="1" ht="15" customHeight="1">
      <c r="A66" s="505"/>
      <c r="B66" s="1154"/>
      <c r="C66" s="1060"/>
      <c r="D66" s="1130"/>
      <c r="E66" s="412" t="s">
        <v>2</v>
      </c>
      <c r="F66" s="527">
        <f>F64+F65</f>
        <v>260000</v>
      </c>
      <c r="G66" s="527">
        <f>G64+G65</f>
        <v>1010000</v>
      </c>
      <c r="H66" s="504"/>
    </row>
    <row r="67" spans="1:8" s="434" customFormat="1" ht="15" customHeight="1">
      <c r="A67" s="505"/>
      <c r="B67" s="1152" t="s">
        <v>900</v>
      </c>
      <c r="C67" s="1127" t="s">
        <v>897</v>
      </c>
      <c r="D67" s="1128" t="s">
        <v>901</v>
      </c>
      <c r="E67" s="543" t="s">
        <v>0</v>
      </c>
      <c r="F67" s="502">
        <v>0</v>
      </c>
      <c r="G67" s="503">
        <v>0</v>
      </c>
      <c r="H67" s="504"/>
    </row>
    <row r="68" spans="1:8" s="434" customFormat="1" ht="15" customHeight="1">
      <c r="A68" s="505"/>
      <c r="B68" s="1153"/>
      <c r="C68" s="1059"/>
      <c r="D68" s="1129"/>
      <c r="E68" s="412" t="s">
        <v>1</v>
      </c>
      <c r="F68" s="502">
        <v>40000</v>
      </c>
      <c r="G68" s="503">
        <v>80000</v>
      </c>
      <c r="H68" s="504"/>
    </row>
    <row r="69" spans="1:8" s="434" customFormat="1" ht="15" customHeight="1">
      <c r="A69" s="505"/>
      <c r="B69" s="1154"/>
      <c r="C69" s="1060"/>
      <c r="D69" s="1130"/>
      <c r="E69" s="412" t="s">
        <v>2</v>
      </c>
      <c r="F69" s="527">
        <f>F67+F68</f>
        <v>40000</v>
      </c>
      <c r="G69" s="527">
        <f>G67+G68</f>
        <v>80000</v>
      </c>
      <c r="H69" s="504"/>
    </row>
    <row r="70" spans="1:8" s="434" customFormat="1" ht="15" hidden="1" customHeight="1">
      <c r="A70" s="505"/>
      <c r="B70" s="1149" t="s">
        <v>410</v>
      </c>
      <c r="C70" s="1127" t="s">
        <v>897</v>
      </c>
      <c r="D70" s="1128" t="s">
        <v>528</v>
      </c>
      <c r="E70" s="543" t="s">
        <v>0</v>
      </c>
      <c r="F70" s="502">
        <v>44182884</v>
      </c>
      <c r="G70" s="503">
        <v>82185602</v>
      </c>
      <c r="H70" s="504"/>
    </row>
    <row r="71" spans="1:8" s="434" customFormat="1" ht="15" hidden="1" customHeight="1">
      <c r="A71" s="505"/>
      <c r="B71" s="1150"/>
      <c r="C71" s="1059"/>
      <c r="D71" s="1129"/>
      <c r="E71" s="412" t="s">
        <v>1</v>
      </c>
      <c r="F71" s="502">
        <v>0</v>
      </c>
      <c r="G71" s="503">
        <v>0</v>
      </c>
      <c r="H71" s="504"/>
    </row>
    <row r="72" spans="1:8" s="434" customFormat="1" ht="15" hidden="1" customHeight="1">
      <c r="A72" s="505"/>
      <c r="B72" s="1151"/>
      <c r="C72" s="1060"/>
      <c r="D72" s="1130"/>
      <c r="E72" s="412" t="s">
        <v>2</v>
      </c>
      <c r="F72" s="527">
        <f>F70+F71</f>
        <v>44182884</v>
      </c>
      <c r="G72" s="527">
        <f>G70+G71</f>
        <v>82185602</v>
      </c>
      <c r="H72" s="504"/>
    </row>
    <row r="73" spans="1:8" s="434" customFormat="1" ht="15" hidden="1" customHeight="1">
      <c r="A73" s="505"/>
      <c r="B73" s="1149" t="s">
        <v>418</v>
      </c>
      <c r="C73" s="1127" t="s">
        <v>902</v>
      </c>
      <c r="D73" s="1128" t="s">
        <v>903</v>
      </c>
      <c r="E73" s="543" t="s">
        <v>0</v>
      </c>
      <c r="F73" s="502">
        <v>90293</v>
      </c>
      <c r="G73" s="503">
        <v>1609000</v>
      </c>
      <c r="H73" s="504"/>
    </row>
    <row r="74" spans="1:8" s="434" customFormat="1" ht="15" hidden="1" customHeight="1">
      <c r="A74" s="505"/>
      <c r="B74" s="1150"/>
      <c r="C74" s="1059"/>
      <c r="D74" s="1129"/>
      <c r="E74" s="412" t="s">
        <v>1</v>
      </c>
      <c r="F74" s="502">
        <v>0</v>
      </c>
      <c r="G74" s="503">
        <v>0</v>
      </c>
      <c r="H74" s="504"/>
    </row>
    <row r="75" spans="1:8" s="434" customFormat="1" ht="15" hidden="1" customHeight="1">
      <c r="A75" s="505"/>
      <c r="B75" s="1151"/>
      <c r="C75" s="1060"/>
      <c r="D75" s="1130"/>
      <c r="E75" s="412" t="s">
        <v>2</v>
      </c>
      <c r="F75" s="527">
        <f>F73+F74</f>
        <v>90293</v>
      </c>
      <c r="G75" s="527">
        <f>G73+G74</f>
        <v>1609000</v>
      </c>
      <c r="H75" s="504"/>
    </row>
    <row r="76" spans="1:8" s="434" customFormat="1" ht="15" customHeight="1">
      <c r="A76" s="505"/>
      <c r="B76" s="500" t="s">
        <v>428</v>
      </c>
      <c r="C76" s="1127" t="s">
        <v>897</v>
      </c>
      <c r="D76" s="1128" t="s">
        <v>904</v>
      </c>
      <c r="E76" s="543" t="s">
        <v>0</v>
      </c>
      <c r="F76" s="502">
        <v>2806451</v>
      </c>
      <c r="G76" s="503">
        <v>18449498</v>
      </c>
      <c r="H76" s="504"/>
    </row>
    <row r="77" spans="1:8" s="434" customFormat="1" ht="15" customHeight="1">
      <c r="A77" s="505"/>
      <c r="B77" s="505"/>
      <c r="C77" s="1059"/>
      <c r="D77" s="1129"/>
      <c r="E77" s="412" t="s">
        <v>1</v>
      </c>
      <c r="F77" s="502">
        <v>0</v>
      </c>
      <c r="G77" s="503">
        <v>356233</v>
      </c>
      <c r="H77" s="504"/>
    </row>
    <row r="78" spans="1:8" s="434" customFormat="1" ht="15" customHeight="1">
      <c r="A78" s="507"/>
      <c r="B78" s="507"/>
      <c r="C78" s="1060"/>
      <c r="D78" s="1130"/>
      <c r="E78" s="412" t="s">
        <v>2</v>
      </c>
      <c r="F78" s="527">
        <f>F76+F77</f>
        <v>2806451</v>
      </c>
      <c r="G78" s="527">
        <f>G76+G77</f>
        <v>18805731</v>
      </c>
      <c r="H78" s="504"/>
    </row>
    <row r="79" spans="1:8" s="434" customFormat="1" ht="15" hidden="1" customHeight="1">
      <c r="A79" s="505"/>
      <c r="B79" s="505"/>
      <c r="C79" s="1127" t="s">
        <v>905</v>
      </c>
      <c r="D79" s="1128" t="s">
        <v>906</v>
      </c>
      <c r="E79" s="543" t="s">
        <v>0</v>
      </c>
      <c r="F79" s="502">
        <v>2100000</v>
      </c>
      <c r="G79" s="503">
        <v>19152000</v>
      </c>
      <c r="H79" s="504"/>
    </row>
    <row r="80" spans="1:8" s="434" customFormat="1" ht="15" hidden="1" customHeight="1">
      <c r="A80" s="505"/>
      <c r="B80" s="505"/>
      <c r="C80" s="1059"/>
      <c r="D80" s="1129"/>
      <c r="E80" s="412" t="s">
        <v>1</v>
      </c>
      <c r="F80" s="502">
        <v>0</v>
      </c>
      <c r="G80" s="503">
        <v>0</v>
      </c>
      <c r="H80" s="504"/>
    </row>
    <row r="81" spans="1:14" s="434" customFormat="1" ht="15" hidden="1" customHeight="1">
      <c r="A81" s="507"/>
      <c r="B81" s="507"/>
      <c r="C81" s="1060"/>
      <c r="D81" s="1130"/>
      <c r="E81" s="412" t="s">
        <v>2</v>
      </c>
      <c r="F81" s="527">
        <f>F79+F80</f>
        <v>2100000</v>
      </c>
      <c r="G81" s="527">
        <f>G79+G80</f>
        <v>19152000</v>
      </c>
      <c r="H81" s="504"/>
    </row>
    <row r="82" spans="1:14" s="434" customFormat="1" ht="15" hidden="1" customHeight="1">
      <c r="A82" s="505"/>
      <c r="B82" s="500" t="s">
        <v>443</v>
      </c>
      <c r="C82" s="1127" t="s">
        <v>897</v>
      </c>
      <c r="D82" s="1128" t="s">
        <v>907</v>
      </c>
      <c r="E82" s="543" t="s">
        <v>0</v>
      </c>
      <c r="F82" s="502">
        <v>258785</v>
      </c>
      <c r="G82" s="503">
        <v>258785</v>
      </c>
      <c r="H82" s="504"/>
    </row>
    <row r="83" spans="1:14" s="434" customFormat="1" ht="15" hidden="1" customHeight="1">
      <c r="A83" s="370"/>
      <c r="B83" s="370"/>
      <c r="C83" s="1059"/>
      <c r="D83" s="1147"/>
      <c r="E83" s="412" t="s">
        <v>1</v>
      </c>
      <c r="F83" s="502">
        <v>0</v>
      </c>
      <c r="G83" s="503">
        <v>0</v>
      </c>
      <c r="H83" s="504"/>
    </row>
    <row r="84" spans="1:14" s="434" customFormat="1" ht="15" hidden="1" customHeight="1">
      <c r="A84" s="373"/>
      <c r="B84" s="373"/>
      <c r="C84" s="1060"/>
      <c r="D84" s="1148"/>
      <c r="E84" s="412" t="s">
        <v>2</v>
      </c>
      <c r="F84" s="503">
        <f>F82+F83</f>
        <v>258785</v>
      </c>
      <c r="G84" s="503">
        <f>G82+G83</f>
        <v>258785</v>
      </c>
      <c r="H84" s="504"/>
    </row>
    <row r="85" spans="1:14" ht="12" customHeight="1">
      <c r="A85" s="508" t="s">
        <v>94</v>
      </c>
      <c r="B85" s="544"/>
      <c r="D85" s="544"/>
      <c r="E85" s="544"/>
      <c r="F85" s="484"/>
      <c r="I85" s="509"/>
      <c r="J85" s="509"/>
      <c r="K85" s="509"/>
      <c r="L85" s="509"/>
      <c r="M85" s="509"/>
      <c r="N85" s="509"/>
    </row>
    <row r="86" spans="1:14" ht="12" customHeight="1">
      <c r="A86" s="508" t="s">
        <v>870</v>
      </c>
    </row>
    <row r="87" spans="1:14" ht="12" customHeight="1">
      <c r="A87" s="508" t="s">
        <v>871</v>
      </c>
    </row>
    <row r="88" spans="1:14" ht="12" customHeight="1">
      <c r="A88" s="508" t="s">
        <v>872</v>
      </c>
    </row>
    <row r="89" spans="1:14" s="434" customFormat="1" ht="30" customHeight="1">
      <c r="A89" s="545"/>
      <c r="B89" s="545"/>
      <c r="C89" s="504"/>
      <c r="D89" s="546"/>
      <c r="E89" s="547"/>
      <c r="F89" s="548"/>
      <c r="G89" s="549"/>
      <c r="H89" s="504"/>
    </row>
    <row r="90" spans="1:14" ht="24.75" customHeight="1"/>
    <row r="91" spans="1:14" s="516" customFormat="1" ht="21" customHeight="1">
      <c r="A91" s="482"/>
      <c r="B91" s="482"/>
      <c r="C91" s="484"/>
      <c r="D91" s="484"/>
      <c r="E91" s="483"/>
      <c r="F91" s="509"/>
      <c r="G91" s="515"/>
      <c r="H91" s="515"/>
    </row>
    <row r="93" spans="1:14" ht="9" customHeight="1"/>
    <row r="94" spans="1:14" s="433" customFormat="1" ht="35.25" customHeight="1">
      <c r="A94" s="482"/>
      <c r="B94" s="482"/>
      <c r="C94" s="484"/>
      <c r="D94" s="484"/>
      <c r="E94" s="483"/>
      <c r="F94" s="509"/>
    </row>
    <row r="95" spans="1:14" s="511" customFormat="1" ht="22.5" customHeight="1">
      <c r="A95" s="482"/>
      <c r="B95" s="482"/>
      <c r="C95" s="484"/>
      <c r="D95" s="484"/>
      <c r="E95" s="483"/>
      <c r="F95" s="509"/>
      <c r="G95" s="510"/>
      <c r="H95" s="510"/>
    </row>
    <row r="96" spans="1:14" ht="41.25" customHeight="1"/>
    <row r="97" spans="1:14" s="433" customFormat="1" ht="21.75" customHeight="1">
      <c r="A97" s="482"/>
      <c r="B97" s="482"/>
      <c r="C97" s="484"/>
      <c r="D97" s="484"/>
      <c r="E97" s="483"/>
      <c r="F97" s="509"/>
    </row>
    <row r="98" spans="1:14" ht="21.75" customHeight="1">
      <c r="G98" s="487"/>
      <c r="H98" s="487"/>
    </row>
    <row r="99" spans="1:14" ht="24.75" customHeight="1">
      <c r="G99" s="487"/>
      <c r="H99" s="487"/>
    </row>
    <row r="100" spans="1:14" ht="12" customHeight="1">
      <c r="G100" s="487"/>
      <c r="H100" s="487"/>
    </row>
    <row r="101" spans="1:14" s="519" customFormat="1" ht="30.75" customHeight="1">
      <c r="A101" s="482"/>
      <c r="B101" s="482"/>
      <c r="C101" s="484"/>
      <c r="D101" s="484"/>
      <c r="E101" s="483"/>
      <c r="F101" s="509"/>
    </row>
    <row r="102" spans="1:14" s="433" customFormat="1" ht="21.75" customHeight="1">
      <c r="A102" s="482"/>
      <c r="B102" s="482"/>
      <c r="C102" s="484"/>
      <c r="D102" s="484"/>
      <c r="E102" s="483"/>
      <c r="F102" s="509"/>
    </row>
    <row r="103" spans="1:14" s="520" customFormat="1" ht="21.75" customHeight="1">
      <c r="A103" s="482"/>
      <c r="B103" s="482"/>
      <c r="C103" s="484"/>
      <c r="D103" s="484"/>
      <c r="E103" s="483"/>
      <c r="F103" s="509"/>
    </row>
    <row r="104" spans="1:14" s="520" customFormat="1" ht="21.75" customHeight="1">
      <c r="A104" s="482"/>
      <c r="B104" s="482"/>
      <c r="C104" s="484"/>
      <c r="D104" s="484"/>
      <c r="E104" s="483"/>
      <c r="F104" s="509"/>
    </row>
    <row r="106" spans="1:14" s="369" customFormat="1" ht="24" customHeight="1">
      <c r="A106" s="482"/>
      <c r="B106" s="482"/>
      <c r="C106" s="484"/>
      <c r="D106" s="484"/>
      <c r="E106" s="483"/>
      <c r="F106" s="509"/>
      <c r="G106" s="491"/>
      <c r="H106" s="491"/>
    </row>
    <row r="107" spans="1:14" s="369" customFormat="1" ht="24" customHeight="1">
      <c r="A107" s="482"/>
      <c r="B107" s="482"/>
      <c r="C107" s="484"/>
      <c r="D107" s="484"/>
      <c r="E107" s="483"/>
      <c r="F107" s="509"/>
      <c r="G107" s="491"/>
      <c r="H107" s="491"/>
    </row>
    <row r="108" spans="1:14" s="353" customFormat="1" ht="24" customHeight="1">
      <c r="A108" s="482"/>
      <c r="B108" s="482"/>
      <c r="C108" s="484"/>
      <c r="D108" s="484"/>
      <c r="E108" s="483"/>
      <c r="F108" s="509"/>
      <c r="G108" s="364"/>
      <c r="H108" s="364"/>
    </row>
    <row r="109" spans="1:14" s="353" customFormat="1" ht="24" customHeight="1">
      <c r="A109" s="482"/>
      <c r="B109" s="482"/>
      <c r="C109" s="484"/>
      <c r="D109" s="484"/>
      <c r="E109" s="483"/>
      <c r="F109" s="509"/>
      <c r="G109" s="364"/>
      <c r="H109" s="364"/>
    </row>
    <row r="110" spans="1:14" s="369" customFormat="1" ht="21" customHeight="1">
      <c r="A110" s="482"/>
      <c r="B110" s="482"/>
      <c r="C110" s="484"/>
      <c r="D110" s="484"/>
      <c r="E110" s="483"/>
      <c r="F110" s="509"/>
      <c r="G110" s="491"/>
      <c r="H110" s="491"/>
    </row>
    <row r="111" spans="1:14" ht="19.5" customHeight="1"/>
    <row r="112" spans="1:14" s="482" customFormat="1" ht="21.75" customHeight="1">
      <c r="C112" s="484"/>
      <c r="D112" s="484"/>
      <c r="E112" s="483"/>
      <c r="F112" s="509"/>
      <c r="G112" s="484"/>
      <c r="H112" s="484"/>
      <c r="I112" s="487"/>
      <c r="J112" s="487"/>
      <c r="K112" s="487"/>
      <c r="L112" s="487"/>
      <c r="M112" s="487"/>
      <c r="N112" s="487"/>
    </row>
  </sheetData>
  <sheetProtection algorithmName="SHA-512" hashValue="vsdpqoAxxV/zYnIQcq6r0ykd0mLhErO95ba4jt9oaELIsoFSdvVojBRAu6gsx4QiUQJUnNnwI6TFyRBwi6/Mkg==" saltValue="kfZekKHfcm+Su/STnfUgtg==" spinCount="100000" sheet="1" objects="1" scenarios="1"/>
  <mergeCells count="67"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A12:G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34:C36"/>
    <mergeCell ref="D34:D36"/>
    <mergeCell ref="C37:C39"/>
    <mergeCell ref="D37:D39"/>
    <mergeCell ref="C40:C42"/>
    <mergeCell ref="D40:D42"/>
    <mergeCell ref="C43:C45"/>
    <mergeCell ref="D43:D45"/>
    <mergeCell ref="C46:C48"/>
    <mergeCell ref="D46:D48"/>
    <mergeCell ref="A49:A51"/>
    <mergeCell ref="B49:B51"/>
    <mergeCell ref="C49:C51"/>
    <mergeCell ref="D49:D51"/>
    <mergeCell ref="C52:C54"/>
    <mergeCell ref="D52:D54"/>
    <mergeCell ref="C55:C57"/>
    <mergeCell ref="D55:D57"/>
    <mergeCell ref="C58:C60"/>
    <mergeCell ref="D58:D60"/>
    <mergeCell ref="B61:B63"/>
    <mergeCell ref="C61:C63"/>
    <mergeCell ref="D61:D63"/>
    <mergeCell ref="B64:B66"/>
    <mergeCell ref="C64:C66"/>
    <mergeCell ref="D64:D66"/>
    <mergeCell ref="B67:B69"/>
    <mergeCell ref="C67:C69"/>
    <mergeCell ref="D67:D69"/>
    <mergeCell ref="B70:B72"/>
    <mergeCell ref="C70:C72"/>
    <mergeCell ref="D70:D72"/>
    <mergeCell ref="C82:C84"/>
    <mergeCell ref="D82:D84"/>
    <mergeCell ref="B73:B75"/>
    <mergeCell ref="C73:C75"/>
    <mergeCell ref="D73:D75"/>
    <mergeCell ref="C76:C78"/>
    <mergeCell ref="D76:D78"/>
    <mergeCell ref="C79:C81"/>
    <mergeCell ref="D79:D81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15</vt:i4>
      </vt:variant>
    </vt:vector>
  </HeadingPairs>
  <TitlesOfParts>
    <vt:vector size="27" baseType="lpstr">
      <vt:lpstr>zał.1</vt:lpstr>
      <vt:lpstr>zał.2</vt:lpstr>
      <vt:lpstr>zał.3</vt:lpstr>
      <vt:lpstr>zał.4</vt:lpstr>
      <vt:lpstr>zał.5</vt:lpstr>
      <vt:lpstr>zał.6</vt:lpstr>
      <vt:lpstr>zał.7</vt:lpstr>
      <vt:lpstr>zał.8</vt:lpstr>
      <vt:lpstr>zał.9</vt:lpstr>
      <vt:lpstr>zał.10</vt:lpstr>
      <vt:lpstr>zał.11</vt:lpstr>
      <vt:lpstr>zał.12</vt:lpstr>
      <vt:lpstr>zał.1!Obszar_wydruku</vt:lpstr>
      <vt:lpstr>zał.10!Obszar_wydruku</vt:lpstr>
      <vt:lpstr>zał.2!Obszar_wydruku</vt:lpstr>
      <vt:lpstr>zał.5!Obszar_wydruku</vt:lpstr>
      <vt:lpstr>zał.1!Tytuły_wydruku</vt:lpstr>
      <vt:lpstr>zał.10!Tytuły_wydruku</vt:lpstr>
      <vt:lpstr>zał.11!Tytuły_wydruku</vt:lpstr>
      <vt:lpstr>zał.12!Tytuły_wydruku</vt:lpstr>
      <vt:lpstr>zał.2!Tytuły_wydruku</vt:lpstr>
      <vt:lpstr>zał.3!Tytuły_wydruku</vt:lpstr>
      <vt:lpstr>zał.4!Tytuły_wydruku</vt:lpstr>
      <vt:lpstr>zał.6!Tytuły_wydruku</vt:lpstr>
      <vt:lpstr>zał.7!Tytuły_wydruku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2025-04-10T06:49:57Z</cp:lastPrinted>
  <dcterms:created xsi:type="dcterms:W3CDTF">2010-11-02T12:16:55Z</dcterms:created>
  <dcterms:modified xsi:type="dcterms:W3CDTF">2025-04-10T09:01:21Z</dcterms:modified>
</cp:coreProperties>
</file>